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JAZMIN\Downloads\"/>
    </mc:Choice>
  </mc:AlternateContent>
  <xr:revisionPtr revIDLastSave="0" documentId="13_ncr:1_{215D992B-9AEE-4C2B-8B22-28E0BFA1FC0C}" xr6:coauthVersionLast="47" xr6:coauthVersionMax="47" xr10:uidLastSave="{00000000-0000-0000-0000-000000000000}"/>
  <bookViews>
    <workbookView xWindow="-120" yWindow="-120" windowWidth="20730" windowHeight="11160" tabRatio="932" activeTab="12" xr2:uid="{00000000-000D-0000-FFFF-FFFF00000000}"/>
  </bookViews>
  <sheets>
    <sheet name="CONSOLIDADO ANLA REESTRUCTURA" sheetId="37" r:id="rId1"/>
    <sheet name="DIRECCIÓN GENERAL" sheetId="12" r:id="rId2"/>
    <sheet name="OAP" sheetId="3" r:id="rId3"/>
    <sheet name="OTI" sheetId="15" r:id="rId4"/>
    <sheet name="COMUNICACIONES" sheetId="30" r:id="rId5"/>
    <sheet name="SIPTA" sheetId="6" r:id="rId6"/>
    <sheet name="SELA" sheetId="39" r:id="rId7"/>
    <sheet name="SSLA" sheetId="16" r:id="rId8"/>
    <sheet name="OAJ" sheetId="38" r:id="rId9"/>
    <sheet name="SMPCA" sheetId="35" r:id="rId10"/>
    <sheet name="SAF" sheetId="36" r:id="rId11"/>
    <sheet name="OCI" sheetId="32" r:id="rId12"/>
    <sheet name="OCDI" sheetId="34"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xlnm._FilterDatabase" localSheetId="4" hidden="1">COMUNICACIONES!$A$7:$CJ$14</definedName>
    <definedName name="_xlnm._FilterDatabase" localSheetId="1" hidden="1">'DIRECCIÓN GENERAL'!$A$7:$AN$13</definedName>
    <definedName name="_xlnm._FilterDatabase" localSheetId="8" hidden="1">OAJ!$A$7:$CJ$25</definedName>
    <definedName name="_xlnm._FilterDatabase" localSheetId="2" hidden="1">OAP!$A$7:$BR$18</definedName>
    <definedName name="_xlnm._FilterDatabase" localSheetId="12" hidden="1">OCDI!$A$7:$CJ$15</definedName>
    <definedName name="_xlnm._FilterDatabase" localSheetId="11">OCI!$A$7:$BJ$10</definedName>
    <definedName name="_xlnm._FilterDatabase" localSheetId="3" hidden="1">OTI!$A$7:$CJ$31</definedName>
    <definedName name="_xlnm._FilterDatabase" localSheetId="10" hidden="1">SAF!$A$7:$CJ$41</definedName>
    <definedName name="_xlnm._FilterDatabase" localSheetId="6" hidden="1">SELA!$A$7:$CJ$57</definedName>
    <definedName name="_xlnm._FilterDatabase" localSheetId="5" hidden="1">SIPTA!$A$7:$BR$34</definedName>
    <definedName name="_xlnm._FilterDatabase" localSheetId="9" hidden="1">SMPCA!$A$7:$CJ$31</definedName>
    <definedName name="_xlnm._FilterDatabase" localSheetId="7" hidden="1">SSLA!$A$7:$CJ$53</definedName>
    <definedName name="DepartamentoConsulta" localSheetId="4">#REF!</definedName>
    <definedName name="DepartamentoConsulta" localSheetId="0">#REF!</definedName>
    <definedName name="DepartamentoConsulta" localSheetId="10">#REF!</definedName>
    <definedName name="DepartamentoConsulta" localSheetId="6">#REF!</definedName>
    <definedName name="DepartamentoConsulta" localSheetId="9">#REF!</definedName>
    <definedName name="DepartamentoConsulta">#REF!</definedName>
    <definedName name="DeptoConsulta" localSheetId="4">#REF!</definedName>
    <definedName name="DeptoConsulta" localSheetId="0">#REF!</definedName>
    <definedName name="DeptoConsulta" localSheetId="6">#REF!</definedName>
    <definedName name="DeptoConsulta" localSheetId="9">#REF!</definedName>
    <definedName name="DeptoConsulta">#REF!</definedName>
    <definedName name="FactorSemanas">[1]Parametros!$G$5</definedName>
    <definedName name="FechaCierre" localSheetId="4">'[2]Registro Control Tiempos'!$C$9</definedName>
    <definedName name="FechaCierre" localSheetId="0">'[3]Registro Control Tiempos'!$C$9</definedName>
    <definedName name="FechaCierre" localSheetId="8">'[3]Registro Control Tiempos'!$C$9</definedName>
    <definedName name="FechaCierre" localSheetId="10">'[3]Registro Control Tiempos'!$C$9</definedName>
    <definedName name="FechaCierre" localSheetId="6">'[3]Registro Control Tiempos'!$C$9</definedName>
    <definedName name="FechaCierre" localSheetId="9">'[4]Registro Control Tiempos'!$C$9</definedName>
    <definedName name="FechaCierre">'[5]Registro Control Tiempos'!$C$9</definedName>
    <definedName name="FechaCorte" localSheetId="4">'[2]Registro Control Tiempos'!$C$7</definedName>
    <definedName name="FechaCorte" localSheetId="0">'[3]Registro Control Tiempos'!$C$7</definedName>
    <definedName name="FechaCorte" localSheetId="8">'[3]Registro Control Tiempos'!$C$7</definedName>
    <definedName name="FechaCorte" localSheetId="10">'[3]Registro Control Tiempos'!$C$7</definedName>
    <definedName name="FechaCorte" localSheetId="6">'[3]Registro Control Tiempos'!$C$7</definedName>
    <definedName name="FechaCorte" localSheetId="9">'[4]Registro Control Tiempos'!$C$7</definedName>
    <definedName name="FechaCorte">'[5]Registro Control Tiempos'!$C$7</definedName>
    <definedName name="FechaCorteModificacion" localSheetId="4">#REF!</definedName>
    <definedName name="FechaCorteModificacion" localSheetId="0">#REF!</definedName>
    <definedName name="FechaCorteModificacion" localSheetId="10">#REF!</definedName>
    <definedName name="FechaCorteModificacion" localSheetId="6">#REF!</definedName>
    <definedName name="FechaCorteModificacion" localSheetId="9">#REF!</definedName>
    <definedName name="FechaCorteModificacion">#REF!</definedName>
    <definedName name="festivos">[1]!Tabla4[TabDiasFestivos]</definedName>
    <definedName name="G" localSheetId="4">#REF!</definedName>
    <definedName name="G" localSheetId="0">#REF!</definedName>
    <definedName name="G" localSheetId="10">#REF!</definedName>
    <definedName name="G" localSheetId="6">#REF!</definedName>
    <definedName name="G" localSheetId="9">#REF!</definedName>
    <definedName name="G">#REF!</definedName>
    <definedName name="Instrumentos" localSheetId="4">[6]Parametros!$F$11:$F$19</definedName>
    <definedName name="Instrumentos">[7]Parametros!$F$11:$F$19</definedName>
    <definedName name="intrumento">[8]!TabInstrumentos[Instrumentos]</definedName>
    <definedName name="Mesfinal">[1]Parametros!$H$2</definedName>
    <definedName name="MesInicial">[1]Parametros!$G$2</definedName>
    <definedName name="MetaAnual" localSheetId="4">#REF!</definedName>
    <definedName name="MetaAnual" localSheetId="0">#REF!</definedName>
    <definedName name="MetaAnual" localSheetId="10">#REF!</definedName>
    <definedName name="MetaAnual" localSheetId="6">#REF!</definedName>
    <definedName name="MetaAnual" localSheetId="9">#REF!</definedName>
    <definedName name="MetaAnual">#REF!</definedName>
    <definedName name="MetaAnualIE">'[1]Indicador estrategico'!$AV$5</definedName>
    <definedName name="NativeTimeline_Fecha_Auto_Administrativo_Respuesta">#N/A</definedName>
    <definedName name="NombreContratista">[8]!TabRevisores[NOMBRE]</definedName>
    <definedName name="NormasAplicables" localSheetId="4">[9]Parametros!$BI$15:$BI$19</definedName>
    <definedName name="NormasAplicables">[8]Parametros!$BI$15:$BI$19</definedName>
    <definedName name="NotaAutoInicio" localSheetId="4">#REF!</definedName>
    <definedName name="NotaAutoInicio" localSheetId="0">#REF!</definedName>
    <definedName name="NotaAutoInicio" localSheetId="10">#REF!</definedName>
    <definedName name="NotaAutoInicio" localSheetId="6">#REF!</definedName>
    <definedName name="NotaAutoInicio" localSheetId="9">#REF!</definedName>
    <definedName name="NotaAutoInicio">#REF!</definedName>
    <definedName name="pend" localSheetId="4">[10]Pendientes!$B$49:$E$49</definedName>
    <definedName name="pend" localSheetId="0">[11]Pendientes!$B$49:$E$49</definedName>
    <definedName name="pend" localSheetId="8">[11]Pendientes!$B$49:$E$49</definedName>
    <definedName name="pend" localSheetId="10">[11]Pendientes!$B$49:$E$49</definedName>
    <definedName name="pend" localSheetId="6">[11]Pendientes!$B$49:$E$49</definedName>
    <definedName name="pend" localSheetId="9">[12]Pendientes!$B$49:$E$49</definedName>
    <definedName name="pend">[13]Pendientes!$B$49:$E$49</definedName>
    <definedName name="PerfilActivo" localSheetId="4">#REF!</definedName>
    <definedName name="PerfilActivo" localSheetId="0">#REF!</definedName>
    <definedName name="PerfilActivo" localSheetId="10">#REF!</definedName>
    <definedName name="PerfilActivo" localSheetId="6">#REF!</definedName>
    <definedName name="PerfilActivo" localSheetId="9">#REF!</definedName>
    <definedName name="PerfilActivo">#REF!</definedName>
    <definedName name="ProyectoConsulta" localSheetId="4">#REF!</definedName>
    <definedName name="ProyectoConsulta" localSheetId="0">#REF!</definedName>
    <definedName name="ProyectoConsulta" localSheetId="6">#REF!</definedName>
    <definedName name="ProyectoConsulta" localSheetId="9">#REF!</definedName>
    <definedName name="ProyectoConsulta">#REF!</definedName>
    <definedName name="RangoConsulta" localSheetId="4">'[2]Registro Control Tiempos'!#REF!</definedName>
    <definedName name="RangoConsulta" localSheetId="0">'[3]Registro Control Tiempos'!#REF!</definedName>
    <definedName name="RangoConsulta" localSheetId="8">'[3]Registro Control Tiempos'!#REF!</definedName>
    <definedName name="RangoConsulta" localSheetId="10">'[3]Registro Control Tiempos'!#REF!</definedName>
    <definedName name="RangoConsulta" localSheetId="6">'[3]Registro Control Tiempos'!#REF!</definedName>
    <definedName name="RangoConsulta" localSheetId="9">'[4]Registro Control Tiempos'!#REF!</definedName>
    <definedName name="RangoConsulta">'[5]Registro Control Tiempos'!#REF!</definedName>
    <definedName name="RegistroConsulta" localSheetId="4">#REF!</definedName>
    <definedName name="RegistroConsulta" localSheetId="0">#REF!</definedName>
    <definedName name="RegistroConsulta" localSheetId="10">#REF!</definedName>
    <definedName name="RegistroConsulta" localSheetId="6">#REF!</definedName>
    <definedName name="RegistroConsulta" localSheetId="9">#REF!</definedName>
    <definedName name="RegistroConsulta">#REF!</definedName>
    <definedName name="Sector" localSheetId="4">[14]Parametros!$N$11:$N$17</definedName>
    <definedName name="Sector" localSheetId="0">[15]Parametros!$N$11:$N$17</definedName>
    <definedName name="Sector" localSheetId="8">[15]Parametros!$N$11:$N$17</definedName>
    <definedName name="Sector" localSheetId="10">[15]Parametros!$N$11:$N$17</definedName>
    <definedName name="Sector" localSheetId="6">[15]Parametros!$N$11:$N$17</definedName>
    <definedName name="Sector" localSheetId="9">[16]Parametros!$N$11:$N$17</definedName>
    <definedName name="Sector">[17]Parametros!$N$11:$N$17</definedName>
    <definedName name="SectorAConsultar" localSheetId="4">#REF!</definedName>
    <definedName name="SectorAConsultar" localSheetId="0">#REF!</definedName>
    <definedName name="SectorAConsultar" localSheetId="10">#REF!</definedName>
    <definedName name="SectorAConsultar" localSheetId="6">#REF!</definedName>
    <definedName name="SectorAConsultar" localSheetId="9">#REF!</definedName>
    <definedName name="SectorAConsultar">#REF!</definedName>
    <definedName name="SectorConsultar">'[1]Indicador estrategico'!$I$2</definedName>
    <definedName name="SectorEstadisticas" localSheetId="4">#REF!</definedName>
    <definedName name="SectorEstadisticas" localSheetId="0">#REF!</definedName>
    <definedName name="SectorEstadisticas" localSheetId="10">#REF!</definedName>
    <definedName name="SectorEstadisticas" localSheetId="6">#REF!</definedName>
    <definedName name="SectorEstadisticas" localSheetId="9">#REF!</definedName>
    <definedName name="SectorEstadisticas">#REF!</definedName>
    <definedName name="SectorTiempo" localSheetId="4">Ind Tiempos [18]Sectorial!$E$9</definedName>
    <definedName name="SectorTiempo" localSheetId="0">Ind Tiempos [18]Sectorial!$E$9</definedName>
    <definedName name="SectorTiempo" localSheetId="8">Ind Tiempos [18]Sectorial!$E$9</definedName>
    <definedName name="SectorTiempo" localSheetId="10">Ind Tiempos [18]Sectorial!$E$9</definedName>
    <definedName name="SectorTiempo" localSheetId="6">Ind Tiempos [18]Sectorial!$E$9</definedName>
    <definedName name="SectorTiempo" localSheetId="9">Ind Tiempos [18]Sectorial!$E$9</definedName>
    <definedName name="SectorTiempo">Ind Tiempos [18]Sectorial!$E$9</definedName>
    <definedName name="SiNo" localSheetId="4">[19]Parametros!$BI$12:$BI$13</definedName>
    <definedName name="SiNo">[20]Parametros!$BI$12:$BI$13</definedName>
    <definedName name="ss">[8]!TabInstrumentos[Instrumentos]</definedName>
    <definedName name="TabDiasFestivos">[1]!Tabla4[TabDiasFestivos]</definedName>
    <definedName name="TabSabadoDomingo">[8]!SabadosDomingos[SabadosDomingos]</definedName>
    <definedName name="TipoActoAdministrativo" localSheetId="4">[21]Parametros!$T$11:$T$13</definedName>
    <definedName name="TipoActoAdministrativo" localSheetId="0">[22]Parametros!$T$11:$T$13</definedName>
    <definedName name="TipoActoAdministrativo" localSheetId="8">[22]Parametros!$T$11:$T$13</definedName>
    <definedName name="TipoActoAdministrativo" localSheetId="10">[22]Parametros!$T$11:$T$13</definedName>
    <definedName name="TipoActoAdministrativo" localSheetId="6">[22]Parametros!$T$11:$T$13</definedName>
    <definedName name="TipoActoAdministrativo" localSheetId="9">[23]Parametros!$T$11:$T$13</definedName>
    <definedName name="TipoActoAdministrativo">[24]Parametros!$T$11:$T$13</definedName>
    <definedName name="TipoDecision" localSheetId="4">[25]Parametros!$V$11:$V$18</definedName>
    <definedName name="TipoDecision" localSheetId="0">[26]Parametros!$V$11:$V$18</definedName>
    <definedName name="TipoDecision" localSheetId="8">[26]Parametros!$V$11:$V$18</definedName>
    <definedName name="TipoDecision" localSheetId="10">[26]Parametros!$V$11:$V$18</definedName>
    <definedName name="TipoDecision" localSheetId="6">[26]Parametros!$V$11:$V$18</definedName>
    <definedName name="TipoDecision" localSheetId="9">[27]Parametros!$V$11:$V$18</definedName>
    <definedName name="TipoDecision">[28]Parametros!$V$11:$V$18</definedName>
    <definedName name="TipoRegistro" localSheetId="4">[29]Parametros!$L$11:$L$13</definedName>
    <definedName name="TipoRegistro">[30]Parametros!$L$11:$L$13</definedName>
    <definedName name="TipoSuspension">[1]Parametros!$R$11:$R$14</definedName>
    <definedName name="TipoTramite">[1]Parametros!$AB$11:$AB$13</definedName>
    <definedName name="UsuarioActivo" localSheetId="4">#REF!</definedName>
    <definedName name="UsuarioActivo" localSheetId="0">#REF!</definedName>
    <definedName name="UsuarioActivo" localSheetId="10">#REF!</definedName>
    <definedName name="UsuarioActivo" localSheetId="6">#REF!</definedName>
    <definedName name="UsuarioActivo" localSheetId="9">#REF!</definedName>
    <definedName name="UsuarioActivo">#REF!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T51" i="39" l="1"/>
  <c r="AU51" i="39" s="1"/>
  <c r="AQ51" i="39"/>
  <c r="AR51" i="39" s="1"/>
  <c r="AN51" i="39"/>
  <c r="AO51" i="39" s="1"/>
  <c r="AK51" i="39"/>
  <c r="AL51" i="39" s="1"/>
  <c r="AH51" i="39"/>
  <c r="AI51" i="39" s="1"/>
  <c r="AE51" i="39"/>
  <c r="AF51" i="39" s="1"/>
  <c r="AB51" i="39"/>
  <c r="AC51" i="39" s="1"/>
  <c r="Y51" i="39"/>
  <c r="Z51" i="39" s="1"/>
  <c r="V51" i="39"/>
  <c r="W51" i="39" s="1"/>
  <c r="S51" i="39"/>
  <c r="T51" i="39" s="1"/>
  <c r="P51" i="39"/>
  <c r="Q51" i="39" s="1"/>
  <c r="M51" i="39"/>
  <c r="N51" i="39" s="1"/>
  <c r="AT50" i="39"/>
  <c r="AU50" i="39" s="1"/>
  <c r="AQ50" i="39"/>
  <c r="AR50" i="39" s="1"/>
  <c r="AN50" i="39"/>
  <c r="AO50" i="39" s="1"/>
  <c r="AK50" i="39"/>
  <c r="AL50" i="39" s="1"/>
  <c r="AH50" i="39"/>
  <c r="AI50" i="39" s="1"/>
  <c r="AE50" i="39"/>
  <c r="AF50" i="39" s="1"/>
  <c r="AB50" i="39"/>
  <c r="AC50" i="39" s="1"/>
  <c r="Y50" i="39"/>
  <c r="Z50" i="39" s="1"/>
  <c r="V50" i="39"/>
  <c r="W50" i="39" s="1"/>
  <c r="S50" i="39"/>
  <c r="T50" i="39" s="1"/>
  <c r="Q50" i="39"/>
  <c r="N50" i="39"/>
  <c r="AT49" i="39"/>
  <c r="AU49" i="39" s="1"/>
  <c r="AR49" i="39"/>
  <c r="AQ49" i="39"/>
  <c r="AN49" i="39"/>
  <c r="AO49" i="39" s="1"/>
  <c r="AK49" i="39"/>
  <c r="AL49" i="39" s="1"/>
  <c r="AH49" i="39"/>
  <c r="AI49" i="39" s="1"/>
  <c r="AF49" i="39"/>
  <c r="AE49" i="39"/>
  <c r="AB49" i="39"/>
  <c r="AC49" i="39" s="1"/>
  <c r="Y49" i="39"/>
  <c r="Z49" i="39" s="1"/>
  <c r="V49" i="39"/>
  <c r="W49" i="39" s="1"/>
  <c r="S49" i="39"/>
  <c r="T49" i="39" s="1"/>
  <c r="Q49" i="39"/>
  <c r="N49" i="39"/>
  <c r="AT48" i="39"/>
  <c r="AU48" i="39" s="1"/>
  <c r="AQ48" i="39"/>
  <c r="AR48" i="39" s="1"/>
  <c r="AO48" i="39"/>
  <c r="AN48" i="39"/>
  <c r="AK48" i="39"/>
  <c r="AL48" i="39" s="1"/>
  <c r="AH48" i="39"/>
  <c r="AI48" i="39" s="1"/>
  <c r="AE48" i="39"/>
  <c r="AF48" i="39" s="1"/>
  <c r="AB48" i="39"/>
  <c r="AC48" i="39" s="1"/>
  <c r="Y48" i="39"/>
  <c r="Z48" i="39" s="1"/>
  <c r="V48" i="39"/>
  <c r="W48" i="39" s="1"/>
  <c r="S48" i="39"/>
  <c r="T48" i="39" s="1"/>
  <c r="Q48" i="39"/>
  <c r="N48" i="39"/>
  <c r="AT47" i="39"/>
  <c r="AU47" i="39" s="1"/>
  <c r="AQ47" i="39"/>
  <c r="AR47" i="39" s="1"/>
  <c r="AN47" i="39"/>
  <c r="AO47" i="39" s="1"/>
  <c r="AK47" i="39"/>
  <c r="AL47" i="39" s="1"/>
  <c r="AH47" i="39"/>
  <c r="AI47" i="39" s="1"/>
  <c r="AF47" i="39"/>
  <c r="AE47" i="39"/>
  <c r="AB47" i="39"/>
  <c r="AC47" i="39" s="1"/>
  <c r="Y47" i="39"/>
  <c r="Z47" i="39" s="1"/>
  <c r="V47" i="39"/>
  <c r="W47" i="39" s="1"/>
  <c r="S47" i="39"/>
  <c r="T47" i="39" s="1"/>
  <c r="P47" i="39"/>
  <c r="Q47" i="39" s="1"/>
  <c r="M47" i="39"/>
  <c r="N47" i="39" s="1"/>
  <c r="AT46" i="39"/>
  <c r="AU46" i="39" s="1"/>
  <c r="AQ46" i="39"/>
  <c r="AR46" i="39" s="1"/>
  <c r="AN46" i="39"/>
  <c r="AO46" i="39" s="1"/>
  <c r="AK46" i="39"/>
  <c r="AL46" i="39" s="1"/>
  <c r="AH46" i="39"/>
  <c r="AI46" i="39" s="1"/>
  <c r="AE46" i="39"/>
  <c r="AF46" i="39" s="1"/>
  <c r="AB46" i="39"/>
  <c r="AC46" i="39" s="1"/>
  <c r="Z46" i="39"/>
  <c r="Y46" i="39"/>
  <c r="V46" i="39"/>
  <c r="W46" i="39" s="1"/>
  <c r="S46" i="39"/>
  <c r="T46" i="39" s="1"/>
  <c r="P46" i="39"/>
  <c r="Q46" i="39" s="1"/>
  <c r="M46" i="39"/>
  <c r="N46" i="39" s="1"/>
  <c r="CE45" i="39"/>
  <c r="AT44" i="39"/>
  <c r="AU44" i="39" s="1"/>
  <c r="AR44" i="39"/>
  <c r="AQ44" i="39"/>
  <c r="AN44" i="39"/>
  <c r="AO44" i="39" s="1"/>
  <c r="AK44" i="39"/>
  <c r="AL44" i="39" s="1"/>
  <c r="AH44" i="39"/>
  <c r="AI44" i="39" s="1"/>
  <c r="AE44" i="39"/>
  <c r="AF44" i="39" s="1"/>
  <c r="AB44" i="39"/>
  <c r="AC44" i="39" s="1"/>
  <c r="Y44" i="39"/>
  <c r="Z44" i="39" s="1"/>
  <c r="V44" i="39"/>
  <c r="W44" i="39" s="1"/>
  <c r="T44" i="39"/>
  <c r="S44" i="39"/>
  <c r="Q44" i="39"/>
  <c r="N44" i="39"/>
  <c r="AU43" i="39"/>
  <c r="AT43" i="39"/>
  <c r="AQ43" i="39"/>
  <c r="AR43" i="39" s="1"/>
  <c r="AN43" i="39"/>
  <c r="AO43" i="39" s="1"/>
  <c r="AK43" i="39"/>
  <c r="AL43" i="39" s="1"/>
  <c r="AH43" i="39"/>
  <c r="AI43" i="39" s="1"/>
  <c r="AE43" i="39"/>
  <c r="AF43" i="39" s="1"/>
  <c r="AB43" i="39"/>
  <c r="AC43" i="39" s="1"/>
  <c r="Y43" i="39"/>
  <c r="Z43" i="39" s="1"/>
  <c r="W43" i="39"/>
  <c r="V43" i="39"/>
  <c r="S43" i="39"/>
  <c r="T43" i="39" s="1"/>
  <c r="Q43" i="39"/>
  <c r="N43" i="39"/>
  <c r="AU42" i="39"/>
  <c r="AR42" i="39"/>
  <c r="AO42" i="39"/>
  <c r="AL42" i="39"/>
  <c r="AI42" i="39"/>
  <c r="AF42" i="39"/>
  <c r="AC42" i="39"/>
  <c r="Z42" i="39"/>
  <c r="W42" i="39"/>
  <c r="T42" i="39"/>
  <c r="CG41" i="39"/>
  <c r="CH41" i="39" s="1"/>
  <c r="CD41" i="39"/>
  <c r="CE41" i="39" s="1"/>
  <c r="CA41" i="39"/>
  <c r="CB41" i="39" s="1"/>
  <c r="BX41" i="39"/>
  <c r="BY41" i="39" s="1"/>
  <c r="BU41" i="39"/>
  <c r="BV41" i="39" s="1"/>
  <c r="BR41" i="39"/>
  <c r="BS41" i="39" s="1"/>
  <c r="BP41" i="39"/>
  <c r="BO41" i="39"/>
  <c r="BM41" i="39"/>
  <c r="BJ41" i="39"/>
  <c r="BG41" i="39"/>
  <c r="CH40" i="39"/>
  <c r="CE40" i="39"/>
  <c r="CB40" i="39"/>
  <c r="BY40" i="39"/>
  <c r="BV40" i="39"/>
  <c r="BS40" i="39"/>
  <c r="BP40" i="39"/>
  <c r="BM40" i="39"/>
  <c r="BJ40" i="39"/>
  <c r="BG40" i="39"/>
  <c r="BD40" i="39"/>
  <c r="BA40" i="39"/>
  <c r="CH39" i="39"/>
  <c r="CE39" i="39"/>
  <c r="CB39" i="39"/>
  <c r="BY39" i="39"/>
  <c r="BV39" i="39"/>
  <c r="BS39" i="39"/>
  <c r="BP39" i="39"/>
  <c r="BM39" i="39"/>
  <c r="BM45" i="39" s="1"/>
  <c r="BJ39" i="39"/>
  <c r="BG39" i="39"/>
  <c r="BD39" i="39"/>
  <c r="BA39" i="39"/>
  <c r="AU39" i="39"/>
  <c r="AR39" i="39"/>
  <c r="AO39" i="39"/>
  <c r="AL39" i="39"/>
  <c r="AI39" i="39"/>
  <c r="AF39" i="39"/>
  <c r="AC39" i="39"/>
  <c r="Z39" i="39"/>
  <c r="W39" i="39"/>
  <c r="T39" i="39"/>
  <c r="Q39" i="39"/>
  <c r="N39" i="39"/>
  <c r="AT38" i="39"/>
  <c r="AU38" i="39" s="1"/>
  <c r="AQ38" i="39"/>
  <c r="AR38" i="39" s="1"/>
  <c r="AN38" i="39"/>
  <c r="AO38" i="39" s="1"/>
  <c r="AL38" i="39"/>
  <c r="AK38" i="39"/>
  <c r="AH38" i="39"/>
  <c r="AI38" i="39" s="1"/>
  <c r="AE38" i="39"/>
  <c r="AF38" i="39" s="1"/>
  <c r="AB38" i="39"/>
  <c r="AC38" i="39" s="1"/>
  <c r="Y38" i="39"/>
  <c r="Z38" i="39" s="1"/>
  <c r="V38" i="39"/>
  <c r="W38" i="39" s="1"/>
  <c r="S38" i="39"/>
  <c r="T38" i="39" s="1"/>
  <c r="Q38" i="39"/>
  <c r="M38" i="39"/>
  <c r="N38" i="39" s="1"/>
  <c r="CG36" i="39"/>
  <c r="CH36" i="39" s="1"/>
  <c r="CD36" i="39"/>
  <c r="CE36" i="39" s="1"/>
  <c r="CA36" i="39"/>
  <c r="CB36" i="39" s="1"/>
  <c r="BX36" i="39"/>
  <c r="BY36" i="39" s="1"/>
  <c r="BV36" i="39"/>
  <c r="BU36" i="39"/>
  <c r="BR36" i="39"/>
  <c r="BS36" i="39" s="1"/>
  <c r="BO36" i="39"/>
  <c r="BP36" i="39" s="1"/>
  <c r="BL36" i="39"/>
  <c r="BM36" i="39" s="1"/>
  <c r="BI36" i="39"/>
  <c r="BJ36" i="39" s="1"/>
  <c r="BF36" i="39"/>
  <c r="BG36" i="39" s="1"/>
  <c r="BA36" i="39"/>
  <c r="CH35" i="39"/>
  <c r="CE35" i="39"/>
  <c r="CB35" i="39"/>
  <c r="BY35" i="39"/>
  <c r="BV35" i="39"/>
  <c r="BS35" i="39"/>
  <c r="BP35" i="39"/>
  <c r="BM35" i="39"/>
  <c r="BJ35" i="39"/>
  <c r="BG35" i="39"/>
  <c r="BD35" i="39"/>
  <c r="BA35" i="39"/>
  <c r="CH34" i="39"/>
  <c r="CE34" i="39"/>
  <c r="CB34" i="39"/>
  <c r="BY34" i="39"/>
  <c r="BV34" i="39"/>
  <c r="BS34" i="39"/>
  <c r="BP34" i="39"/>
  <c r="BM34" i="39"/>
  <c r="BJ34" i="39"/>
  <c r="BG34" i="39"/>
  <c r="BD34" i="39"/>
  <c r="BA34" i="39"/>
  <c r="AU34" i="39"/>
  <c r="AR34" i="39"/>
  <c r="AO34" i="39"/>
  <c r="AL34" i="39"/>
  <c r="AI34" i="39"/>
  <c r="AF34" i="39"/>
  <c r="AC34" i="39"/>
  <c r="Z34" i="39"/>
  <c r="W34" i="39"/>
  <c r="T34" i="39"/>
  <c r="Q34" i="39"/>
  <c r="N34" i="39"/>
  <c r="CG33" i="39"/>
  <c r="CH33" i="39" s="1"/>
  <c r="CD33" i="39"/>
  <c r="CE33" i="39" s="1"/>
  <c r="CA33" i="39"/>
  <c r="CB33" i="39" s="1"/>
  <c r="BX33" i="39"/>
  <c r="BY33" i="39" s="1"/>
  <c r="BU33" i="39"/>
  <c r="BV33" i="39" s="1"/>
  <c r="BR33" i="39"/>
  <c r="BS33" i="39" s="1"/>
  <c r="BO33" i="39"/>
  <c r="BP33" i="39" s="1"/>
  <c r="BL33" i="39"/>
  <c r="BM33" i="39" s="1"/>
  <c r="BI33" i="39"/>
  <c r="BJ33" i="39" s="1"/>
  <c r="BF33" i="39"/>
  <c r="BG33" i="39" s="1"/>
  <c r="BD33" i="39"/>
  <c r="BC33" i="39"/>
  <c r="AZ33" i="39"/>
  <c r="BA33" i="39" s="1"/>
  <c r="CH32" i="39"/>
  <c r="CG32" i="39"/>
  <c r="CD32" i="39"/>
  <c r="CE32" i="39" s="1"/>
  <c r="CA32" i="39"/>
  <c r="CB32" i="39" s="1"/>
  <c r="BX32" i="39"/>
  <c r="BY32" i="39" s="1"/>
  <c r="BU32" i="39"/>
  <c r="BV32" i="39" s="1"/>
  <c r="BR32" i="39"/>
  <c r="BS32" i="39" s="1"/>
  <c r="BO32" i="39"/>
  <c r="BP32" i="39" s="1"/>
  <c r="BL32" i="39"/>
  <c r="BM32" i="39" s="1"/>
  <c r="BI32" i="39"/>
  <c r="BJ32" i="39" s="1"/>
  <c r="BF32" i="39"/>
  <c r="BG32" i="39" s="1"/>
  <c r="BA32" i="39"/>
  <c r="AT32" i="39"/>
  <c r="AU32" i="39" s="1"/>
  <c r="AU37" i="39" s="1"/>
  <c r="AQ32" i="39"/>
  <c r="AR32" i="39" s="1"/>
  <c r="AR37" i="39" s="1"/>
  <c r="AN32" i="39"/>
  <c r="AO32" i="39" s="1"/>
  <c r="AK32" i="39"/>
  <c r="AL32" i="39" s="1"/>
  <c r="AL37" i="39" s="1"/>
  <c r="AH32" i="39"/>
  <c r="AI32" i="39" s="1"/>
  <c r="AE32" i="39"/>
  <c r="AF32" i="39" s="1"/>
  <c r="AF37" i="39" s="1"/>
  <c r="AB32" i="39"/>
  <c r="AC32" i="39" s="1"/>
  <c r="Y32" i="39"/>
  <c r="Z32" i="39" s="1"/>
  <c r="Z37" i="39" s="1"/>
  <c r="V32" i="39"/>
  <c r="W32" i="39" s="1"/>
  <c r="W37" i="39" s="1"/>
  <c r="S32" i="39"/>
  <c r="T32" i="39" s="1"/>
  <c r="T37" i="39" s="1"/>
  <c r="P32" i="39"/>
  <c r="Q32" i="39" s="1"/>
  <c r="Q37" i="39" s="1"/>
  <c r="M32" i="39"/>
  <c r="N32" i="39" s="1"/>
  <c r="N37" i="39" s="1"/>
  <c r="CG30" i="39"/>
  <c r="CH30" i="39" s="1"/>
  <c r="CD30" i="39"/>
  <c r="CE30" i="39" s="1"/>
  <c r="CA30" i="39"/>
  <c r="CB30" i="39" s="1"/>
  <c r="BX30" i="39"/>
  <c r="BY30" i="39" s="1"/>
  <c r="BU30" i="39"/>
  <c r="BV30" i="39" s="1"/>
  <c r="BR30" i="39"/>
  <c r="BS30" i="39" s="1"/>
  <c r="BO30" i="39"/>
  <c r="BP30" i="39" s="1"/>
  <c r="BL30" i="39"/>
  <c r="BM30" i="39" s="1"/>
  <c r="BJ30" i="39"/>
  <c r="BI30" i="39"/>
  <c r="BF30" i="39"/>
  <c r="BG30" i="39" s="1"/>
  <c r="BC30" i="39"/>
  <c r="BD30" i="39" s="1"/>
  <c r="BA30" i="39"/>
  <c r="CH29" i="39"/>
  <c r="CE29" i="39"/>
  <c r="CB29" i="39"/>
  <c r="BY29" i="39"/>
  <c r="BV29" i="39"/>
  <c r="BS29" i="39"/>
  <c r="BP29" i="39"/>
  <c r="BM29" i="39"/>
  <c r="BJ29" i="39"/>
  <c r="BG29" i="39"/>
  <c r="BD29" i="39"/>
  <c r="BA29" i="39"/>
  <c r="CH28" i="39"/>
  <c r="CE28" i="39"/>
  <c r="CB28" i="39"/>
  <c r="BY28" i="39"/>
  <c r="BV28" i="39"/>
  <c r="BS28" i="39"/>
  <c r="BP28" i="39"/>
  <c r="BM28" i="39"/>
  <c r="BJ28" i="39"/>
  <c r="BG28" i="39"/>
  <c r="BD28" i="39"/>
  <c r="BA28" i="39"/>
  <c r="AU28" i="39"/>
  <c r="AR28" i="39"/>
  <c r="AO28" i="39"/>
  <c r="AL28" i="39"/>
  <c r="AI28" i="39"/>
  <c r="AF28" i="39"/>
  <c r="AC28" i="39"/>
  <c r="Z28" i="39"/>
  <c r="W28" i="39"/>
  <c r="T28" i="39"/>
  <c r="Q28" i="39"/>
  <c r="N28" i="39"/>
  <c r="CG27" i="39"/>
  <c r="CH27" i="39" s="1"/>
  <c r="CD27" i="39"/>
  <c r="CE27" i="39" s="1"/>
  <c r="CA27" i="39"/>
  <c r="CB27" i="39" s="1"/>
  <c r="BX27" i="39"/>
  <c r="BY27" i="39" s="1"/>
  <c r="BU27" i="39"/>
  <c r="BV27" i="39" s="1"/>
  <c r="BR27" i="39"/>
  <c r="BS27" i="39" s="1"/>
  <c r="BO27" i="39"/>
  <c r="BP27" i="39" s="1"/>
  <c r="BM27" i="39"/>
  <c r="BJ27" i="39"/>
  <c r="BF27" i="39"/>
  <c r="BG27" i="39" s="1"/>
  <c r="BD27" i="39"/>
  <c r="BA27" i="39"/>
  <c r="CG26" i="39"/>
  <c r="CH26" i="39" s="1"/>
  <c r="CD26" i="39"/>
  <c r="CE26" i="39" s="1"/>
  <c r="CA26" i="39"/>
  <c r="CB26" i="39" s="1"/>
  <c r="BX26" i="39"/>
  <c r="BY26" i="39" s="1"/>
  <c r="BU26" i="39"/>
  <c r="BV26" i="39" s="1"/>
  <c r="BR26" i="39"/>
  <c r="BS26" i="39" s="1"/>
  <c r="BO26" i="39"/>
  <c r="BP26" i="39" s="1"/>
  <c r="BM26" i="39"/>
  <c r="BJ26" i="39"/>
  <c r="BA26" i="39"/>
  <c r="AT26" i="39"/>
  <c r="AU26" i="39" s="1"/>
  <c r="AQ26" i="39"/>
  <c r="AR26" i="39" s="1"/>
  <c r="AN26" i="39"/>
  <c r="AO26" i="39" s="1"/>
  <c r="AO31" i="39" s="1"/>
  <c r="AL26" i="39"/>
  <c r="AK26" i="39"/>
  <c r="AI26" i="39"/>
  <c r="AI31" i="39" s="1"/>
  <c r="AH26" i="39"/>
  <c r="AE26" i="39"/>
  <c r="AF26" i="39" s="1"/>
  <c r="AF31" i="39" s="1"/>
  <c r="AB26" i="39"/>
  <c r="AC26" i="39" s="1"/>
  <c r="AC31" i="39" s="1"/>
  <c r="Z26" i="39"/>
  <c r="Z31" i="39" s="1"/>
  <c r="Y26" i="39"/>
  <c r="V26" i="39"/>
  <c r="W26" i="39" s="1"/>
  <c r="S26" i="39"/>
  <c r="T26" i="39" s="1"/>
  <c r="Q26" i="39"/>
  <c r="Q31" i="39" s="1"/>
  <c r="P26" i="39"/>
  <c r="N26" i="39"/>
  <c r="CG24" i="39"/>
  <c r="CH24" i="39" s="1"/>
  <c r="CD24" i="39"/>
  <c r="CE24" i="39" s="1"/>
  <c r="CA24" i="39"/>
  <c r="CB24" i="39" s="1"/>
  <c r="BX24" i="39"/>
  <c r="BY24" i="39" s="1"/>
  <c r="BU24" i="39"/>
  <c r="BV24" i="39" s="1"/>
  <c r="BR24" i="39"/>
  <c r="BS24" i="39" s="1"/>
  <c r="BO24" i="39"/>
  <c r="BP24" i="39" s="1"/>
  <c r="BL24" i="39"/>
  <c r="BM24" i="39" s="1"/>
  <c r="BI24" i="39"/>
  <c r="BJ24" i="39" s="1"/>
  <c r="BF24" i="39"/>
  <c r="BG24" i="39" s="1"/>
  <c r="BC24" i="39"/>
  <c r="BD24" i="39" s="1"/>
  <c r="AZ24" i="39"/>
  <c r="BA24" i="39" s="1"/>
  <c r="CG23" i="39"/>
  <c r="CH23" i="39" s="1"/>
  <c r="CD23" i="39"/>
  <c r="CE23" i="39" s="1"/>
  <c r="CA23" i="39"/>
  <c r="CB23" i="39" s="1"/>
  <c r="BX23" i="39"/>
  <c r="BY23" i="39" s="1"/>
  <c r="BU23" i="39"/>
  <c r="BV23" i="39" s="1"/>
  <c r="BR23" i="39"/>
  <c r="BS23" i="39" s="1"/>
  <c r="BO23" i="39"/>
  <c r="BP23" i="39" s="1"/>
  <c r="BL23" i="39"/>
  <c r="BM23" i="39" s="1"/>
  <c r="BI23" i="39"/>
  <c r="BJ23" i="39" s="1"/>
  <c r="BF23" i="39"/>
  <c r="BG23" i="39" s="1"/>
  <c r="BC23" i="39"/>
  <c r="BD23" i="39" s="1"/>
  <c r="AZ23" i="39"/>
  <c r="BA23" i="39" s="1"/>
  <c r="AT23" i="39"/>
  <c r="AU23" i="39" s="1"/>
  <c r="AQ23" i="39"/>
  <c r="AR23" i="39" s="1"/>
  <c r="AN23" i="39"/>
  <c r="AO23" i="39" s="1"/>
  <c r="AK23" i="39"/>
  <c r="AL23" i="39" s="1"/>
  <c r="AH23" i="39"/>
  <c r="AI23" i="39" s="1"/>
  <c r="AE23" i="39"/>
  <c r="AF23" i="39" s="1"/>
  <c r="AB23" i="39"/>
  <c r="AC23" i="39" s="1"/>
  <c r="Y23" i="39"/>
  <c r="Z23" i="39" s="1"/>
  <c r="V23" i="39"/>
  <c r="W23" i="39" s="1"/>
  <c r="S23" i="39"/>
  <c r="T23" i="39" s="1"/>
  <c r="P23" i="39"/>
  <c r="Q23" i="39" s="1"/>
  <c r="M23" i="39"/>
  <c r="N23" i="39" s="1"/>
  <c r="CG22" i="39"/>
  <c r="CH22" i="39" s="1"/>
  <c r="CD22" i="39"/>
  <c r="CE22" i="39" s="1"/>
  <c r="CA22" i="39"/>
  <c r="CB22" i="39" s="1"/>
  <c r="BX22" i="39"/>
  <c r="BY22" i="39" s="1"/>
  <c r="BU22" i="39"/>
  <c r="BV22" i="39" s="1"/>
  <c r="BR22" i="39"/>
  <c r="BS22" i="39" s="1"/>
  <c r="BO22" i="39"/>
  <c r="BP22" i="39" s="1"/>
  <c r="BL22" i="39"/>
  <c r="BM22" i="39" s="1"/>
  <c r="BI22" i="39"/>
  <c r="BJ22" i="39" s="1"/>
  <c r="BF22" i="39"/>
  <c r="BG22" i="39" s="1"/>
  <c r="BC22" i="39"/>
  <c r="BD22" i="39" s="1"/>
  <c r="AZ22" i="39"/>
  <c r="BA22" i="39" s="1"/>
  <c r="CH21" i="39"/>
  <c r="CE21" i="39"/>
  <c r="CB21" i="39"/>
  <c r="BY21" i="39"/>
  <c r="BV21" i="39"/>
  <c r="BS21" i="39"/>
  <c r="BP21" i="39"/>
  <c r="BM21" i="39"/>
  <c r="BJ21" i="39"/>
  <c r="BG21" i="39"/>
  <c r="BD21" i="39"/>
  <c r="BA21" i="39"/>
  <c r="CH20" i="39"/>
  <c r="CE20" i="39"/>
  <c r="CE25" i="39" s="1"/>
  <c r="CB20" i="39"/>
  <c r="CB25" i="39" s="1"/>
  <c r="BY20" i="39"/>
  <c r="BV20" i="39"/>
  <c r="BV25" i="39" s="1"/>
  <c r="BS20" i="39"/>
  <c r="BP20" i="39"/>
  <c r="BP25" i="39" s="1"/>
  <c r="BM20" i="39"/>
  <c r="BJ20" i="39"/>
  <c r="BG20" i="39"/>
  <c r="BG25" i="39" s="1"/>
  <c r="BD20" i="39"/>
  <c r="BD25" i="39" s="1"/>
  <c r="BA20" i="39"/>
  <c r="AU20" i="39"/>
  <c r="AU25" i="39" s="1"/>
  <c r="AR20" i="39"/>
  <c r="AR25" i="39" s="1"/>
  <c r="AO20" i="39"/>
  <c r="AO25" i="39" s="1"/>
  <c r="AL20" i="39"/>
  <c r="AL25" i="39" s="1"/>
  <c r="AI20" i="39"/>
  <c r="AI25" i="39" s="1"/>
  <c r="AF20" i="39"/>
  <c r="AF25" i="39" s="1"/>
  <c r="AC20" i="39"/>
  <c r="AC25" i="39" s="1"/>
  <c r="Z20" i="39"/>
  <c r="Z25" i="39" s="1"/>
  <c r="W20" i="39"/>
  <c r="W25" i="39" s="1"/>
  <c r="T20" i="39"/>
  <c r="T25" i="39" s="1"/>
  <c r="Q20" i="39"/>
  <c r="Q25" i="39" s="1"/>
  <c r="N20" i="39"/>
  <c r="N25" i="39" s="1"/>
  <c r="CG18" i="39"/>
  <c r="CH18" i="39" s="1"/>
  <c r="CD18" i="39"/>
  <c r="CE18" i="39" s="1"/>
  <c r="CA18" i="39"/>
  <c r="CB18" i="39" s="1"/>
  <c r="BX18" i="39"/>
  <c r="BY18" i="39" s="1"/>
  <c r="BU18" i="39"/>
  <c r="BV18" i="39" s="1"/>
  <c r="BR18" i="39"/>
  <c r="BS18" i="39" s="1"/>
  <c r="BO18" i="39"/>
  <c r="BP18" i="39" s="1"/>
  <c r="BL18" i="39"/>
  <c r="BM18" i="39" s="1"/>
  <c r="BI18" i="39"/>
  <c r="BJ18" i="39" s="1"/>
  <c r="BF18" i="39"/>
  <c r="BG18" i="39" s="1"/>
  <c r="BC18" i="39"/>
  <c r="BD18" i="39" s="1"/>
  <c r="AZ18" i="39"/>
  <c r="BA18" i="39" s="1"/>
  <c r="CH17" i="39"/>
  <c r="CE17" i="39"/>
  <c r="CB17" i="39"/>
  <c r="BY17" i="39"/>
  <c r="BV17" i="39"/>
  <c r="BS17" i="39"/>
  <c r="BP17" i="39"/>
  <c r="BM17" i="39"/>
  <c r="BJ17" i="39"/>
  <c r="BG17" i="39"/>
  <c r="BD17" i="39"/>
  <c r="BA17" i="39"/>
  <c r="CH16" i="39"/>
  <c r="CE16" i="39"/>
  <c r="CB16" i="39"/>
  <c r="BY16" i="39"/>
  <c r="BV16" i="39"/>
  <c r="BS16" i="39"/>
  <c r="BP16" i="39"/>
  <c r="BM16" i="39"/>
  <c r="BJ16" i="39"/>
  <c r="BG16" i="39"/>
  <c r="BD16" i="39"/>
  <c r="BA16" i="39"/>
  <c r="AU16" i="39"/>
  <c r="AR16" i="39"/>
  <c r="AO16" i="39"/>
  <c r="AL16" i="39"/>
  <c r="AI16" i="39"/>
  <c r="AF16" i="39"/>
  <c r="AC16" i="39"/>
  <c r="Z16" i="39"/>
  <c r="W16" i="39"/>
  <c r="T16" i="39"/>
  <c r="Q16" i="39"/>
  <c r="N16" i="39"/>
  <c r="CG15" i="39"/>
  <c r="CH15" i="39" s="1"/>
  <c r="CD15" i="39"/>
  <c r="CE15" i="39" s="1"/>
  <c r="CA15" i="39"/>
  <c r="CB15" i="39" s="1"/>
  <c r="BX15" i="39"/>
  <c r="BY15" i="39" s="1"/>
  <c r="BU15" i="39"/>
  <c r="BV15" i="39" s="1"/>
  <c r="BR15" i="39"/>
  <c r="BS15" i="39" s="1"/>
  <c r="BO15" i="39"/>
  <c r="BP15" i="39" s="1"/>
  <c r="BL15" i="39"/>
  <c r="BM15" i="39" s="1"/>
  <c r="BI15" i="39"/>
  <c r="BJ15" i="39" s="1"/>
  <c r="BF15" i="39"/>
  <c r="BG15" i="39" s="1"/>
  <c r="BD15" i="39"/>
  <c r="BA15" i="39"/>
  <c r="CG14" i="39"/>
  <c r="CH14" i="39" s="1"/>
  <c r="CH19" i="39" s="1"/>
  <c r="CD14" i="39"/>
  <c r="CE14" i="39" s="1"/>
  <c r="CA14" i="39"/>
  <c r="CB14" i="39" s="1"/>
  <c r="BX14" i="39"/>
  <c r="BY14" i="39" s="1"/>
  <c r="BY19" i="39" s="1"/>
  <c r="BU14" i="39"/>
  <c r="BV14" i="39" s="1"/>
  <c r="BR14" i="39"/>
  <c r="BS14" i="39" s="1"/>
  <c r="BS19" i="39" s="1"/>
  <c r="BO14" i="39"/>
  <c r="BP14" i="39" s="1"/>
  <c r="BL14" i="39"/>
  <c r="BM14" i="39" s="1"/>
  <c r="BJ14" i="39"/>
  <c r="BJ19" i="39" s="1"/>
  <c r="BI14" i="39"/>
  <c r="BF14" i="39"/>
  <c r="BG14" i="39" s="1"/>
  <c r="BD14" i="39"/>
  <c r="BD19" i="39" s="1"/>
  <c r="BC14" i="39"/>
  <c r="BA14" i="39"/>
  <c r="BA19" i="39" s="1"/>
  <c r="AT14" i="39"/>
  <c r="AU14" i="39" s="1"/>
  <c r="AQ14" i="39"/>
  <c r="AR14" i="39" s="1"/>
  <c r="AN14" i="39"/>
  <c r="AO14" i="39" s="1"/>
  <c r="AO19" i="39" s="1"/>
  <c r="AK14" i="39"/>
  <c r="AL14" i="39" s="1"/>
  <c r="AL19" i="39" s="1"/>
  <c r="AH14" i="39"/>
  <c r="AI14" i="39" s="1"/>
  <c r="AE14" i="39"/>
  <c r="AF14" i="39" s="1"/>
  <c r="AB14" i="39"/>
  <c r="AC14" i="39" s="1"/>
  <c r="Y14" i="39"/>
  <c r="Z14" i="39" s="1"/>
  <c r="Z19" i="39" s="1"/>
  <c r="V14" i="39"/>
  <c r="W14" i="39" s="1"/>
  <c r="S14" i="39"/>
  <c r="T14" i="39" s="1"/>
  <c r="P14" i="39"/>
  <c r="Q14" i="39" s="1"/>
  <c r="Q19" i="39" s="1"/>
  <c r="M14" i="39"/>
  <c r="N14" i="39" s="1"/>
  <c r="N19" i="39" s="1"/>
  <c r="CG12" i="39"/>
  <c r="CH12" i="39" s="1"/>
  <c r="CD12" i="39"/>
  <c r="CE12" i="39" s="1"/>
  <c r="CA12" i="39"/>
  <c r="CB12" i="39" s="1"/>
  <c r="BX12" i="39"/>
  <c r="BY12" i="39" s="1"/>
  <c r="BU12" i="39"/>
  <c r="BV12" i="39" s="1"/>
  <c r="BR12" i="39"/>
  <c r="BS12" i="39" s="1"/>
  <c r="BO12" i="39"/>
  <c r="BP12" i="39" s="1"/>
  <c r="BL12" i="39"/>
  <c r="BM12" i="39" s="1"/>
  <c r="BI12" i="39"/>
  <c r="BJ12" i="39" s="1"/>
  <c r="BF12" i="39"/>
  <c r="BG12" i="39" s="1"/>
  <c r="BC12" i="39"/>
  <c r="BD12" i="39" s="1"/>
  <c r="AZ12" i="39"/>
  <c r="BA12" i="39" s="1"/>
  <c r="CH11" i="39"/>
  <c r="CE11" i="39"/>
  <c r="CB11" i="39"/>
  <c r="BY11" i="39"/>
  <c r="BV11" i="39"/>
  <c r="BS11" i="39"/>
  <c r="BP11" i="39"/>
  <c r="BM11" i="39"/>
  <c r="BJ11" i="39"/>
  <c r="BG11" i="39"/>
  <c r="BD11" i="39"/>
  <c r="BA11" i="39"/>
  <c r="CH10" i="39"/>
  <c r="CE10" i="39"/>
  <c r="CB10" i="39"/>
  <c r="BY10" i="39"/>
  <c r="BV10" i="39"/>
  <c r="BS10" i="39"/>
  <c r="BP10" i="39"/>
  <c r="BM10" i="39"/>
  <c r="BJ10" i="39"/>
  <c r="BG10" i="39"/>
  <c r="BD10" i="39"/>
  <c r="BA10" i="39"/>
  <c r="AU10" i="39"/>
  <c r="AR10" i="39"/>
  <c r="AO10" i="39"/>
  <c r="AL10" i="39"/>
  <c r="AI10" i="39"/>
  <c r="AF10" i="39"/>
  <c r="AC10" i="39"/>
  <c r="Z10" i="39"/>
  <c r="W10" i="39"/>
  <c r="T10" i="39"/>
  <c r="Q10" i="39"/>
  <c r="N10" i="39"/>
  <c r="CG9" i="39"/>
  <c r="CH9" i="39" s="1"/>
  <c r="CD9" i="39"/>
  <c r="CE9" i="39" s="1"/>
  <c r="CA9" i="39"/>
  <c r="CB9" i="39" s="1"/>
  <c r="BX9" i="39"/>
  <c r="BY9" i="39" s="1"/>
  <c r="BU9" i="39"/>
  <c r="BV9" i="39" s="1"/>
  <c r="BR9" i="39"/>
  <c r="BS9" i="39" s="1"/>
  <c r="BO9" i="39"/>
  <c r="BP9" i="39" s="1"/>
  <c r="BL9" i="39"/>
  <c r="BM9" i="39" s="1"/>
  <c r="BJ9" i="39"/>
  <c r="BG9" i="39"/>
  <c r="BF9" i="39"/>
  <c r="BD9" i="39"/>
  <c r="BA9" i="39"/>
  <c r="CG8" i="39"/>
  <c r="CH8" i="39" s="1"/>
  <c r="CH13" i="39" s="1"/>
  <c r="CE8" i="39"/>
  <c r="CD8" i="39"/>
  <c r="CA8" i="39"/>
  <c r="CB8" i="39" s="1"/>
  <c r="CB13" i="39" s="1"/>
  <c r="BX8" i="39"/>
  <c r="BY8" i="39" s="1"/>
  <c r="BV8" i="39"/>
  <c r="BV13" i="39" s="1"/>
  <c r="BU8" i="39"/>
  <c r="BR8" i="39"/>
  <c r="BS8" i="39" s="1"/>
  <c r="BP8" i="39"/>
  <c r="BO8" i="39"/>
  <c r="BL8" i="39"/>
  <c r="BM8" i="39" s="1"/>
  <c r="BI8" i="39"/>
  <c r="BJ8" i="39" s="1"/>
  <c r="BJ13" i="39" s="1"/>
  <c r="BF8" i="39"/>
  <c r="BG8" i="39" s="1"/>
  <c r="BD8" i="39"/>
  <c r="BC8" i="39"/>
  <c r="AZ8" i="39"/>
  <c r="BA8" i="39" s="1"/>
  <c r="AU8" i="39"/>
  <c r="AU13" i="39" s="1"/>
  <c r="AT8" i="39"/>
  <c r="AR8" i="39"/>
  <c r="AR13" i="39" s="1"/>
  <c r="AQ8" i="39"/>
  <c r="AN8" i="39"/>
  <c r="AO8" i="39" s="1"/>
  <c r="AO13" i="39" s="1"/>
  <c r="AK8" i="39"/>
  <c r="AL8" i="39" s="1"/>
  <c r="AL13" i="39" s="1"/>
  <c r="AH8" i="39"/>
  <c r="AI8" i="39" s="1"/>
  <c r="AI13" i="39" s="1"/>
  <c r="AE8" i="39"/>
  <c r="AF8" i="39" s="1"/>
  <c r="AB8" i="39"/>
  <c r="AC8" i="39" s="1"/>
  <c r="AC13" i="39" s="1"/>
  <c r="Y8" i="39"/>
  <c r="Z8" i="39" s="1"/>
  <c r="W8" i="39"/>
  <c r="W13" i="39" s="1"/>
  <c r="V8" i="39"/>
  <c r="T8" i="39"/>
  <c r="T13" i="39" s="1"/>
  <c r="S8" i="39"/>
  <c r="Q8" i="39"/>
  <c r="Q13" i="39" s="1"/>
  <c r="P8" i="39"/>
  <c r="M8" i="39"/>
  <c r="N8" i="39" s="1"/>
  <c r="AU20" i="38"/>
  <c r="AR20" i="38"/>
  <c r="AO20" i="38"/>
  <c r="AL20" i="38"/>
  <c r="AI20" i="38"/>
  <c r="AF20" i="38"/>
  <c r="AC20" i="38"/>
  <c r="Z20" i="38"/>
  <c r="W20" i="38"/>
  <c r="T20" i="38"/>
  <c r="Q20" i="38"/>
  <c r="N20" i="38"/>
  <c r="AU17" i="38"/>
  <c r="AR17" i="38"/>
  <c r="AO17" i="38"/>
  <c r="AL17" i="38"/>
  <c r="AI17" i="38"/>
  <c r="AF17" i="38"/>
  <c r="AC17" i="38"/>
  <c r="Z17" i="38"/>
  <c r="W17" i="38"/>
  <c r="T17" i="38"/>
  <c r="Q17" i="38"/>
  <c r="N17" i="38"/>
  <c r="CH15" i="38"/>
  <c r="CE15" i="38"/>
  <c r="CB15" i="38"/>
  <c r="BY15" i="38"/>
  <c r="BV15" i="38"/>
  <c r="BS15" i="38"/>
  <c r="BP15" i="38"/>
  <c r="BM15" i="38"/>
  <c r="BJ15" i="38"/>
  <c r="BG15" i="38"/>
  <c r="BD15" i="38"/>
  <c r="BA15" i="38"/>
  <c r="AU15" i="38"/>
  <c r="AR15" i="38"/>
  <c r="AO15" i="38"/>
  <c r="AL15" i="38"/>
  <c r="AI15" i="38"/>
  <c r="AF15" i="38"/>
  <c r="AC15" i="38"/>
  <c r="Z15" i="38"/>
  <c r="W15" i="38"/>
  <c r="T15" i="38"/>
  <c r="Q15" i="38"/>
  <c r="N15" i="38"/>
  <c r="CH12" i="38"/>
  <c r="CE12" i="38"/>
  <c r="CB12" i="38"/>
  <c r="BY12" i="38"/>
  <c r="BV12" i="38"/>
  <c r="BS12" i="38"/>
  <c r="BP12" i="38"/>
  <c r="BM12" i="38"/>
  <c r="BJ12" i="38"/>
  <c r="BG12" i="38"/>
  <c r="BD12" i="38"/>
  <c r="BA12" i="38"/>
  <c r="AU12" i="38"/>
  <c r="AU22" i="38" s="1"/>
  <c r="AR12" i="38"/>
  <c r="AR22" i="38" s="1"/>
  <c r="AO12" i="38"/>
  <c r="AL12" i="38"/>
  <c r="AI12" i="38"/>
  <c r="AF12" i="38"/>
  <c r="AC12" i="38"/>
  <c r="Z12" i="38"/>
  <c r="Z22" i="38" s="1"/>
  <c r="W12" i="38"/>
  <c r="W22" i="38" s="1"/>
  <c r="T12" i="38"/>
  <c r="T22" i="38" s="1"/>
  <c r="Q12" i="38"/>
  <c r="Q22" i="38" s="1"/>
  <c r="N12" i="38"/>
  <c r="AC22" i="38" l="1"/>
  <c r="AF22" i="38"/>
  <c r="AO22" i="38"/>
  <c r="N22" i="38"/>
  <c r="AL22" i="38"/>
  <c r="AF45" i="39"/>
  <c r="BM13" i="39"/>
  <c r="AF19" i="39"/>
  <c r="BA13" i="39"/>
  <c r="AI19" i="39"/>
  <c r="BG19" i="39"/>
  <c r="AO37" i="39"/>
  <c r="T52" i="39"/>
  <c r="BP13" i="39"/>
  <c r="CE19" i="39"/>
  <c r="AL31" i="39"/>
  <c r="T45" i="39"/>
  <c r="Z13" i="39"/>
  <c r="N13" i="39"/>
  <c r="AR19" i="39"/>
  <c r="BA25" i="39"/>
  <c r="AR45" i="39"/>
  <c r="BG45" i="39"/>
  <c r="AL52" i="39"/>
  <c r="BD13" i="39"/>
  <c r="T19" i="39"/>
  <c r="BM19" i="39"/>
  <c r="BM54" i="39" s="1"/>
  <c r="BY25" i="39"/>
  <c r="N31" i="39"/>
  <c r="Z45" i="39"/>
  <c r="W19" i="39"/>
  <c r="AU19" i="39"/>
  <c r="AR31" i="39"/>
  <c r="CB37" i="39"/>
  <c r="BJ45" i="39"/>
  <c r="BY13" i="39"/>
  <c r="BV19" i="39"/>
  <c r="BJ25" i="39"/>
  <c r="CH25" i="39"/>
  <c r="T31" i="39"/>
  <c r="AI37" i="39"/>
  <c r="BM37" i="39"/>
  <c r="BS45" i="39"/>
  <c r="BV37" i="39"/>
  <c r="AR52" i="39"/>
  <c r="AR54" i="39" s="1"/>
  <c r="Z52" i="39"/>
  <c r="BY31" i="39"/>
  <c r="BJ37" i="39"/>
  <c r="BV22" i="38"/>
  <c r="BA22" i="38"/>
  <c r="BY22" i="38"/>
  <c r="BA31" i="39"/>
  <c r="BA54" i="39" s="1"/>
  <c r="AC37" i="39"/>
  <c r="BA37" i="39"/>
  <c r="BP45" i="39"/>
  <c r="BD22" i="38"/>
  <c r="CB22" i="38"/>
  <c r="AF13" i="39"/>
  <c r="BP31" i="39"/>
  <c r="BD31" i="39"/>
  <c r="BD54" i="39" s="1"/>
  <c r="BG37" i="39"/>
  <c r="BG22" i="38"/>
  <c r="CE22" i="38"/>
  <c r="BS31" i="39"/>
  <c r="BG31" i="39"/>
  <c r="BD37" i="39"/>
  <c r="W45" i="39"/>
  <c r="AL45" i="39"/>
  <c r="AL54" i="39" s="1"/>
  <c r="BV45" i="39"/>
  <c r="CH37" i="39"/>
  <c r="BJ22" i="38"/>
  <c r="CH22" i="38"/>
  <c r="CB19" i="39"/>
  <c r="BM25" i="39"/>
  <c r="BV31" i="39"/>
  <c r="BA45" i="39"/>
  <c r="BY45" i="39"/>
  <c r="AI52" i="39"/>
  <c r="CH31" i="39"/>
  <c r="BM22" i="38"/>
  <c r="BM31" i="39"/>
  <c r="BD45" i="39"/>
  <c r="CB45" i="39"/>
  <c r="BP22" i="38"/>
  <c r="BS25" i="39"/>
  <c r="W31" i="39"/>
  <c r="AU31" i="39"/>
  <c r="CB31" i="39"/>
  <c r="CE37" i="39"/>
  <c r="N52" i="39"/>
  <c r="CB54" i="39"/>
  <c r="AI22" i="38"/>
  <c r="BS22" i="38"/>
  <c r="AC19" i="39"/>
  <c r="CE31" i="39"/>
  <c r="BP37" i="39"/>
  <c r="N45" i="39"/>
  <c r="AU45" i="39"/>
  <c r="CH45" i="39"/>
  <c r="T54" i="39"/>
  <c r="BG13" i="39"/>
  <c r="BS13" i="39"/>
  <c r="CE13" i="39"/>
  <c r="BP19" i="39"/>
  <c r="BY37" i="39"/>
  <c r="BS37" i="39"/>
  <c r="Q45" i="39"/>
  <c r="AO45" i="39"/>
  <c r="AO54" i="39" s="1"/>
  <c r="AC52" i="39"/>
  <c r="BJ31" i="39"/>
  <c r="AI45" i="39"/>
  <c r="W52" i="39"/>
  <c r="AU52" i="39"/>
  <c r="AC45" i="39"/>
  <c r="AC54" i="39" s="1"/>
  <c r="Q52" i="39"/>
  <c r="AF52" i="39"/>
  <c r="AF54" i="39" s="1"/>
  <c r="AO52" i="39"/>
  <c r="Z47" i="37"/>
  <c r="Y47" i="37"/>
  <c r="X47" i="37"/>
  <c r="W47" i="37"/>
  <c r="V47" i="37"/>
  <c r="U47" i="37"/>
  <c r="T47" i="37"/>
  <c r="S47" i="37"/>
  <c r="R47" i="37"/>
  <c r="Q47" i="37"/>
  <c r="P47" i="37"/>
  <c r="P49" i="37" s="1"/>
  <c r="O47" i="37"/>
  <c r="O49" i="37" s="1"/>
  <c r="N47" i="37"/>
  <c r="N49" i="37" s="1"/>
  <c r="M47" i="37"/>
  <c r="M49" i="37" s="1"/>
  <c r="L47" i="37"/>
  <c r="L49" i="37" s="1"/>
  <c r="K47" i="37"/>
  <c r="K49" i="37" s="1"/>
  <c r="J47" i="37"/>
  <c r="J49" i="37" s="1"/>
  <c r="I47" i="37"/>
  <c r="I49" i="37" s="1"/>
  <c r="H47" i="37"/>
  <c r="G47" i="37"/>
  <c r="F47" i="37"/>
  <c r="E47" i="37"/>
  <c r="D47" i="37"/>
  <c r="C47" i="37"/>
  <c r="D42" i="37"/>
  <c r="C42" i="37"/>
  <c r="H34" i="37"/>
  <c r="H49" i="37" s="1"/>
  <c r="G34" i="37"/>
  <c r="G49" i="37" s="1"/>
  <c r="F34" i="37"/>
  <c r="E34" i="37"/>
  <c r="E49" i="37" s="1"/>
  <c r="D34" i="37"/>
  <c r="C34" i="37"/>
  <c r="Z26" i="37"/>
  <c r="Z49" i="37" s="1"/>
  <c r="Y26" i="37"/>
  <c r="Y49" i="37" s="1"/>
  <c r="X26" i="37"/>
  <c r="X49" i="37" s="1"/>
  <c r="W26" i="37"/>
  <c r="W49" i="37" s="1"/>
  <c r="V26" i="37"/>
  <c r="V49" i="37" s="1"/>
  <c r="U26" i="37"/>
  <c r="U49" i="37" s="1"/>
  <c r="T26" i="37"/>
  <c r="T49" i="37" s="1"/>
  <c r="S26" i="37"/>
  <c r="S49" i="37" s="1"/>
  <c r="R22" i="37"/>
  <c r="R49" i="37" s="1"/>
  <c r="Q22" i="37"/>
  <c r="Q49" i="37" s="1"/>
  <c r="F15" i="37"/>
  <c r="D15" i="37"/>
  <c r="C15" i="37"/>
  <c r="BV54" i="39" l="1"/>
  <c r="AU54" i="39"/>
  <c r="W54" i="39"/>
  <c r="BP54" i="39"/>
  <c r="N54" i="39"/>
  <c r="AI54" i="39"/>
  <c r="CH54" i="39"/>
  <c r="BY54" i="39"/>
  <c r="BJ54" i="39"/>
  <c r="Z54" i="39"/>
  <c r="F49" i="37"/>
  <c r="CE54" i="39"/>
  <c r="C49" i="37"/>
  <c r="D49" i="37"/>
  <c r="BG54" i="39"/>
  <c r="Q54" i="39"/>
  <c r="BS54" i="39"/>
  <c r="CH48" i="16"/>
  <c r="CE48" i="16"/>
  <c r="CB48" i="16"/>
  <c r="CH41" i="16"/>
  <c r="CE41" i="16"/>
  <c r="CB41" i="16"/>
  <c r="CH34" i="16"/>
  <c r="CE34" i="16"/>
  <c r="CB34" i="16"/>
  <c r="CH31" i="16"/>
  <c r="CE31" i="16"/>
  <c r="CB31" i="16"/>
  <c r="CH25" i="16"/>
  <c r="CE25" i="16"/>
  <c r="CB25" i="16"/>
  <c r="CH19" i="16"/>
  <c r="CE19" i="16"/>
  <c r="CB19" i="16"/>
  <c r="CH13" i="16"/>
  <c r="CE13" i="16"/>
  <c r="CB13" i="16"/>
  <c r="AU48" i="16"/>
  <c r="AR48" i="16"/>
  <c r="AO48" i="16"/>
  <c r="AU41" i="16"/>
  <c r="AR41" i="16"/>
  <c r="AO41" i="16"/>
  <c r="AU34" i="16"/>
  <c r="AR34" i="16"/>
  <c r="AO34" i="16"/>
  <c r="AU31" i="16"/>
  <c r="AR31" i="16"/>
  <c r="AO31" i="16"/>
  <c r="AU25" i="16"/>
  <c r="AR25" i="16"/>
  <c r="AO25" i="16"/>
  <c r="AU19" i="16"/>
  <c r="AR19" i="16"/>
  <c r="AO19" i="16"/>
  <c r="AU13" i="16"/>
  <c r="AR13" i="16"/>
  <c r="AO13" i="16"/>
  <c r="CH27" i="15"/>
  <c r="AR27" i="15"/>
  <c r="CE27" i="15"/>
  <c r="CB27" i="15"/>
  <c r="AU36" i="36"/>
  <c r="AR36" i="36"/>
  <c r="AO36" i="36"/>
  <c r="AL36" i="36"/>
  <c r="AI36" i="36"/>
  <c r="AF36" i="36"/>
  <c r="AC36" i="36"/>
  <c r="Z36" i="36"/>
  <c r="W36" i="36"/>
  <c r="AU33" i="36"/>
  <c r="AR33" i="36"/>
  <c r="AO33" i="36"/>
  <c r="AL33" i="36"/>
  <c r="AI33" i="36"/>
  <c r="AF33" i="36"/>
  <c r="AC33" i="36"/>
  <c r="Z33" i="36"/>
  <c r="W33" i="36"/>
  <c r="CH31" i="36"/>
  <c r="CE31" i="36"/>
  <c r="CB31" i="36"/>
  <c r="BY31" i="36"/>
  <c r="BV31" i="36"/>
  <c r="BS31" i="36"/>
  <c r="BP31" i="36"/>
  <c r="BM31" i="36"/>
  <c r="BJ31" i="36"/>
  <c r="AU31" i="36"/>
  <c r="AR31" i="36"/>
  <c r="AO31" i="36"/>
  <c r="AL31" i="36"/>
  <c r="AI31" i="36"/>
  <c r="AF31" i="36"/>
  <c r="AC31" i="36"/>
  <c r="Z31" i="36"/>
  <c r="W31" i="36"/>
  <c r="CH25" i="36"/>
  <c r="CE25" i="36"/>
  <c r="CB25" i="36"/>
  <c r="BY25" i="36"/>
  <c r="BV25" i="36"/>
  <c r="BS25" i="36"/>
  <c r="BP25" i="36"/>
  <c r="BM25" i="36"/>
  <c r="BJ25" i="36"/>
  <c r="AU25" i="36"/>
  <c r="AR25" i="36"/>
  <c r="AO25" i="36"/>
  <c r="AL25" i="36"/>
  <c r="AI25" i="36"/>
  <c r="AF25" i="36"/>
  <c r="AC25" i="36"/>
  <c r="Z25" i="36"/>
  <c r="W25" i="36"/>
  <c r="CH22" i="36"/>
  <c r="CE22" i="36"/>
  <c r="CB22" i="36"/>
  <c r="BY22" i="36"/>
  <c r="BV22" i="36"/>
  <c r="BS22" i="36"/>
  <c r="BP22" i="36"/>
  <c r="BM22" i="36"/>
  <c r="BJ22" i="36"/>
  <c r="AU22" i="36"/>
  <c r="AR22" i="36"/>
  <c r="AO22" i="36"/>
  <c r="AL22" i="36"/>
  <c r="AI22" i="36"/>
  <c r="AF22" i="36"/>
  <c r="AC22" i="36"/>
  <c r="Z22" i="36"/>
  <c r="W22" i="36"/>
  <c r="CH17" i="36"/>
  <c r="CE17" i="36"/>
  <c r="CB17" i="36"/>
  <c r="CB38" i="36" s="1"/>
  <c r="BY17" i="36"/>
  <c r="BV17" i="36"/>
  <c r="BS17" i="36"/>
  <c r="BP17" i="36"/>
  <c r="BM17" i="36"/>
  <c r="BJ17" i="36"/>
  <c r="AU17" i="36"/>
  <c r="AR17" i="36"/>
  <c r="AO17" i="36"/>
  <c r="AL17" i="36"/>
  <c r="AI17" i="36"/>
  <c r="AF17" i="36"/>
  <c r="AC17" i="36"/>
  <c r="Z17" i="36"/>
  <c r="W17" i="36"/>
  <c r="AU11" i="36"/>
  <c r="AR11" i="36"/>
  <c r="AO11" i="36"/>
  <c r="AL11" i="36"/>
  <c r="AI11" i="36"/>
  <c r="AF11" i="36"/>
  <c r="AC11" i="36"/>
  <c r="Z11" i="36"/>
  <c r="W11" i="36"/>
  <c r="CH26" i="35"/>
  <c r="CE26" i="35"/>
  <c r="CB26" i="35"/>
  <c r="BY26" i="35"/>
  <c r="BV26" i="35"/>
  <c r="BS26" i="35"/>
  <c r="BP26" i="35"/>
  <c r="BM26" i="35"/>
  <c r="BJ26" i="35"/>
  <c r="BG26" i="35"/>
  <c r="BD26" i="35"/>
  <c r="BA26" i="35"/>
  <c r="AU26" i="35"/>
  <c r="AR26" i="35"/>
  <c r="AO26" i="35"/>
  <c r="AL26" i="35"/>
  <c r="AI26" i="35"/>
  <c r="AF26" i="35"/>
  <c r="AC26" i="35"/>
  <c r="Z26" i="35"/>
  <c r="W26" i="35"/>
  <c r="T26" i="35"/>
  <c r="T28" i="35" s="1"/>
  <c r="Q26" i="35"/>
  <c r="N26" i="35"/>
  <c r="BP19" i="35"/>
  <c r="BG19" i="35"/>
  <c r="AL19" i="35"/>
  <c r="AI19" i="35"/>
  <c r="AF19" i="35"/>
  <c r="AC19" i="35"/>
  <c r="AL17" i="35"/>
  <c r="AI17" i="35"/>
  <c r="AF17" i="35"/>
  <c r="AC17" i="35"/>
  <c r="Z17" i="35"/>
  <c r="Z28" i="35" s="1"/>
  <c r="W17" i="35"/>
  <c r="T17" i="35"/>
  <c r="Q17" i="35"/>
  <c r="Q28" i="35" s="1"/>
  <c r="N17" i="35"/>
  <c r="BY14" i="35"/>
  <c r="BY17" i="35" s="1"/>
  <c r="BY19" i="35" s="1"/>
  <c r="BY28" i="35" s="1"/>
  <c r="BV14" i="35"/>
  <c r="BS14" i="35"/>
  <c r="BP14" i="35"/>
  <c r="BP28" i="35" s="1"/>
  <c r="BM14" i="35"/>
  <c r="BJ14" i="35"/>
  <c r="BJ28" i="35" s="1"/>
  <c r="BG14" i="35"/>
  <c r="BG28" i="35" s="1"/>
  <c r="BD14" i="35"/>
  <c r="BD28" i="35" s="1"/>
  <c r="BA14" i="35"/>
  <c r="BA28" i="35" s="1"/>
  <c r="AU14" i="35"/>
  <c r="AU17" i="35" s="1"/>
  <c r="AU19" i="35" s="1"/>
  <c r="AR14" i="35"/>
  <c r="AR17" i="35" s="1"/>
  <c r="AR19" i="35" s="1"/>
  <c r="AO14" i="35"/>
  <c r="AL14" i="35"/>
  <c r="AI14" i="35"/>
  <c r="AF14" i="35"/>
  <c r="BA12" i="34"/>
  <c r="CH11" i="34"/>
  <c r="CE11" i="34"/>
  <c r="CB11" i="34"/>
  <c r="BY11" i="34"/>
  <c r="BV11" i="34"/>
  <c r="BS11" i="34"/>
  <c r="BP11" i="34"/>
  <c r="BM11" i="34"/>
  <c r="BM12" i="34" s="1"/>
  <c r="BJ11" i="34"/>
  <c r="BJ12" i="34" s="1"/>
  <c r="BG11" i="34"/>
  <c r="BG12" i="34" s="1"/>
  <c r="BD11" i="34"/>
  <c r="BD12" i="34" s="1"/>
  <c r="CH10" i="34"/>
  <c r="CH12" i="34" s="1"/>
  <c r="CE10" i="34"/>
  <c r="CB10" i="34"/>
  <c r="BY10" i="34"/>
  <c r="BV10" i="34"/>
  <c r="BV12" i="34" s="1"/>
  <c r="BS10" i="34"/>
  <c r="BS12" i="34" s="1"/>
  <c r="BP10" i="34"/>
  <c r="BP12" i="34" s="1"/>
  <c r="AU10" i="34"/>
  <c r="AR10" i="34"/>
  <c r="AO10" i="34"/>
  <c r="AL10" i="34"/>
  <c r="AI10" i="34"/>
  <c r="AF10" i="34"/>
  <c r="AC10" i="34"/>
  <c r="Z10" i="34"/>
  <c r="W10" i="34"/>
  <c r="T10" i="34"/>
  <c r="AT9" i="34"/>
  <c r="AU9" i="34" s="1"/>
  <c r="AQ9" i="34"/>
  <c r="AR9" i="34" s="1"/>
  <c r="AN9" i="34"/>
  <c r="AO9" i="34" s="1"/>
  <c r="AL9" i="34"/>
  <c r="AI9" i="34"/>
  <c r="AF9" i="34"/>
  <c r="AC9" i="34"/>
  <c r="Z9" i="34"/>
  <c r="W9" i="34"/>
  <c r="N9" i="34"/>
  <c r="AU8" i="34"/>
  <c r="AR8" i="34"/>
  <c r="AO8" i="34"/>
  <c r="AL8" i="34"/>
  <c r="AL12" i="34" s="1"/>
  <c r="AI8" i="34"/>
  <c r="AI12" i="34" s="1"/>
  <c r="AF8" i="34"/>
  <c r="AF12" i="34" s="1"/>
  <c r="AC8" i="34"/>
  <c r="Z8" i="34"/>
  <c r="W8" i="34"/>
  <c r="N8" i="34"/>
  <c r="T9" i="34" s="1"/>
  <c r="CJ11" i="32"/>
  <c r="CG11" i="32"/>
  <c r="CD11" i="32"/>
  <c r="CA11" i="32"/>
  <c r="BX11" i="32"/>
  <c r="BU11" i="32"/>
  <c r="BR11" i="32"/>
  <c r="BO11" i="32"/>
  <c r="BL11" i="32"/>
  <c r="BI11" i="32"/>
  <c r="BF11" i="32"/>
  <c r="BC11" i="32"/>
  <c r="AW11" i="32"/>
  <c r="AT11" i="32"/>
  <c r="AQ11" i="32"/>
  <c r="AN11" i="32"/>
  <c r="AK11" i="32"/>
  <c r="AH11" i="32"/>
  <c r="AE11" i="32"/>
  <c r="AB11" i="32"/>
  <c r="Y11" i="32"/>
  <c r="V11" i="32"/>
  <c r="S11" i="32"/>
  <c r="P11" i="32"/>
  <c r="W12" i="34" l="1"/>
  <c r="AU12" i="34"/>
  <c r="CB12" i="34"/>
  <c r="AC12" i="34"/>
  <c r="CE38" i="36"/>
  <c r="AI38" i="36"/>
  <c r="BS38" i="36"/>
  <c r="W38" i="36"/>
  <c r="AU38" i="36"/>
  <c r="AL28" i="35"/>
  <c r="BM28" i="35"/>
  <c r="N28" i="35"/>
  <c r="AC28" i="35"/>
  <c r="W28" i="35"/>
  <c r="Z38" i="36"/>
  <c r="AO38" i="36"/>
  <c r="BY38" i="36"/>
  <c r="BJ38" i="36"/>
  <c r="CH38" i="36"/>
  <c r="AF38" i="36"/>
  <c r="BP38" i="36"/>
  <c r="BY12" i="34"/>
  <c r="AF28" i="35"/>
  <c r="BS17" i="35"/>
  <c r="BS19" i="35" s="1"/>
  <c r="AL38" i="36"/>
  <c r="AC38" i="36"/>
  <c r="BM38" i="36"/>
  <c r="Z12" i="34"/>
  <c r="AI28" i="35"/>
  <c r="BV17" i="35"/>
  <c r="BV19" i="35" s="1"/>
  <c r="BV38" i="36"/>
  <c r="CE12" i="34"/>
  <c r="AR38" i="36"/>
  <c r="CH50" i="16"/>
  <c r="CB50" i="16"/>
  <c r="AO50" i="16"/>
  <c r="CE50" i="16"/>
  <c r="AR50" i="16"/>
  <c r="AU50" i="16"/>
  <c r="AO17" i="35"/>
  <c r="AO19" i="35" s="1"/>
  <c r="AO12" i="34"/>
  <c r="AR12" i="34"/>
  <c r="N12" i="34"/>
  <c r="Q8" i="34"/>
  <c r="Q9" i="34"/>
  <c r="T8" i="34"/>
  <c r="T12" i="34" s="1"/>
  <c r="BV28" i="35" l="1"/>
  <c r="BS28" i="35"/>
  <c r="Q12" i="34"/>
  <c r="CH14" i="15" l="1"/>
  <c r="CE14" i="15"/>
  <c r="CB14" i="15"/>
  <c r="AU27" i="15"/>
  <c r="AO27" i="15"/>
  <c r="AU14" i="15"/>
  <c r="AR14" i="15"/>
  <c r="AO14" i="15"/>
  <c r="CH29" i="15" l="1"/>
  <c r="AU29" i="15"/>
  <c r="CE29" i="15"/>
  <c r="CB29" i="15"/>
  <c r="AO29" i="15"/>
  <c r="AR29" i="15"/>
  <c r="CH29" i="6" l="1"/>
  <c r="CE29" i="6"/>
  <c r="CB29" i="6"/>
  <c r="BY29" i="6"/>
  <c r="BV29" i="6"/>
  <c r="BS29" i="6"/>
  <c r="BP29" i="6"/>
  <c r="BM29" i="6"/>
  <c r="BG29" i="6"/>
  <c r="BD29" i="6"/>
  <c r="BA29" i="6"/>
  <c r="AU29" i="6"/>
  <c r="AR29" i="6"/>
  <c r="AO29" i="6"/>
  <c r="AL29" i="6"/>
  <c r="AI29" i="6"/>
  <c r="AF29" i="6"/>
  <c r="T29" i="6"/>
  <c r="Q29" i="6"/>
  <c r="N29" i="6"/>
  <c r="CH26" i="6"/>
  <c r="CE26" i="6"/>
  <c r="CB26" i="6"/>
  <c r="BJ26" i="6"/>
  <c r="BG26" i="6"/>
  <c r="BD26" i="6"/>
  <c r="BA26" i="6"/>
  <c r="AU26" i="6"/>
  <c r="AR26" i="6"/>
  <c r="AO26" i="6"/>
  <c r="AL26" i="6"/>
  <c r="AI26" i="6"/>
  <c r="AF26" i="6"/>
  <c r="T26" i="6"/>
  <c r="Q26" i="6"/>
  <c r="N26" i="6"/>
  <c r="CH20" i="6"/>
  <c r="CE20" i="6"/>
  <c r="CB20" i="6"/>
  <c r="BY20" i="6"/>
  <c r="BY26" i="6" s="1"/>
  <c r="BV20" i="6"/>
  <c r="BV26" i="6" s="1"/>
  <c r="BS20" i="6"/>
  <c r="BS26" i="6" s="1"/>
  <c r="BP20" i="6"/>
  <c r="BM20" i="6"/>
  <c r="BM26" i="6" s="1"/>
  <c r="BJ20" i="6"/>
  <c r="BG20" i="6"/>
  <c r="BD20" i="6"/>
  <c r="BA20" i="6"/>
  <c r="AU20" i="6"/>
  <c r="AR20" i="6"/>
  <c r="AO20" i="6"/>
  <c r="AL20" i="6"/>
  <c r="AI20" i="6"/>
  <c r="AF20" i="6"/>
  <c r="W20" i="6"/>
  <c r="T20" i="6"/>
  <c r="Q20" i="6"/>
  <c r="N20" i="6"/>
  <c r="CH16" i="6"/>
  <c r="CE16" i="6"/>
  <c r="CB16" i="6"/>
  <c r="BY16" i="6"/>
  <c r="BV16" i="6"/>
  <c r="BS16" i="6"/>
  <c r="BP16" i="6"/>
  <c r="BM16" i="6"/>
  <c r="BJ16" i="6"/>
  <c r="BG16" i="6"/>
  <c r="BD16" i="6"/>
  <c r="BD31" i="6" s="1"/>
  <c r="BA16" i="6"/>
  <c r="AU16" i="6"/>
  <c r="AR16" i="6"/>
  <c r="AO16" i="6"/>
  <c r="AL16" i="6"/>
  <c r="AI16" i="6"/>
  <c r="AF16" i="6"/>
  <c r="AC16" i="6"/>
  <c r="AC31" i="6" s="1"/>
  <c r="Z16" i="6"/>
  <c r="Z31" i="6" s="1"/>
  <c r="W16" i="6"/>
  <c r="W31" i="6" s="1"/>
  <c r="T16" i="6"/>
  <c r="T31" i="6" s="1"/>
  <c r="Q16" i="6"/>
  <c r="Q31" i="6" s="1"/>
  <c r="N16" i="6"/>
  <c r="AU10" i="12"/>
  <c r="AR10" i="12"/>
  <c r="AO10" i="12"/>
  <c r="AL10" i="12"/>
  <c r="AI10" i="12"/>
  <c r="AF10" i="12"/>
  <c r="AC10" i="12"/>
  <c r="Z10" i="12"/>
  <c r="W10" i="12"/>
  <c r="T10" i="12"/>
  <c r="Q10" i="12"/>
  <c r="N10" i="12"/>
  <c r="H8" i="12"/>
  <c r="BA31" i="6" l="1"/>
  <c r="AO31" i="6"/>
  <c r="AR31" i="6"/>
  <c r="N31" i="6"/>
  <c r="BG31" i="6"/>
  <c r="AU31" i="6"/>
  <c r="AF31" i="6"/>
  <c r="AI31" i="6"/>
  <c r="AL31" i="6"/>
  <c r="BY48" i="16"/>
  <c r="BV48" i="16"/>
  <c r="BS48" i="16"/>
  <c r="BY41" i="16"/>
  <c r="BV41" i="16"/>
  <c r="BS41" i="16"/>
  <c r="BY34" i="16"/>
  <c r="BV34" i="16"/>
  <c r="BS34" i="16"/>
  <c r="BY31" i="16"/>
  <c r="BV31" i="16"/>
  <c r="BS31" i="16"/>
  <c r="BY25" i="16"/>
  <c r="BV25" i="16"/>
  <c r="BS25" i="16"/>
  <c r="BY19" i="16"/>
  <c r="BV19" i="16"/>
  <c r="BS19" i="16"/>
  <c r="BY13" i="16"/>
  <c r="BV13" i="16"/>
  <c r="BS13" i="16"/>
  <c r="AL48" i="16"/>
  <c r="AI48" i="16"/>
  <c r="AF48" i="16"/>
  <c r="AL41" i="16"/>
  <c r="AI41" i="16"/>
  <c r="AF41" i="16"/>
  <c r="AL34" i="16"/>
  <c r="AI34" i="16"/>
  <c r="AF34" i="16"/>
  <c r="AL31" i="16"/>
  <c r="AI31" i="16"/>
  <c r="AF31" i="16"/>
  <c r="AL25" i="16"/>
  <c r="AI25" i="16"/>
  <c r="AF25" i="16"/>
  <c r="AL19" i="16"/>
  <c r="AI19" i="16"/>
  <c r="AF19" i="16"/>
  <c r="AL13" i="16"/>
  <c r="AI13" i="16"/>
  <c r="AF13" i="16"/>
  <c r="BY50" i="16" l="1"/>
  <c r="AL50" i="16"/>
  <c r="BV50" i="16"/>
  <c r="AI50" i="16"/>
  <c r="BS50" i="16"/>
  <c r="AF50" i="16"/>
  <c r="AF27" i="15" l="1"/>
  <c r="AF14" i="15"/>
  <c r="BY27" i="15"/>
  <c r="BV27" i="15"/>
  <c r="BS27" i="15"/>
  <c r="BY14" i="15"/>
  <c r="BV14" i="15"/>
  <c r="BS14" i="15"/>
  <c r="AL27" i="15"/>
  <c r="AI27" i="15"/>
  <c r="AL14" i="15"/>
  <c r="AI14" i="15"/>
  <c r="BY29" i="15" l="1"/>
  <c r="AL29" i="15"/>
  <c r="BV29" i="15"/>
  <c r="AI29" i="15"/>
  <c r="BS29" i="15"/>
  <c r="AF29" i="15"/>
  <c r="BM41" i="16" l="1"/>
  <c r="BM31" i="16"/>
  <c r="BM25" i="16"/>
  <c r="BM19" i="16"/>
  <c r="BM13" i="16"/>
  <c r="BJ19" i="16" l="1"/>
  <c r="BJ13" i="16"/>
  <c r="BJ41" i="16"/>
  <c r="BJ31" i="16"/>
  <c r="BJ25" i="16"/>
  <c r="BP48" i="16" l="1"/>
  <c r="BM48" i="16"/>
  <c r="BJ48" i="16"/>
  <c r="BP41" i="16"/>
  <c r="BP34" i="16"/>
  <c r="BM34" i="16"/>
  <c r="BJ34" i="16"/>
  <c r="BP31" i="16"/>
  <c r="BP25" i="16"/>
  <c r="BP19" i="16"/>
  <c r="BP13" i="16"/>
  <c r="AC48" i="16"/>
  <c r="Z48" i="16"/>
  <c r="W48" i="16"/>
  <c r="AC41" i="16"/>
  <c r="Z41" i="16"/>
  <c r="W41" i="16"/>
  <c r="Z34" i="16"/>
  <c r="AC34" i="16"/>
  <c r="W34" i="16"/>
  <c r="AC31" i="16"/>
  <c r="Z31" i="16"/>
  <c r="W31" i="16"/>
  <c r="AC25" i="16"/>
  <c r="Z25" i="16"/>
  <c r="W25" i="16"/>
  <c r="Z19" i="16"/>
  <c r="AC19" i="16"/>
  <c r="W19" i="16"/>
  <c r="AC13" i="16"/>
  <c r="Z13" i="16"/>
  <c r="W13" i="16"/>
  <c r="BP50" i="16" l="1"/>
  <c r="AC50" i="16"/>
  <c r="Z50" i="16"/>
  <c r="BJ50" i="16"/>
  <c r="W50" i="16"/>
  <c r="BM50" i="16"/>
  <c r="BP27" i="15"/>
  <c r="BM27" i="15"/>
  <c r="BJ27" i="15"/>
  <c r="BP14" i="15"/>
  <c r="BM14" i="15"/>
  <c r="BJ14" i="15"/>
  <c r="AC27" i="15"/>
  <c r="Z27" i="15"/>
  <c r="W27" i="15"/>
  <c r="AC14" i="15"/>
  <c r="Z14" i="15"/>
  <c r="W14" i="15"/>
  <c r="W29" i="15" l="1"/>
  <c r="BP29" i="15"/>
  <c r="AC29" i="15"/>
  <c r="BM29" i="15"/>
  <c r="Z29" i="15"/>
  <c r="BJ29" i="15"/>
  <c r="BG48" i="16" l="1"/>
  <c r="BD48" i="16"/>
  <c r="BA48" i="16"/>
  <c r="T48" i="16"/>
  <c r="Q48" i="16"/>
  <c r="N48" i="16"/>
  <c r="BG41" i="16"/>
  <c r="BD41" i="16"/>
  <c r="BA41" i="16"/>
  <c r="T35" i="16"/>
  <c r="T41" i="16" s="1"/>
  <c r="Q35" i="16"/>
  <c r="Q41" i="16" s="1"/>
  <c r="N35" i="16"/>
  <c r="N41" i="16" s="1"/>
  <c r="BG34" i="16"/>
  <c r="BD34" i="16"/>
  <c r="BA34" i="16"/>
  <c r="T32" i="16"/>
  <c r="T34" i="16" s="1"/>
  <c r="Q32" i="16"/>
  <c r="Q34" i="16" s="1"/>
  <c r="N32" i="16"/>
  <c r="N34" i="16" s="1"/>
  <c r="BG31" i="16"/>
  <c r="BD31" i="16"/>
  <c r="BA31" i="16"/>
  <c r="T26" i="16"/>
  <c r="T31" i="16" s="1"/>
  <c r="Q26" i="16"/>
  <c r="Q31" i="16" s="1"/>
  <c r="N26" i="16"/>
  <c r="N31" i="16" s="1"/>
  <c r="BG25" i="16"/>
  <c r="BD25" i="16"/>
  <c r="BA25" i="16"/>
  <c r="T20" i="16"/>
  <c r="T25" i="16" s="1"/>
  <c r="Q20" i="16"/>
  <c r="Q25" i="16" s="1"/>
  <c r="N20" i="16"/>
  <c r="N25" i="16" s="1"/>
  <c r="BG19" i="16"/>
  <c r="BD19" i="16"/>
  <c r="BA19" i="16"/>
  <c r="T14" i="16"/>
  <c r="T19" i="16" s="1"/>
  <c r="Q14" i="16"/>
  <c r="Q19" i="16" s="1"/>
  <c r="N14" i="16"/>
  <c r="N19" i="16" s="1"/>
  <c r="BG13" i="16"/>
  <c r="BD13" i="16"/>
  <c r="BA12" i="16"/>
  <c r="BA11" i="16"/>
  <c r="BA10" i="16"/>
  <c r="BA9" i="16"/>
  <c r="BA8" i="16"/>
  <c r="T8" i="16"/>
  <c r="T13" i="16" s="1"/>
  <c r="Q8" i="16"/>
  <c r="Q13" i="16" s="1"/>
  <c r="N8" i="16"/>
  <c r="N13" i="16" s="1"/>
  <c r="BG27" i="15"/>
  <c r="BD27" i="15"/>
  <c r="BA27" i="15"/>
  <c r="T27" i="15"/>
  <c r="Q27" i="15"/>
  <c r="N27" i="15"/>
  <c r="BG14" i="15"/>
  <c r="BD14" i="15"/>
  <c r="BA14" i="15"/>
  <c r="T14" i="15"/>
  <c r="T29" i="15" s="1"/>
  <c r="Q14" i="15"/>
  <c r="N14" i="15"/>
  <c r="BG29" i="15" l="1"/>
  <c r="Q50" i="16"/>
  <c r="BD50" i="16"/>
  <c r="BG50" i="16"/>
  <c r="T50" i="16"/>
  <c r="N50" i="16"/>
  <c r="BA13" i="16"/>
  <c r="BA50" i="16" s="1"/>
  <c r="Q29" i="15"/>
  <c r="BA29" i="15"/>
  <c r="N29" i="15"/>
  <c r="BD29" i="15"/>
  <c r="BJ29" i="6"/>
</calcChain>
</file>

<file path=xl/sharedStrings.xml><?xml version="1.0" encoding="utf-8"?>
<sst xmlns="http://schemas.openxmlformats.org/spreadsheetml/2006/main" count="10929" uniqueCount="2732">
  <si>
    <t>DEPENDENCIA</t>
  </si>
  <si>
    <t>GRUPO</t>
  </si>
  <si>
    <t>ENERO</t>
  </si>
  <si>
    <t>FEBRERO</t>
  </si>
  <si>
    <t>MARZO</t>
  </si>
  <si>
    <t>Indicadores producto</t>
  </si>
  <si>
    <t>Indicadores de Gestión</t>
  </si>
  <si>
    <t>OAP</t>
  </si>
  <si>
    <t>OAJ</t>
  </si>
  <si>
    <t>Sancionatorio</t>
  </si>
  <si>
    <t>Defensa Jurídica</t>
  </si>
  <si>
    <t>N.A</t>
  </si>
  <si>
    <t>Cobro Coactivo</t>
  </si>
  <si>
    <t>Conceptos</t>
  </si>
  <si>
    <t>PROMEDIO OAJ</t>
  </si>
  <si>
    <t>Control disciplinario</t>
  </si>
  <si>
    <t>Comunicaciones</t>
  </si>
  <si>
    <t>OCI</t>
  </si>
  <si>
    <t>OTI</t>
  </si>
  <si>
    <t>Geoespaciales</t>
  </si>
  <si>
    <t>Sistemas de Información e Infraestructura</t>
  </si>
  <si>
    <t>PROMEDIO OTI</t>
  </si>
  <si>
    <t>SAF</t>
  </si>
  <si>
    <t>Gestión contractual</t>
  </si>
  <si>
    <t>Gestión financiera</t>
  </si>
  <si>
    <t>Gestión documental</t>
  </si>
  <si>
    <t>Gestión administrativa</t>
  </si>
  <si>
    <t>Gestión humana</t>
  </si>
  <si>
    <t>Notificaciones</t>
  </si>
  <si>
    <t>PROMEDIO SAF</t>
  </si>
  <si>
    <t>Participación Ciudadana</t>
  </si>
  <si>
    <t>Atención al ciudadano</t>
  </si>
  <si>
    <t>SELA</t>
  </si>
  <si>
    <t>Hidrocarburos</t>
  </si>
  <si>
    <t>Infraestructura</t>
  </si>
  <si>
    <t>Energía</t>
  </si>
  <si>
    <t>Minería</t>
  </si>
  <si>
    <t>Agroquímicos y Especiales</t>
  </si>
  <si>
    <t>Valoración y manejo de impactos</t>
  </si>
  <si>
    <t>NA</t>
  </si>
  <si>
    <t>PROMEDIO SELA</t>
  </si>
  <si>
    <t>SSLA</t>
  </si>
  <si>
    <t>Alto Magdalena-Cauca</t>
  </si>
  <si>
    <t>Caribe-Pacifico</t>
  </si>
  <si>
    <t>Medio Magdalena-Cauca Catatumbo</t>
  </si>
  <si>
    <t>Orinoquía-Amazonas</t>
  </si>
  <si>
    <t xml:space="preserve">Agroquímicos </t>
  </si>
  <si>
    <t>Valoración y Manejo de Impactos</t>
  </si>
  <si>
    <t>PROMEDIO SSLA</t>
  </si>
  <si>
    <t>SIPTA</t>
  </si>
  <si>
    <t>Permisos y trámites ambientales</t>
  </si>
  <si>
    <t>Certificaciones y vistos buenos</t>
  </si>
  <si>
    <t>Instrumentos</t>
  </si>
  <si>
    <t>Regionalización y centro de monitoreo</t>
  </si>
  <si>
    <t>PROMEDIO SIPTA</t>
  </si>
  <si>
    <t>PROMEDIO ENTIDAD</t>
  </si>
  <si>
    <t>* Aquellos indicadores que son constantes (todos los meses deben cumplir la meta propuesta) son normalizados según el tiempo promedio transcurridos, para no inflar el promedio de avance ni de los grupos, ni el de la entidad.</t>
  </si>
  <si>
    <t>** El avance presentado por cada indicador de las dependencias, se refleja en las hojas  del presente consolidado.</t>
  </si>
  <si>
    <t>*** El avance de aquellos indicadores que superan el 100% de su ejecución, para el promedio de grupo o dependencia su máximo será tomado como 100%, para no inflar el promedio de avance ni de los grupos, ni el de la entidad; e identificar alertas.</t>
  </si>
  <si>
    <t>PLAN NACIONAL DE DESARROLLO (2018-2022) PACTO POR COLOMBIA, PACTO POR LA EQUIDAD</t>
  </si>
  <si>
    <t>PLAN ESTRATÉGICO INSTITUCIONAL</t>
  </si>
  <si>
    <t>DEPENDENCIA/GRUPO</t>
  </si>
  <si>
    <t>RECURSOS</t>
  </si>
  <si>
    <t>INDICADOR DE PRODUCTO</t>
  </si>
  <si>
    <t>INDICADOR DE GESTIÓN</t>
  </si>
  <si>
    <t>MODELO INTEGRADO DE PLANEACIÓN Y GESTIÓN - MIPG</t>
  </si>
  <si>
    <t>Pacto transversal</t>
  </si>
  <si>
    <t>Línea Estratégica</t>
  </si>
  <si>
    <t>Proceso</t>
  </si>
  <si>
    <t>Dependencia</t>
  </si>
  <si>
    <t>Grupo</t>
  </si>
  <si>
    <t>FUENTE</t>
  </si>
  <si>
    <t>PROYECTO DE INVERSIÓN</t>
  </si>
  <si>
    <t>POR DEPENDENCIA</t>
  </si>
  <si>
    <t>POR GRUPO</t>
  </si>
  <si>
    <t>FÓRMULA INDICADOR DE PRODUCTO</t>
  </si>
  <si>
    <t>META DE PRODUCTO</t>
  </si>
  <si>
    <t xml:space="preserve">AVANCE REPORTADO </t>
  </si>
  <si>
    <t>PORCENTAJE DE AVANCE FRENTE A LA META</t>
  </si>
  <si>
    <t>AVANCE CUALITATIVO</t>
  </si>
  <si>
    <t>FÓRMULA INDICADOR DE GESTIÓN</t>
  </si>
  <si>
    <t>META DE GESTIÓN</t>
  </si>
  <si>
    <t>Dimensión</t>
  </si>
  <si>
    <t>Política MIPG</t>
  </si>
  <si>
    <t>IV. Pacto por la sostenibilidad: producir conservando y conservar produciendo</t>
  </si>
  <si>
    <t>Contribuir a la implementación de un modelo de gestión pública efectivo, orientado a resultados y a la satisfacción de sus grupos de interés</t>
  </si>
  <si>
    <t>Orientación estratégica</t>
  </si>
  <si>
    <t>Oficina Asesora de Planeación</t>
  </si>
  <si>
    <t>Inversión</t>
  </si>
  <si>
    <t>FORTALECIMIENTO DE LA GESTIÓN INSTITUCIONAL Y TECNOLOGICA DE LA AUTORIDAD NACIONAL DE LICENCIAS AMBIENTALES EN EL TERRITORIO NACIONAL</t>
  </si>
  <si>
    <t>Auditorías realizadas</t>
  </si>
  <si>
    <t>Número auditorías realizadas/ Número auditorías programadas</t>
  </si>
  <si>
    <t>Este indicador tiene frecuencia de medición anual</t>
  </si>
  <si>
    <t>NO TIENE INDICADORES DE GESTIÓN</t>
  </si>
  <si>
    <t>Control Interno</t>
  </si>
  <si>
    <t>Política de Control interno</t>
  </si>
  <si>
    <t>Herramientas para el seguimiento a metas institucionales</t>
  </si>
  <si>
    <t>Número herramientas diseñadas</t>
  </si>
  <si>
    <t>Durante el mes de enero se trabajó en el plan de trabajo de las herramientas a diseñar en la vigencia</t>
  </si>
  <si>
    <t>A corte 28 de febrero se cuenta con un 10% de avance ponderado en las 2 herramientas programadas para la vigencia</t>
  </si>
  <si>
    <t xml:space="preserve">A corte 31 de marzo se cuenta con un 10% de avance ponderado en las 2 herramientas programadas para la vigencia
</t>
  </si>
  <si>
    <t>Porcentaje de avance en el diseño de la herramienta de formulación y seguimiento del MIPG</t>
  </si>
  <si>
    <t>âˆ‘= Suma de todos los procesos programadas desde 1 hasta n (i); \\nwi= peso porcentual para cada proceso; Xi= Valor del proceso</t>
  </si>
  <si>
    <t>A corte 31 de enero se presenta un avance del 5% del plan de acción de este indicador</t>
  </si>
  <si>
    <t>A corte 28 de febrero se presenta un avance del 5% del plan de acción de este indicador</t>
  </si>
  <si>
    <t>A corte 31 de marzo se presenta un avance del 5% del plan de acción de este indicador</t>
  </si>
  <si>
    <t>Evaluación de Resultados</t>
  </si>
  <si>
    <t>Política de Seguimiento y evaluación del desempeño institucional</t>
  </si>
  <si>
    <t>Porcentaje de avance en el diseño de la herramienta de formulación y seguimiento del PAAC</t>
  </si>
  <si>
    <t>A corte 28 de febrero se presenta un avance del 25% del plan de acción de este indicador</t>
  </si>
  <si>
    <t>A corte 31 de marzo se presenta un avance del 25% del plan de acción de este indicador</t>
  </si>
  <si>
    <t>Porcentaje de avance en la documentación de herramientas institucionales</t>
  </si>
  <si>
    <t>âˆ‘= Suma de todos los procesos programadas desde 1 hasta n (i); \\\\\\\\nwi= peso porcentual para cada proceso; Xi= Valor del proceso</t>
  </si>
  <si>
    <t>Durante el mes de enero no se presentó avance para este indicador</t>
  </si>
  <si>
    <t>Durante el mes de febrero no se presentó avance para este indicador</t>
  </si>
  <si>
    <t>Durante el mes de marzo no se presentó avance para este indicador</t>
  </si>
  <si>
    <t>Porcentaje de ejecución del Plan de Acción Institucional</t>
  </si>
  <si>
    <t>Porcentaje de avance en la ejecución del Plan de Acción Institucional</t>
  </si>
  <si>
    <t>A corte 31 de enero la entidad tuvo un avance de 4.2% en indicadores de producto</t>
  </si>
  <si>
    <t>A corte  28 de febrero la entidad tuvo un avance de 13.2% en indicadores de producto</t>
  </si>
  <si>
    <t>A corte 31 de marzo la entidad tuvo un avance de 21.7% en indicadores de producto</t>
  </si>
  <si>
    <t>Número de Documentos de planeación con seguimiento realizado</t>
  </si>
  <si>
    <t>Número de documentos de planeación con seguimiento realizado</t>
  </si>
  <si>
    <t>A corte 31 de enero ningún documento de planeación tuvo seguimiento completo</t>
  </si>
  <si>
    <t>A corte 28 de febrero aún no se ha realizado un seguimiento completo para ninguno de los documentos de planeación priorizados para la vigencia</t>
  </si>
  <si>
    <t>A corte 31 de marzo aún no se ha realizado un seguimiento completo para ninguno de los documentos de planeación priorizados para la vigencia</t>
  </si>
  <si>
    <t>Número de seguimientos realizados a documentos de planeación</t>
  </si>
  <si>
    <t>Sumatoria de seguimientos realizados a los documentos de planeación</t>
  </si>
  <si>
    <t>A corte 31 de enero no se realizó ningún seguimiento a ningún documento de planeación</t>
  </si>
  <si>
    <t xml:space="preserve">A corte 28 de febrero se realizó el seguimiento al PAI de enero </t>
  </si>
  <si>
    <t>Durante el mes de marzo se realizó el segundo seguimiento al PAI y el seguimiento a la estrategia de evaluación. A corte 31 de marzo se tiene un acumulado de tres seguimientos</t>
  </si>
  <si>
    <t>Sistema de gestión implementado</t>
  </si>
  <si>
    <t xml:space="preserve">	
Número de sistemas de gestión implementados</t>
  </si>
  <si>
    <t>Durante el mes de enero se adelantaron mesas de trabajo con el equipo de calidad con el fin de elaborar el plan de trabajo para el 2021, estableciendo las actividades representativas y el plazo en que se deberán implementar para mejorar el sistema de gestión de calidad de la entidad. De igual manera se plantearon los compromisos para los gerentes púbicos con el objetivo de asegurar la implementación y mejora del SGC en todos los niveles de la organización.</t>
  </si>
  <si>
    <t>Durante el mes de febrero se adelantaron las siguientes actividades asociadas al plan de trabajo del SCG:
1. Se llevaron a cabo sesiones entre el equipo de calidad para revisar, ajustar y hacer pruebas de la metodología para formulación de contexto.
2. Reuniones con Fabio Garcia con el fin de ajustar la herramienta GESRIESGOS en cuanto a cambios menores en el flujo y en la publicación.
3. Avance en la publicación de riesgos de gestión en el aplicativo:  total 17/62 un: 27,42%
4. Se comunicaron directrices para la socialización de los documentos de GESPRO  de cada proceso tanto transversales a la entidad como internos.Estas directrices se divulgaron a los enlaces y a los jefes en comité directivo.
5. Reporte semestral de salidas NC 
6. Se envió correo por parte de la jefe de la OAP al jefe de la OCI solicitando apoyo para el cumplimiento de esta actividad, para la cual se dio respuesta en comité directivo indicando que las audidtorias internas al SGC estaran a cargo de la segunda linea de defensa (OAP). A la fecha se tiene propuesta de convocatoria y encuesta para seleccion y formación de auditores internos. Se tiene pendiente definir con la dirección general y la jefe de la OAP que drectriz se tomará al respecto.
7. Se definieron requerimientos  para la RXD  vigencia 2020.
8. Se ha avanzado en la ealaución de riesgos para la certificación ISO 9001:2015</t>
  </si>
  <si>
    <t>Durante el mes de marzo se avanzó en las siguientes acciones principales:
1. Se avanzó en la herrmienta y metodología del contexto de la entodad
2. Se planificó el módulo de monitoreo y seguimiento en la herramienta GESRIESGOS.
3. Se dio a compañamiento a los procesos en la revisión y actualización de los riesgos de gestión en el aplicativo GESRIESGOS. En total se evidencia 52 riesgos de egestión cargados en la herrramienta. 
4. Se llevó a cabo reunión para hacer seguimiento y análisis de los resultados reportados en las SNC del II semestre del 2020.
5. Se avanzó en el seguimiento plan de trabajo de las socialziación de los documentos en GESPRO.
6. Se elaboraron términos de referencia e invitaciones para cotizar con un proveedor externo la auditoria interna al SGC. Se tiene pendientes elaborar cuadro comprativo y análizar las propuestas que se reciban.
7. Con el equipo de calidad se revisaron los requisitos a implementar para la revisión de la dirección en cumplimiento del numeral 9.3 de los sistemas de gestión de la entidad (ISO 9001, ISO 14001 y D1072) vigencia restante de 2020.
Nota: Se  aclara que para el reporte de marzo se debió ajustar  la medición correspondiente a actividades  avanzadas en el mes de febrero en 3%.</t>
  </si>
  <si>
    <t>Porcentaje De Avance En La Implementación De Sistemas De Calidad De La Gestión</t>
  </si>
  <si>
    <t>Porcentaje de avance en la implementación de los planes de acción del MIPG</t>
  </si>
  <si>
    <t>âˆ‘= Suma de todos los procesos programados desde 1 hasta n (i); \\nwi= peso porcentual para cada proceso; Xi= Valor del proceso</t>
  </si>
  <si>
    <t>Este indicador tiene frecuencia de medición trimestral</t>
  </si>
  <si>
    <t>A corte 31 de marzo se cuenta con un avance consolidado de 27% del PIGD</t>
  </si>
  <si>
    <t>Planes institucionales implementados</t>
  </si>
  <si>
    <t>Número de planes institucionales implementados - MIPG</t>
  </si>
  <si>
    <t>A la fecha no se ha implementado ningún plan</t>
  </si>
  <si>
    <t>Índice de lucha contra la corrupción</t>
  </si>
  <si>
    <t xml:space="preserve">Por Definir metodología de medición </t>
  </si>
  <si>
    <t>0.85</t>
  </si>
  <si>
    <t>Este indicador es de medición anual</t>
  </si>
  <si>
    <t>Índice de desempeño institucional</t>
  </si>
  <si>
    <t>Avance alcanzado por la entidad en el IDI</t>
  </si>
  <si>
    <t>Porcentaje de transformación de conocimiento</t>
  </si>
  <si>
    <t>Número de acciones del inventario de conocimiento tácito efectuadas / Total de acciones del inventario de conocimiento tácito)</t>
  </si>
  <si>
    <t>Cumplido el primer trimestre de 2021 se tiene un avance del 37%, esto conforme al cumplimiento de 47 de las 126 acciones programadas.</t>
  </si>
  <si>
    <t>Promedio Total en metas de Producto</t>
  </si>
  <si>
    <t>Promedio Total en metas de Gestión</t>
  </si>
  <si>
    <t>Gestionar el conocimiento y la innovación en los procesos de evaluación y seguimiento de las licencias, permisos y trámites ambientales con transparencia</t>
  </si>
  <si>
    <t>Gestión de tecnologías comunicaciones y seguridad de la información</t>
  </si>
  <si>
    <t>Oficina de Tecnología de la Información</t>
  </si>
  <si>
    <t>Oficina de Tecnologías de la Información</t>
  </si>
  <si>
    <t>Gestión con valores para resultados</t>
  </si>
  <si>
    <t>Política de Gobierno digital</t>
  </si>
  <si>
    <t>Promedio de avance en metas de Producto</t>
  </si>
  <si>
    <t>Promedio de avance en metas de Gestión</t>
  </si>
  <si>
    <t>Grupo Asuntos Geoespaciales</t>
  </si>
  <si>
    <t>Sin avance al mes de enero</t>
  </si>
  <si>
    <t>De las 15 herramientas o acciones solicitadas, se implementaron las 15:
Ev001: Capacitación ÁGIL nivel 1
Ev002: Actualización de expedientes (15) en las capas de proyectos licenciados
Ev003: Metadato del servicio Núcleos de Deforestación
Ev004: Validación - prueba conexión VDA
Ev005: Levantamiento de requerimientos Proyecto CTS (13 sesiones)
Ev006: Alcance del Desarrollo de Concepto Técnico de Seguimiento
Ev007: Revisión sistema de recepción de monitoreo
Ev008: Capacitación complementaria al grupo de VPD sobre el Diligenciamiento FPO, depuración, edición y carga de Bases de Datos a la Base de Datos corporativa
Ev009: Solución mesa de ayuda 0009280 (envío de archivos shp)
Ev010: Soporte Acceso información Regionalización
Ev011: Solicitud de información ÁGIL (socioeconómico externos)
Ev012: Generación de Listado Expedientes_en_BDC_2021-02-25 (Para tema Flora)
Ev013: Se realizan ajustes a la consulta de lista de chequeo externa para el caso de los VPDs, visualización servicio AGIL Externo.
Ev014: Ajuste a la herramienta de exportar shapefile dependiendo el sistema de origen de coordenadas.
Ev015: Se continúa con el desarrollo del frontend y backend del aplicativo WEB para carga de Modelo de almacenamiento geográfico.</t>
  </si>
  <si>
    <t>Índice de capacidad en la prestación de servicios de tecnología.</t>
  </si>
  <si>
    <t>De los 5 tableros geoespaciales solicitados, cinco fueron implementados:
Ev001: Mejora completa del backend en C#, control de valores en ceros y actualización de datos: Monitoreo Hidrométrico HidroItuango Dashboard
Ev002: Mejora completa del backend en C#, control de valores en ceros y actualización de datos: Monitoreo Hidrométrico HidroItuango
Ev003: Mejora completa del backend en C#, control de valores en ceros y actualización de datos: Oferta vs Demanda HidroItuango
Ev004: Edición de widgets, actualización de dominios y edición de scripts de carga de datos: PQRSD ENTES DE CONTROL
Ev005: Modificación de la estructura de los feature class, tablas y vistas, edición y republicación del servicio, actualización de dominios: Monitor de Olores Proyecto Doña Juana</t>
  </si>
  <si>
    <t>Indicador acumulado. para en el mes no se recibieron solicitudes de tableros geoespaciales para implementar, por lo que se mantiene el avance a febrero de los implementados versus los solicitados</t>
  </si>
  <si>
    <t>Sin avance al mes de febrero</t>
  </si>
  <si>
    <t>16 acciones ejecutadas/50 acciones proyectadas= 32%
2021_02 Ev001: Publicación de Núcleos de Deforestación
2021_02 EV002: Publicación del servicio Regionalización Guajira 2021
2021_02 EV003: Publicación del servicio Regionalización Mojana
2021_02 EV004: Publicación del servicio Regionalización Rio Bogotá
2021_02 EV005: Publicación del servicio Regionalización Tribuga
2021_03 Ev001: Publicación de Ocupaciones de Cauce
2021_03 Ev002: Publicación de Captaciones de Agua Superficial (puntos)
2021_03 Ev003: Publicación de Captaciones de Agua Superficial (tramos)
2021_03 Ev004: Publicación de Vertimientos en Fuente Superficial (puntos)
2021_03 Ev005: Publicación de Vertimientos en Fuente Superficial (tramos)
2021_03 Ev006: Publicación de Aspersión en Vía (Gestión Residuos Líquidos)
2021_03 Ev007: Publicación de Vertimiento en Suelo
2021_03 Ev008: Publicación de Punto de Muestreo de Agua Superficial
2021_03 Ev009: Publicación de Captaciones de Agua Subterránea
2021_03 Ev010: Publicación de Punto de Muestreo de Agua Subterránea
2021_03 Ev011: Publicación de Inyección</t>
  </si>
  <si>
    <t>SISTEMAS DE INFORMACIÓN E INFRAESTRUCTURA</t>
  </si>
  <si>
    <t>Procesos de adquisición de equipos de hardware y/o herramientas de software</t>
  </si>
  <si>
    <t>Número de procesos de adquisición de equipos de hardware y/o herramientas de software</t>
  </si>
  <si>
    <t>Sin avance en el mes, debido a cambio de enfoque y método de trabajo.</t>
  </si>
  <si>
    <t>Se ha avanzado en el contrato CONECTIVIDAD PARA LA ANLA - VIGENCIAS y en un 0,25 del contrato de ARRENDAMIENTO DE IMPRESORAS Y PERIFERICOS</t>
  </si>
  <si>
    <t>Se ha avanzado en 4 procesos contractuales</t>
  </si>
  <si>
    <t>Durante el mes de Enero no se materializaron ataques a la infraestructura y sistemas de información de la Entidad.</t>
  </si>
  <si>
    <t>El calculo de avance de este indicador se da de la siguiente forma, es un indicador acumulado:
100 (total) / 12 (meses vencidos al año) = 8,03% mensual * 2 meses (enero y febero) = 16,7%</t>
  </si>
  <si>
    <t>No se han materializado ataques contra los servicios tecnológicos de la entidad a marzo</t>
  </si>
  <si>
    <t xml:space="preserve">En el mes de enero de 2021 no se gestionaron adquisiciones TI (denominador del indicador). Solo contratación de recurso humano. </t>
  </si>
  <si>
    <t>Se ha avanzado en un 4% de la CONECTIVIDAD PARA LA ANLA - VIGENCIAS</t>
  </si>
  <si>
    <t>De las 27 adquisiciones propuestas para 2021, 4 ya se encuentran implementadas y en funcionamiento con licencimianto, soporte y garantia.</t>
  </si>
  <si>
    <t>A-CAPACIDAD TÉCNICA Y HUMANA PARA RESOLVER EN PRIMERA LÍNEA LAS SOLICITUDES DE MESA DE AYUDA (0,50) B-CAPACIDAD TÉCNICA Y HUMANA DE MONITORIZACIÓN DE LA INFRAESTRUCTURA Y LOS SERVICIOS TI (0,25) C-SATISFACCIÓN DEL CLIENTE EN LA RESOLUCIÓN DE CASOS DE MESA DE AYUDA (0,25) D-INCIDENTES QUE AFECTAN LA DISPONIBILIDAD, INTEGRIDAD O CONFIDENCIALIDAD OCASIONADOS POR FALTA DE CAPACIDAD TI (0,05) Y E-CAPACIDAD OTI EN LA GESTIÓN DEL CAMBIO DE LA PLATAFORMA(0,05). LAS CIFRAS RESULTADO DE CADA INDICADOR SON INCORPORADAS EN UN TABLERO DE CONTROL Y REPORTADAS MENSUALMENTE SEGÚN LA FÓRMULA ICPST=[A(0,50)+B(0.25)+C(0,25)]-[D(0,05)}+E(0,05)]</t>
  </si>
  <si>
    <t xml:space="preserve">Se calcula el valor del indicador, teniendo en cuenta los % de avance y ponderaciones a cada indicador del índice </t>
  </si>
  <si>
    <t>Se calcula el valor del indicador, teniendo en cuenta los % de avance y ponderaciones a cada indicador del índice, alcanzando el 95% al mes de marzo de la vigencia</t>
  </si>
  <si>
    <t>Servicios de soporte informático atendidos</t>
  </si>
  <si>
    <t>Cantidad de solicitudes resueltas en primera línea / Cantidad total de solicitudes recibidas a través de Mesa de Ayuda acumulada en el periodo</t>
  </si>
  <si>
    <t>Los casos de soporte técnico de mesa de ayuda resueltos en primera línea durante el mes de enero fueron 2086 sobre 2286 reportados.</t>
  </si>
  <si>
    <t>Se realiza avance de acuerdo al tablero errojado mensualmente por mesa de ayuda: de las 1887 mesas de ayuda reportadas, se atendieron 1710 mess de ayuda lo cual representa el 90,6%</t>
  </si>
  <si>
    <t xml:space="preserve">En el mes de marzo de 2021 se realizaron 1668 solicitudes por mesa de ayuda, de las cuales se atendieron en primera linea 1531. </t>
  </si>
  <si>
    <t>Módulos Del Sistema De Información Actualizados - (Mantenimiento y actualización de software)</t>
  </si>
  <si>
    <t>Número de módulos actualizados</t>
  </si>
  <si>
    <t>Este indicador, se reporta de acuerdo con información extraida de la mesa de ayuda, donde se reportan la cantidad de RFC radicados en el mes. RFC es el formato que se utiliza en TI para pasar un desarrollo a ambiente de producción toda vez que ya fue probado y aceptado por el usuario final. En el mes de febrero se reportaron 6 RFC.</t>
  </si>
  <si>
    <t xml:space="preserve">Se realizaron en marzo 17 más los 6 realizados en febrero se alcanza 23 módulos actualizados. Se evidencia la necesidad de modificar la meta, dado que se supero lo planteado para la vigencia
</t>
  </si>
  <si>
    <t>No se presenta avance en este indicador, toda vez que no se ha llevado a comité Directivo la priorización de los proyectos. Lo anterior, teniendo en cuenta que en OTI esta diseñando una nueva estrategia para atender los proyectos de software requeridos por las dependencias, la cual será socializada a Comite en el mes de abril.</t>
  </si>
  <si>
    <t>Porcentaje de implementación de los nuevos proyectos priorizados por Comité Directivo</t>
  </si>
  <si>
    <t>Número de proyectos priorizados implementados / Total de proyectos priorizados por Comité Directivo</t>
  </si>
  <si>
    <t>no se ha realizado la priorización de proyectos en Comité Directivo.</t>
  </si>
  <si>
    <t>No se reporta avance en febrero para este indicador, toda vez que aún no se ha realizado la priorización de proyectos en comité directivo.</t>
  </si>
  <si>
    <t>Grupo de Sistemas de Información e Infraestructura</t>
  </si>
  <si>
    <t>Implementación del Plan Estratégico de Tecnologías de la Información PETI 2020 -2022</t>
  </si>
  <si>
    <t># de actividades ejecutadas / # actividades proyectadas para 2021</t>
  </si>
  <si>
    <t>Se formuló, aprobó y publicó en el portal web de la ANLA, el Plan Estratégico de Tecnologías de la Información PETI 2020 -2023</t>
  </si>
  <si>
    <t>La dependencia ha avanzado en un 7% del plan de trabajo establecido para el cumplimiento de las apuestas del PETI en 2021</t>
  </si>
  <si>
    <t>La dependencia ha avanzado en un 20% del plan de trabajo establecido para el cumplimiento de las apuestas del PETI en 2021</t>
  </si>
  <si>
    <t>Implementación del Plan de Seguridad y Privacidad de la Información 2020 -2022</t>
  </si>
  <si>
    <t>Se formuló, aprobó y publicó en el portal web de la ANLA, el PLAN DE SEGURIDAD Y PRIVACIDAD DE LA INFORMACIÓN 2021 como parte integral del PETI.</t>
  </si>
  <si>
    <t>El avance del plan de seguridad de la información se toma de las actividades establecidas en el archivo adjunto "Plan de seguridad digital"</t>
  </si>
  <si>
    <t>El avance del plan de seguridad de la información se toma de las actividades establecidas en el "Plan de seguridad digital" donde se evidencia un avance a corte de marzo de 19,96%</t>
  </si>
  <si>
    <t>Implementación del Plan de Tratamiento de Riesgos de Seguridad y Privacidad de la Información 2020 -2022</t>
  </si>
  <si>
    <t>Se formuló, aprobó y publicó en el portal web de la ANLA, el PLAN DE TRATAMIENTO DE RIESGOS DE SEGURIDAD DE LA INFORMACIÓN como parte integral del PETI.</t>
  </si>
  <si>
    <t>El calculo de este indicador se realizó mediante el avance de las actividades del plan de tratamiento de riesgos plasmado en la tabla llamada "PLan tratamiento riesgos" actividad que presenta avance "GESTIÓN DE RIESGOS DE SEGURIDAD Y LA PRIVACIDAD DE LA INFORMACIÓN - Se realizan sesiones para diligenciamiento del BIA"</t>
  </si>
  <si>
    <t xml:space="preserve">El calculo de este indicador se realizó mediante el avance de las actividades del plan de tratamiento de riesgos plasmado en la tabla llamada "PLan tratamiento riesgos" actividad que presenta avance "GESTIÓN DE RIESGOS DE SEGURIDAD Y LA PRIVACIDAD DE LA INFORMACIÓN </t>
  </si>
  <si>
    <t>Implementación del Plan de implementación tecnologías emergentes (Transformación digital)</t>
  </si>
  <si>
    <t>Porcentaje de avance en la implementación del Plan de tecnologías emergentes</t>
  </si>
  <si>
    <t>En este mes no se presenta avance de este indicador toda vez que se esta recolectando información para realizar pilotos de prueba de concepto</t>
  </si>
  <si>
    <t>Se realizó el documento de entendimiento para identificar tendencias y posibles proveedores para la realización de pruebas de concepto de tecnologías de la revolución 4.0, del plan de trabajo, para un avance del 6%</t>
  </si>
  <si>
    <t>Número de sistemas de información implementados</t>
  </si>
  <si>
    <t>No se presenta avance en este indicador, toda vez que se esta revaluando la estructura y metodologia para el analisis y diseño del SILA II</t>
  </si>
  <si>
    <t>Uso de los sistemas de información</t>
  </si>
  <si>
    <t>Número de usuarios que utilizan los sistemas de información / Número de usuarios programados para utilizar los sistemas de información</t>
  </si>
  <si>
    <t>Sin avance en el mes, debido a cambio de enfoque y método de trabajo. Indicador pendiente de validacion estratégica.</t>
  </si>
  <si>
    <t>Este indicador se obtiene del calculo porcentual de usuarios queingresan a los Sistemas de Información SILAy SIGPRO:
SILA: 477 Usuarios ingresaron en el mes / 1324 usuarios cuentan con aceso = 36%
SIGPRO: 300 usuario ingresaron en el mes / 1343 usuarios cuentan con acceso = 22%
PROMEDIO: 29%</t>
  </si>
  <si>
    <t>El cálculo se basa en el uso de los sitemas más utilizados en la entidad:
SILA: 438/1326= 33%
SIGPRO: 343/1331= 25%
GESPRO: 161/1331 = 12%
SPGI: 69/84= 82%
GESRIESGOS: 40/57=70%
OELA: 47/55= 85%
OESA: 27/42=64%
Avance 59% frente a la meta</t>
  </si>
  <si>
    <t>Porcentaje de satisfacción de los sistemas de información</t>
  </si>
  <si>
    <t>Porcentaje de satisfacción de los usuarios internos de la entidad con los sistemas de información</t>
  </si>
  <si>
    <t>ANUAL</t>
  </si>
  <si>
    <t xml:space="preserve">* El presupuesto por dependencia no inlcuye la asignación a viaticos, tiquetes, nómina y servicios administrativos para funcionamiento de la entidad, esto se verá registrado en el Plan Anual de Adquisiciones.
** En los indicadores se refleja el presupuesto programado, pero queda presupuesto sin programar del total de presupuesto asignado a la dependencia 
</t>
  </si>
  <si>
    <t>Incrementar la credibilidad en la entidad por parte de sus grupos de interés</t>
  </si>
  <si>
    <t>COMUNICACIONES</t>
  </si>
  <si>
    <t>Porcentaje de Posicionamiento de la ANLA a nivel externo</t>
  </si>
  <si>
    <t>(Porcentaje de Posicionamiento de la ANLA a nivel externo 2021/Porcentaje de Posicionamiento de la ANLA a nivel externo 2020)-1</t>
  </si>
  <si>
    <t>7,3%</t>
  </si>
  <si>
    <t>Durante este mes de enero el porcentaje de pocicionamiento positivo de la ANLA en los medios de comunicación nacional y regional, llegó a un 51%, destacando principalmente temas como:  archivó solicitud de licencia de Minesa en el Páramo de Santurbán; multa a Sociedad de Hidroituango por $ 5.500 millones y ANLA e iNNpulsa firman alianza para promover innovación sostenible.</t>
  </si>
  <si>
    <t>14,7%</t>
  </si>
  <si>
    <t>Para el mes de febrero se registraron 69 noticias positivas que equivalen al 51% gestionadas en medios de comunicación, relacionados en los siguientes contenidos: *Beneficios tributarios, logros ANLA, Lizama, Contingencia Campo Moriche, Fracking, Cerro Matoso, Glifosato, Hidroituango </t>
  </si>
  <si>
    <t>51,6%</t>
  </si>
  <si>
    <t>22,2%</t>
  </si>
  <si>
    <t>Notas periodisticas gestionadas y elaboradas por la ANLA</t>
  </si>
  <si>
    <t>No. De notas e información gestionada en medios de comunicación</t>
  </si>
  <si>
    <t>14,8%</t>
  </si>
  <si>
    <t>Durante el mes de enero se gestionaron 65 notas de prensa en los diferentes medios comunicación Nacionales y regionales relacionados con temas como: la alianza de la ANLA con iNNpulsa; Hidroituango; Archivo de licencia de Minesa en páramos de Santurbán y evaluación del proyectos del sector minero.</t>
  </si>
  <si>
    <t>24,3%</t>
  </si>
  <si>
    <t>En el mes de febrero obtuvimos 42 notas gestionadas en medios de comunicación, relacionado con los siguientes temas: Lizama, Glifosato, Cerro Matoso, Petróleo en Boyaca, Hidroituango, Fracking, Contingencia Morichara</t>
  </si>
  <si>
    <t>Para este mes se gestionaron 47 noticias las cuales fueron publicadas en los medios de comunicación en el mes de marzo</t>
  </si>
  <si>
    <t>Direccionamiento Estratégico y Planeación</t>
  </si>
  <si>
    <t>Porcentaje de posicionamiento de la ANLA a nivel interno</t>
  </si>
  <si>
    <t>Grado de satisfacción de los colaboradores dela ANLA frente a la comunicación interna.</t>
  </si>
  <si>
    <t>La encuestas a usuarios internos se realizará en el mes de octubre, a patir de este instrumento se obtiene la medición del indicador.</t>
  </si>
  <si>
    <t>Campañas realizadas</t>
  </si>
  <si>
    <t>Número de campañas priorizadas publicadas</t>
  </si>
  <si>
    <t>Se realizó una campaña junto a la Subdirección Administrativa y Financiera, sobre las 13 vacantes de empleo para jóvenes sin experiencia profesional. Esta campaña tuvo acciones en canales de comunicación como el correo electrónico, La Ronda Semanal, Intranet, Carteleras Digitales y página web.</t>
  </si>
  <si>
    <t>Durante el mes de febrero se realizaron 2 campañas correspondientes a: Trabajo en equipo #JuntosPodemosHacerGrandesCosas y	Línea Ética</t>
  </si>
  <si>
    <t>Para este mes se registraron dos campañas:1) Gracias Mujeres Anla (Dìa Internacional de los Derechos de la Mujer y 2) Logros ANLA</t>
  </si>
  <si>
    <t>Contenidos publicados en canales de comunicación externo en servicio</t>
  </si>
  <si>
    <t>Número de contenidos publicados realizadas en canales de comunicación externos</t>
  </si>
  <si>
    <t>Durante este mes se realizaron 345 publicaciones en los principales canales de comunicación externa de la entidad como: Redes sociales Facebook, Twitter, Linkdin y página web de la ANLA</t>
  </si>
  <si>
    <t>Durante el mes de febrero se realizaron 157 publicaciones en página web y 306 publicaciones en redes sociales. El contenido asociado a estos dos canales correspondió a la creación de la línea ética, participación de Audiencias Públicas, contenidos generados desde comunicaciones, tales como: logros ANLA 2020, participación de eventos con entidades para impulsar el desarrollo sostenible, ANLA al día.</t>
  </si>
  <si>
    <t>Para este mes se registraron 108 publicaciones en la página web y 320 publicaciones en redes sociales (Twitter, Facebook, LinkedIn, Youtube</t>
  </si>
  <si>
    <t>Contenidos publicados en canales de comunicación interno en servicio</t>
  </si>
  <si>
    <t>Número de contenidos publicados en canales de comunicación internos</t>
  </si>
  <si>
    <t>6,7%</t>
  </si>
  <si>
    <t>Canales de comunicación en servicio</t>
  </si>
  <si>
    <t>Número de Canales gestionados en servicio</t>
  </si>
  <si>
    <t>Durante este mes se dio uso a 8 canales en servicio institucionales en los que encontramos: Intranet, Videos internos, carteleras digitales, Facebook, Twitter, Linkedin, correo electrónico, Ronda Semanal y página web.</t>
  </si>
  <si>
    <t>En febrero se utilizaron 10 canales de comunicación internos y externos con contenidos creados para cada uno de estos.</t>
  </si>
  <si>
    <t>En marzo se utilizaron 10 canales de comunicación internos y externoscon contenidos creados para cada uno de estos</t>
  </si>
  <si>
    <t>7,6%</t>
  </si>
  <si>
    <t>18,28%</t>
  </si>
  <si>
    <t>8,81%</t>
  </si>
  <si>
    <t>18,11%</t>
  </si>
  <si>
    <t>27,78%</t>
  </si>
  <si>
    <t>* El presupuesto por dependencia no inlcuye la asignación a viaticos, tiquetes, nómina y servicios administrativos para funcionamiento de la entidad, esto se verá registrado en el Plan Anual de Adquisiciones.</t>
  </si>
  <si>
    <t>Contribuir al desarrollo sostenible ambiental a partir de un efectivo proceso de evaluación y seguimiento.</t>
  </si>
  <si>
    <t>Grupo de Permisos y Autorizaciones</t>
  </si>
  <si>
    <t>FORTALECIMIENTO DE LOS PROCESOS DE LA EVALUACIÓN Y EL SEGUIMIENTO DE LAS LICENCIAS, PERMISOS Y TRÁMITES AMBIENTALES EN EL TERRITORIO NACIONAL</t>
  </si>
  <si>
    <t>Actos administrativos expedidos para resolver las solicitudes de evaluación de los permisos y trámites ambientales.</t>
  </si>
  <si>
    <t># de actos administrativos que resuelven solicitudes de permisos ambientales.</t>
  </si>
  <si>
    <t>Para enero de 2021 se emitieron 32 AA  que acogieron la evaluación  de solicitudes de permisos, de las cuales 25 son del trámite No Cites y corresponden al 78.13% de los AA, 4 AA de Diversidad Biológica y 3 de Permisos Fuera de Licencia.</t>
  </si>
  <si>
    <t>Al 28 de febrero de 2021 se emitieron  75 AA  que acogieron la evaluación  de solicitudes de permisos, de las cuales 51 son del trámite No Cites y corresponden al 68% de los AA, 13 AA de Diversidad Biológica  con el 17,33% y 11 de Permisos Fuera de Licencia con el 14,67%.</t>
  </si>
  <si>
    <t>Al 31 de marzo de 2021 se emitieron  121 AA  que acogieron la evaluación  de solicitudes de permisos, de éstas, 75 correspoden al trámite No Cites y corresponden al 61,98% de los AA, 25 AA de Diversidad Biológica  con el 20,66%, 19 de Permisos Fuera de Licencia con el 15,70% y  2 AA de Posconsumo</t>
  </si>
  <si>
    <t>Conceptos técnicos emitidos para resolver las solicitudes de evaluación a permisos y trámites ambientales.</t>
  </si>
  <si>
    <t># de conceptos técnicos realizados para resolver las solicitudes de evaluación de permisos ambientales.</t>
  </si>
  <si>
    <t>Con corte al 28 de febrero, se realizaron 78 ct técnicos de evaluación de solicitudes de permisos, de las cuales 51 fueron sobre el trámite nct y representan el 65.38% de los ct de evaluación de permisos realizados, seguido de idb con el 19.23%, 15 ct, pfl 10 ct correspondientes al 12.82% y posconsumo 2 ct con el 2.56%.</t>
  </si>
  <si>
    <t>Con corte al 31 de marzo, se realizaron 117 CT técnicos de evaluación de solicitudes de permisos, de las cuales 75  fueron sobre el trámite NCT y representan el 64.10% de los CT de evaluación de permisos realizados, seguido  de IDB con el 23.93%, 28 CT,  PFL  12 CT correspondientes al 10.26% y Posconsumo 2 CT con el 1.71%</t>
  </si>
  <si>
    <t>Permisos y trámites ambientales otorgados</t>
  </si>
  <si>
    <t>Sumatoria del número de permisos y trámites otorgados</t>
  </si>
  <si>
    <t>En enero de otorgaron 28 permisos solicitados, de las cuales 25 son del trámite NCT y 3 de Diversidad Biológica.</t>
  </si>
  <si>
    <t>Al 28 de febrero de 2021 se otorgaron 65 permisos solicitados, de las cuales 51 son del trámite NCT, 10 de Diversidad Biológica y 4 de Permisos Fuera de Licencia</t>
  </si>
  <si>
    <t>Al 31 de marzo de 2021 se otorgaron 99 permisos solicitados, de las cuales 75 son del trámite NCT, 20 de Diversidad Biológica y 4 de PFL.</t>
  </si>
  <si>
    <t>Actos administrativos expedidos para resolver el seguimiento de los permisos y trámites ambientales.</t>
  </si>
  <si>
    <t># de actos administrativos que acogen el seguimiento realizado a permisos otorgados.</t>
  </si>
  <si>
    <t>Durante enero no se emitieron actos administrativos que acogieran el seguimiento de permisos otorgados.</t>
  </si>
  <si>
    <t>Al 28 de febrero se emitiron 31 actos administrativos para acoger los seguimientos realizados a permisos otorgados, 22 del grupo idb correspondientes al 71%, 8 de posconsumo y 1 de pfl.</t>
  </si>
  <si>
    <t>Al 31 de marzo se emitiron 96 actos administrativos para acoger los seguimientos realizados a permisos otorgados, 51 del grupo IDB correspondientes al 53%,  30 de Posconsumo con el 31%  y 15 de PFL con el 16%</t>
  </si>
  <si>
    <t>Conceptos técnicos de seguimiento a permisos y trámites ambientales otorgados.</t>
  </si>
  <si>
    <t># de conceptos técnicos realizados para acoger el seguimiento realizado a los permisos otorgados.</t>
  </si>
  <si>
    <t>Durante enero de realizaron 8 CT de seguimiento a permisos otogados de Diversidad Biológica</t>
  </si>
  <si>
    <t>Al cierre de febrero se realizaron 54 CT para hacer seguimiento a los permisos otorgados, el 53.7% de estos seguimientos corresponden a los trámites de IDB, 29 CT;  Posconsumo realizó 16 CT, es decir el 29.6% de participación en el avance y 16.7% Permisos Fuera de Licencia con 9 CT.</t>
  </si>
  <si>
    <t>Al cierre de marzo se realizaron 121 CT para hacer seguimiento a los permisos otorgados, el 52.1% de estos seguimientos corresponden a los trámites de IDB, 63 CT;  Posconsumo realizó 36 CT, es decir el 29.8% de participación en el avance y 18.2% Permisos Fuera de Licencia con 22 CT.</t>
  </si>
  <si>
    <t>Porcentaje de cumplimiento de la meta de gestión de Baterías Plomo Acido</t>
  </si>
  <si>
    <t>Sumatoria total de BUPAS validadas/ sumatoria total de BUPAS de meta de gestión</t>
  </si>
  <si>
    <t>Porcentaje de cumplimiento de la meta de gestión de Bombillas</t>
  </si>
  <si>
    <t>Sumatoria total de bombillas validadas/ sumatoria total de bombillas de meta de gestión</t>
  </si>
  <si>
    <t>Porcentaje de cumplimiento de la meta de gestión de computadores y/o perifericos validadas</t>
  </si>
  <si>
    <t>Sumatoria total de computadores y/o perifericos validadas/ sumatoria total de computadores y/o perifericos de meta de gestión</t>
  </si>
  <si>
    <t>Porcentaje de cumplimiento de la meta de gestión de llantas</t>
  </si>
  <si>
    <t>Sumatoria total de llantas validadas/ sumatoria total de llantas de meta de gestión</t>
  </si>
  <si>
    <t>Porcentaje de cumplimiento de la meta de gestión de pilas y/o acumuladores</t>
  </si>
  <si>
    <t>Sumatoria total de pilas y/o acumuladoras validadas/ sumatoria total de pilas y/o acumuladoras de meta de gestión</t>
  </si>
  <si>
    <t>Grupo de Instrumentos</t>
  </si>
  <si>
    <t>Porcentaje de Instrumentos de evaluación y seguimiento elaborados, optimizados y/o actualizados</t>
  </si>
  <si>
    <t>Con corte a 30 de enero se registra un avance en el porcentaje de gestion de instrumentos del 3, 22 % el cual corresponde al promedio de avance de 18 instrumentos contemplados para el calculo del indicador</t>
  </si>
  <si>
    <t>Para el periodo de febrero no se registra la completitud en un 100% de los instrumentos relacionados con la optimizacion de los procesos de evaluacion y seguimiento de Licencias Ambientales , sin embargo se registra un avance en cuanto al porcentaje de gestion del 10.39% el cual corresponde al promedio de avance de cada uno de los hitos establecidos segun la naturaleza de cada instrument</t>
  </si>
  <si>
    <t>Para el mes de marzo no se registra la completitud en un 100% de los instrumentos relacionados con la optimizacion de los procesos de evaluacion y seguimiento de Licencias Ambientales , sin embargo se registra un avance en cuanto al porcentaje de gestion del 19.0% el cual corresponde al promedio de avance de cada uno de los hitos establecidos segun la naturaleza de cada instrumento</t>
  </si>
  <si>
    <t>Instrumentos de evaluación y seguimiento elaborados, optimizados y/o actualizados</t>
  </si>
  <si>
    <t>Número de instrumentos de evaluación y seguimiento elaborados, optimizados y/o actualizados</t>
  </si>
  <si>
    <t>Para el mes de enero no se ha completado ningun instrumento en un 100% , sin embargo se iniciaron actividades de gestión.</t>
  </si>
  <si>
    <t>Para el periodo de febrero no se registra la completitud en un 100% de los instrumentos relacionados con la optimizacion de los procesos de evaluacion y seguimiento de Licencias Ambientales , sin embargo se registra un avance en cuanto al porcentaje de gestion del 12% el cual corresponde al promedio de avance de cada uno de los hitos establecidos segun la naturaleza de cada instrumento.</t>
  </si>
  <si>
    <t>Para el periodo de marzo no se registra la completitud en un 100% de los instrumentos relacionados con la optimizacion de los procesos de evaluacion y seguimiento de Licencias Ambientales , sin embargo se registra un avance en cuanto al porcentaje de gestion del 21% el cual corresponde al promedio de avance de cada uno de los hitos establecidos segun la naturaleza de cada instrumento.</t>
  </si>
  <si>
    <t>Usuarios beneficiados con acciones de racionalización</t>
  </si>
  <si>
    <t>Sumatoria de usuarios beneficiados con acciones de racionalización</t>
  </si>
  <si>
    <t>Para el mes de enero no se reporto avance del indicador desde la optica de usuarios beneficiados sin embargo se inician las acciones de planeacion y gestion para la implementacion de acciones de racionalizaciòn</t>
  </si>
  <si>
    <t>En el mes no se registra avance del indicador de usuarios beneficiados</t>
  </si>
  <si>
    <t>A corte del mes de marzo se registra un impacto en terminos de usuarios beneficiados correspendiente a 158 gracias a la implementacion de la accion de racionalización que correspondio a formulario único de beneficios tributarios para la radicacion en linea A través de VITAL.</t>
  </si>
  <si>
    <t>Estimación de costos ambientales evitados</t>
  </si>
  <si>
    <t>Valor de los costos internalizados de los proyectos con PMA/ Gasto total de las actividades de proteccion Ambiental</t>
  </si>
  <si>
    <t>Grupo de Certificaciones y Vistos Buenos</t>
  </si>
  <si>
    <t>Actos administrativos expedidos para resolver las solicitudes de evaluación de certificaciones</t>
  </si>
  <si>
    <t># de actos administrativos que acogen la evaluación realizada a certificaciones</t>
  </si>
  <si>
    <t xml:space="preserve">Hasta el 31 de enero de 2021 se emitieron 1884 AA de evaluación de cetificaciones
</t>
  </si>
  <si>
    <t>Hasta el 28 de febrero de 2021 se emitieron 3,888 AA de evaluación de cetificaciones, de los cuales 3.675 corresponden a VUCE, trámite que aporta el 94.52% dentro de este avance, 157 fueron de Prueba Dinámica con una participación de 4.04% y por último Beneficios Tributarios con 56 actos administrativos</t>
  </si>
  <si>
    <t>Hasta el 31 de marzo de 2021 se emitieron 5.989 AA de evaluación de cetificaciones, de los cuales 5.646 corresponden a VUCE, trámite que aporta el 94.27% dentro de este avance, 247 fueron de Prueba Dinámica con una participación de 4.12% y por último Beneficios Tributarios con 96 actos administrativos.</t>
  </si>
  <si>
    <t>Conceptos técnicos emitidos para resolver las solicitudes de evaluación a certificaciones</t>
  </si>
  <si>
    <t># de conceptos técnicos realizados de evaluación realizado a certificaciones</t>
  </si>
  <si>
    <t>Durante enero de 2021 se emitieron 82 CT de evaluación para cetificaciones, de los cuales 60 CT corresponden al trámite de Prueba Dinámica y representan 73.17% del avance y Beneficios Tributarios aportó el 26.83% con 22 actos administrativos</t>
  </si>
  <si>
    <t>Con corte al  28 de febrero de 2021 se emitieron 271 CT de evaluación para cetificaciones, de los cuales 202 CT corresponden al trámite de Prueba Dinámica y representan 74.54% del avance y Beneficios Tributarios aportó el 25.46% con 69 conceptos técnicos.</t>
  </si>
  <si>
    <t>Con corte al 31 de marzo de 2021 se emitieron 446 CT de evaluación para cetificaciones, de los cuales 325 CT corresponden al trámite de Prueba Dinámica y representan 72.87% del avance y Beneficios Tributarios aportó el 27.13% con 121 conceptos técnicos</t>
  </si>
  <si>
    <t>Certificaciones ambientales otorgadas</t>
  </si>
  <si>
    <t>Sumatoria de certificaciones ambientales otorgadas</t>
  </si>
  <si>
    <t>Durante enero  se otorgaron 1.874 certificaciones, 1.804 de VUCE, 49 de Prueba DInámica y 21 de Beneficios Tributarios.</t>
  </si>
  <si>
    <t>Al finalizar febrero de  2021 se otorgaron 3.755 certificaciones, 3.562 de VUCE, 143 de Prueba Dinámica y 50 de Beneficios Tributarios.</t>
  </si>
  <si>
    <t>Al finalizar marzo de  2021 se otorgaron 5.791 certificaciones, 5.489 de VUCE, 218 de Prueba Dinámica y 84 de Beneficios Tributarios.</t>
  </si>
  <si>
    <t>Promedio de la reducción porcentual de los contaminantes emitidos por la flota de vehículos pesados al implementar la normativa vigente (Resolución 910 del 2008, modificada por la Resolución 1111 del 2013, o Resolución 2604 del 2009)</t>
  </si>
  <si>
    <t>x ̅=1/n ∑_i^n▒x_i \n\nx ̅: Promedio de la reducción en porcentaje de los contaminantes emitidos por la flota de vehículos pesados al implementar la normativa vigente.\nn: Cantidad de contaminantes\nx_i: Reducción en porcentaje del contaminante i emitido por la flota de vehículos pesados al implementar la normativa vigente\ni: Monóxido de Carbono (CO), Hidrocarburos, Óxidos de Nitrógeno (NOx), Material Particulado (MP), Metano (CH4), Hidrocarburos diferentes del Metano (HCNM)\nx_i=(m_(i,anterior a normativa)-m_(i,con normativa))/m_(i,anterior a normativa) \nm_(i,anterior a normativa): Masa en g/kWh del contaminante i de la flota si ésta solamente cumpliera con los estándares de emisiones anteriores a la Resolución 910 del 2008\nm_(i,con normativa): Masa en g/kWh del contaminante i de la flota con los datos de CEPD aprobados\n\nm_(i,anterior a normativa)=z∙l_i\nm_(i,con normativa)=∑_j^y▒〖m_(i,j) z_j 〗\nz: Cantidad de vehículos importados en la vigencia\nl_i: Límite de emisiones para el contaminante i descrito en la normativa anterior a la actual\nj: CEPD\ny: Cantidad de CEPD utilizados en la vigencia\nm_(i,j): Masa en g/kWh del contaminante i que se encuentra en el CEPD j\nz_j: Cantidad de vehículos importados por CEPD j \n\nNormativa anterior: Resolución 1048 de 1999</t>
  </si>
  <si>
    <t>Este indicador es de medición semestral</t>
  </si>
  <si>
    <t>Promedio de la reducción porcentual de los contaminantes emitidos por la flota de vehículos livianos y motocicletas al implementar la normativa vigente</t>
  </si>
  <si>
    <t>x ̅=1/n ∑_i^n▒x_i \n\nx ̅: Promedio de la reducción en porcentaje de los contaminantes emitidos por la flota de vehículos livianos y motocicletas al implementar la normativa vigente.\nn: Cantidad de contaminantes\nx_i: Reducción en porcentaje del contaminante i emitido por la flota de vehículos livianos y motocicletas al implementar la normativa vigente\ni: Monóxido de Carbono (CO), Hidrocarburos, Óxidos de Nitrógeno (NOx), Material Particulado (MP), Metano (CH4), Hidrocarburos diferentes del Metano (HCNM)\nx_i=(m_(i,anterior a normativa)-m_(i,con normativa))/m_(i,anterior a normativa) \nm_(i,anterior a normativa): Masa en g/kWh del contaminante i de la flota si ésta solamente cumpliera con los estándares de emisiones anteriores a la Resolución 910 del 2008\nm_(i,con normativa): Masa en g/kWh del contaminante i de la flota con los datos de CEPD aprobados\n\nm_(i,anterior a normativa)=z∙l_i\nm_(i,con normativa)=∑_j^y▒〖m_(i,j) z_j 〗\nz: Cantidad de vehículos importados en la vigencia\nl_i: Límite de emisiones para el contaminante i descrito en la normativa anterior a la actual\nj: CEPD\ny: Cantidad de CEPD utilizados en la vigencia\nm_(i,j): Masa en g/kWh del contaminante i que se encuentra en el CEPD j\nz_j: Cantidad de vehículos importados por CEPD j \n\nNormativa anterior: Resolución 1048 de 1999</t>
  </si>
  <si>
    <t>Porcentaje de reprocesos por verificación de documentos inicial</t>
  </si>
  <si>
    <t>Número de devoluciones por verificación de documentos inicial /Número total de solicitudes</t>
  </si>
  <si>
    <t>El porcentaje de reproceso por verificación de documentos de inicio fue de 5.13%, así que, de un universo de 1.988 solicitudes, se realizó requerimiento a 102.</t>
  </si>
  <si>
    <t>El porcentaje de reproceso por verificación de documentos de inicio fue de 5,58%, así que, de un universo de 3,964 solicitudes recibidas a febrero, se realizó requerimiento a 221 solicitudes.</t>
  </si>
  <si>
    <t>El porcentaje de reproceso por verificación de documentos de inicio fue de 5,76%, así que, de un universo de 6.026 solicitudes recibidas a marzo, se realizó requerimiento a 347 solicitudes</t>
  </si>
  <si>
    <t>Grupo de Regionalización y centro de Monitoreo</t>
  </si>
  <si>
    <t>Documentos técnicos de modelación regional de medios biótico, abiótico y social elaborados</t>
  </si>
  <si>
    <t># de documentos técnicos de modelación regional elaborados</t>
  </si>
  <si>
    <t>A corte 30 de enero de 2021, se registra un  5,38% de avance en la meta, la cual corresponde al Reporte de Alertas de Metica (el reporte tiene un avance del 43%). REG0004-00-2016.
Se avanzó en el diagnóstico y formulación de la estrategia de monitoreo del acuífero de Casanare -REG0003-00-2016 y se está elaborando la estrategia de monitoreo de hidroeléctricas - REG0011-00-2021</t>
  </si>
  <si>
    <t xml:space="preserve">A corte 28 de febrero de 2021, se registra un  avance del 5,38% de avance en la meta, lo que corresponde Reporte de Alertas de Metica- Expediente REG0004-00-2016.
A corte 28 de febrero de 2021, se registra un avance Reporte SZH Río Sogamoso del 10% - Expediente REG0007-00-2016.
1.2. Avance Actualizaciones:
No se reporta avance en actualizaciones para este período.
1.3. Avance Diagnosticos Estrategias:
Se avanzó en el diagnóstico y formulación de la estrategia de monitoreo del acuífero de Casanare del 73% -REG0003-00-2016.
Se avanzó en el diagnóstico y formulación de la estrategia de monitoreo de hidroeléctricas (avancel del 75%) - REG0011-00-2021. 
Se avanzó en el diagnóstico y formulación de la estrategia de biodiversidad  (Flora - avance del 20% y Fauna - avance del 30%) región Orinoquia-Amazonía. 
Se avanzó en el diagnóstico y formulación de la estrategia de monitoreo de la Bahía Cartagena (Atmosfera - avance del  10% y Recurso Hídrico Superficial - avance del 15%). </t>
  </si>
  <si>
    <t>A corte 31 de marzo de 2021, se registra culminación (100%) en el Reporte de Alertas Río Metica - Expediente REG0004-00-2016.
A corte 31 de marzo de 2021, se registra un avance Reporte SZH Río Sogamoso del 18% - Expediente REG0007-00-2016.
A corte 31 de marzo de 2021, se registra un avance del 2% en el Reporte Bahía de Cartagena y Canal del Dique - Expediente REG0012-00-2016.
1.2. Avance Actualizaciones:
No se reporta avance en actualizaciones para este período.
1.3. Avance Diagnosticos Estrategias:
Se avanzó en el diagnóstico y formulación de la estrategia de monitoreo del acuífero Yopal - Casanare en un 95% -REG0003-00-2016.
Se avanzó en el diagnóstico y formulación de la estrategia de monitoreo de hidroeléctricas en un 98% - REG0011-00-2021. 
Se avanzó en el diagnóstico y formulación de la estrategia de monitoreo recurso hídrico superficial Putumayo en un 58%. - REG0016-00-2016.
Se avanzó en el diagnóstico y formulación de la estrategia de biodiversidad  (Flora - avance del 35% y Fauna - avance del 43%) región Orinoquia-Amazonía. REG0011-00-2021.
Se avanzó en el diagnóstico y formulación de la estrategia de monitoreo de la Bahía Cartagena (Componente Atmosférico) en 23%. REG0012-00-2016. 
Se avanzó en el diagnóstico y formulación de la estrategia de monitoreo de la Bahía Cartagena (Recurso Hídrico Superficial) en 15%).  REG0012-00-2016."
https://anla-my.sharepoint.com/:f:/g/personal/aromero_anla_gov_co/Er71n3XnrdhJtv-9lE7UxHkBcAUKwgat0Iy9lE2wB-bR-A?e=PgWAUD</t>
  </si>
  <si>
    <t>Informes elaborados para acompañar la toma de decisiones de autoridades ambientales</t>
  </si>
  <si>
    <t>Sumatoria de informes elaborados para acompañar la toma de decisiones</t>
  </si>
  <si>
    <t>Sobre el avance de indicador de informes elaborados se registra lo siguiente:
Acompañamiento Proceso de Seguimiento
A corte 30 de enero de 2021 se registra 8 CT numerados de 36 solicitudes de acompáñamiento para la toma de decisiones en el marco de Seguimiento de LA,los cuales se detallan a continuación: 1. Explotación Carbonífera Mina La Loma. (LAM0027), Explotación Minera de Carbón El Hatillo (LAM1862), Extracción de Carbón a Cielo Abierto - Mina La Francia. (LAM3199), Mina La Francia (ASB0008), Concesión de Aguas Superficiales Proyecto carbonífero mina “La Francia”. (ASU0019), Quimbo (LAM4090), "El Descanso" (LAM3271), Aeropuerto Internacional El Dorado (LAM0209).
Acompañamiento Proceso de Evaluación
Adicionalmente se registran 41 solicitudes de acompañamiento de visión regional para el proceso de evaluación de LA, las cuales se encuentran en gestión. Por lo anterior para el reporte del indicador, solo se registra lo efectivamente numerado.
Los soportes se pueden evidenciar en el siguiente link: https://anla-my.sharepoint.com/:f:/g/personal/aromero_anla_gov_co/EjP1pR8AeF9CozLpqjEl-BIB99eBcCDYd9Q2gshwDK6IQQ?e=BPrbOG</t>
  </si>
  <si>
    <t>2.1. Avance Sentencias:
1. En cumplimiento de la sentencia del parque Tayrona T-606, se realizaron gestiones con CORPAMAG (Solicitud de información via correo electronico 16-02-2021) e INVEMAR (Reunión 15-02-2021), se envio a la corrdinación del Plan Maestro los ajustes del indicador al seguimiento y se participo en la elaboración del CT LAM0150.
2. En cumplimiento de la sentencia de acción popular 2017-009871-01 Bahia de Cartagena se realizó reunión interna ANLA (12-02-2021) revisión propuesta CARDIQUE, se envia a la OAJ propuesta de oficio para dar respuesta a CARDIQUE (19-02-2021) y elaboro cronograma SIPTA - SSLA para seguimiento proyectos región Caribe - Pacífico (febrero)
2.2. Avance Actos Administrativos de Evaluación
A corte 28 de febrero de 2021, se registran 5 Actos Administrativos de 41 solicitudes de acompañamiento para el proceso de evaluación de LA, los cuales se detallan a continuación:
1.    LAV0032-00-2019 Bloque Colombia Offshore 3
2.    VAR0032 Mina “La Francia”
3.    LAV0012-00-2019 Soto Norte
4.    LAM3271 ""El Descanso""
5.    LAV0037-002019 Construcción de la doble Calzada Pamplona
2.3. Avance Conceptos Técnicos de Seguimiento:
Se registra 17 CT numerados (8CT Enero y 9 Febrero) de 49 solicitudes de acompañamiento para la toma de decisiones en el marco de Seguimiento de LA, los CT de Febrero se detallan a continuación:
9.    LAM0180 Refinería de Barrancabermeja
10.    LAM1801 Estación Vasconia
11.    LAV0002-00-2020 Cerro Matoso
12.    LAV0005-12 Subestación Armenia a 230 kV
13.    LAM0464 Poliducto Yumbo Buenaventura
14.    LAM2327 Trasvase del río Manso al embalse de la Central Miel 
15.    LAM6420 Relleno Sanitario El Carrasco
16.    LAM4121 Variante Chicoral
17.    LAM 2233 Hidroeléctrica Pescadero Ituango
"
https://anla-my.sharepoint.com/:f:/g/personal/aromero_anla_gov_co/EnunWejylDhEqY8vzJhuaoEBFSdiXupEglPDa9RAIRlWQA?e=hoMaEm</t>
  </si>
  <si>
    <t>2.1 Sentencias
2.1.1. Sentencia PNN Tayrona (T-606/2015): A corte 31 de marzo de 2021, se  genera un (1) documento de 5 que se tiene como meta asociado al informe del segundo semestre 2020  para la sentencia en mención.
2.1.2 Sentencia Amazonas (T-4360-2018): para este mes no se realizaron actividades en cumplimiento de ésta sentencia.
2.1.3 Sentencia Bahía de Cartagena - Acción Popular 2017-009871-01: reunión para determinar el alcance de apoyo grupo Caribe – Pacífico – Sistematización Reporte de Alertas y Estrategia de Monitoreo en el marco de la mencionada sentencia. (17-03-2021); envío correo interno a grupo Caribe- Pacifico (18-03-2021) Definición del área de estudio – estrategia bahía de Cartagena – Canal del Dique (18-03-2021); Oficio MADS Mesas técnicas para el cumplimiento de la Sentencia. Reunión con la OAJ seguimiento mensual de avance a compromisos (19-03-2021). 
2.1.4 Sentencia Guajira - Población Wayuu municipios Riohacha, Manaure y Uribia (T-302 de 2017): para este mes no se realizaron actividades en cumplimiento de ésta sentencia.
2.1.5 Sentencia Guajira (T-614/2019): apoyo respuesta Contraloría General de la Nación en relación con la sentencia (17/03/2021).
2.2. Avance Actos Administrativos de Evaluación
A corte 31 de marzo de 2021, se registra un total de 12 Actos Administrativos  de 49 solicitudes de acompañamiento para el proceso de evaluación de LA, los cuales se detallan a continuación:
6. LAV0037-00-2019 Doble Calzada Pamplona - Cúcuta
7. LAV0044-00-2016 Subestación Chivor II
8. LAM3816 Campo Capella
9. PEA0011 La Loma mina Pribbenow
10. LAM1901 Capachos
11. VAR0018 MINA LA DIVISA
12. VAR0032 Caño Bautista
2.3. Avance Conceptos Técnicos de Seguimiento:
Se registra 29 CT numerados (8 CT Enero, 9 CT Febrero y 12 CT Marzo) de 54 solicitudes de acompañamiento para la toma de decisiones en el marco de Seguimiento de LA, los CT de Marzo se detallan a continuación:
18. LAM4005 Llano grande
19. LAM1499 Calizas en Payandé.
20. LAV0066-00-2016 Calzada Túnel - San Jerónimo
21. LAM1568 Variante de Pamplona
22. LAM1894 Variante de Fuemia y Dabeiba
23. LAM7752 Relleno Sanitario Carapacho
24. LAM1094 Arroyo Bruno
25. LAM0368 PTAR Salitre
26. LAM4656 Gecelca
27. LAM0150 Puerto Drummond
28. LAM0464 Los Naranjos
29. LAM1179 Termoguajira</t>
  </si>
  <si>
    <t>Diagnósticos Desarrollados</t>
  </si>
  <si>
    <t>Número de documentos de diagnóstico</t>
  </si>
  <si>
    <t>El documento diagnóstico de Modelación del área regionalizada de alto San Jorge se encuentra actualmente en fase de simulación de escenarios y generación de resultados y productos: El porcentaje de avance de este ejercicio corresponde a un 80% conforme con el plan de trabajo de modelación. El expediente asociado a este documento diagnóstico es REG0004-00-2017.</t>
  </si>
  <si>
    <t>.Diagnósticos 
3.1 Documento diagnóstico de Modelación del área regionalizada de Alto San Jorge: se encuentra actualmente en fase generación de resultados y productos: El porcentaje de avance de este ejercicio corresponde a un 94% conforme con el plan de trabajo de modelación. El expediente asociado a este documento diagnóstico es REG0004-00-2017.
3.2 Documento diagnóstico de Modelación  del área regionalizada (Componente Atmósfera) de la Zona Minera del Cesar se encuentra actualmente en fase de Análisis y/o procesamiento de información: El porcentaje de avance de este ejercicio corresponde a un 58% conforme con el plan de trabajo de modelación. El expediente asociado a este documento diagnóstico es REG0011-00-2017.
3.3. Documento diagnóstico de Modelación (Ruido) Aeropuerto El Dorado se encuentra actualmente en fase de Preparación e implementación de modelo: El porcentaje de avance de este ejercicio corresponde a un 22%  (tierra) y un 20% (aire) conforme con el plan de trabajo de modelación, lo cual da un promedio de porcentaje total de 21%. El expediente asociado a este documento diagnóstico es REG0002-00-2017.
3.4 Documento diagnóstico de Modelación SZH Río Sogamoso (recurso hídrico superficial, recurso hídrico subterráneo y medio biótico, presenta un avance del 5.5%. REG0002-00-2016.
"
https://anla-my.sharepoint.com/:f:/g/personal/aromero_anla_gov_co/EgGril5nRIdMkUHnZHElegcBE71CKT4F5RzXCeDulUuQAA?e=morbfM</t>
  </si>
  <si>
    <t>Conceptos técnicos de seguimiento a licencias ambientales</t>
  </si>
  <si>
    <t>Número de Conceptos técnicos de seguimiento a licencias ambientales</t>
  </si>
  <si>
    <t>Grupo de Alto Magdalena - Cauca</t>
  </si>
  <si>
    <t>Número de Proyectos licenciados con seguimiento realizado</t>
  </si>
  <si>
    <t>Número de actos administrativos que acogen el seguimiento realizado a los proyectos licenciados</t>
  </si>
  <si>
    <t>En el mes de Enero se finalizaron 8 actos administrativos, distribuidos asi: 7 autos y 1 oralidad correspondientes a rezgos vigencia 2020</t>
  </si>
  <si>
    <t>En el mes de febrero se reportan 13 actos administrativos acumulados correspondiente a : 9 rezagos y 4 actas de oralidad de la vigencia 2021.</t>
  </si>
  <si>
    <t>Se realizaron 15 oralidades y 6 autos para un total de 21 actos administrativos en el mes de marzo.</t>
  </si>
  <si>
    <t>Visitas técnicas de seguimiento a proyectos con licenciamiento ambiental</t>
  </si>
  <si>
    <t>Número de Visitas técnicas de seguimiento a proyectos con licenciamiento ambiental</t>
  </si>
  <si>
    <t>En enero se realizaron 2 visitas de seguimiento, 1 presencial y 1 visita guiada</t>
  </si>
  <si>
    <t>En el mes de febrero acumulado van 21 visitas correspondintes a: 
-Guiadas: 4 (1 en enero-3 en febrero)
-Presenciales: 17 (2 en enero-15 en febrero)</t>
  </si>
  <si>
    <t>En marzo se realizaron 15 visitas, 13 presenciales y 2 guiadas las cuales se suman a las visitas realizadas en enero 2 y febrero 21 para un total de 38</t>
  </si>
  <si>
    <t>Conceptos técnicos de seguimiento con visita realizado a proyectos programados en la vigencia actual</t>
  </si>
  <si>
    <t>Número de conceptos técnicos de seguimiento con visita aprobados en la vigencia actual</t>
  </si>
  <si>
    <t>En Enero no se genero ningun concepto con visita de la vigencia actual</t>
  </si>
  <si>
    <t>Para el mes de febrero se finalizaron 10 conceptos con visita vigencia 2021</t>
  </si>
  <si>
    <t>En marzo se realizaron 16 conceptos técnicos con visita correspondientes a 12 presenciales y 4 guiadas. Se aclara que el concepto técnico del exp LAM0138 No. 1598 del 31 de marzo fue un concepto que se realizó para corregir otro concepto que se numero en febrero y que se reportó en el mes de febrero, por lo tanto no lo estamos reportando en marzo.</t>
  </si>
  <si>
    <t>Conceptos técnicos de seguimiento documental de proyectos priorizados en la vigencia actual</t>
  </si>
  <si>
    <t>Número de conceptos técnicos de seguimiento documental aprobados en la vigencia actual</t>
  </si>
  <si>
    <t>En enero se realizaron 2 conceptos técnicos documentales</t>
  </si>
  <si>
    <t>Se finalizaron 3 conceptos documentales en el mes de febrero y 2 conceptos documentales en el mes de enero de la vigencia 2021.</t>
  </si>
  <si>
    <t>Se realizaron 7 conceptos tecnicos documentales para el mes de marzo.</t>
  </si>
  <si>
    <t>Porcentaje de seguimientos de licenciamiento ambiental con oralidad</t>
  </si>
  <si>
    <t>(Número de seguimientos finalizados con oralidad / Número total de seguimientos de licenciamiento ambiental realizados)*100</t>
  </si>
  <si>
    <t>En enero hubo un avance del 13%  de seguimientos  con oralidad</t>
  </si>
  <si>
    <t>Para el mes de febrero se realizaron 4 oralidades de la vigencia 2021 y en el mes de enero se realizo una oralidad correspondiente a rezago.</t>
  </si>
  <si>
    <t>Se Tiene un total de 19 oralidades a marzo de 34 A.A. de seguimientos de los expedientes reportados</t>
  </si>
  <si>
    <t>Porcentaje de implementación de instrumentos acogidos en la etapa de seguimiento ambiental</t>
  </si>
  <si>
    <t>Número de conceptos técnicos que implementaron los instrumentos generados por SIPTA/ Número de conceptos técnicos de proyectos con seguimiento finalizados durante la vigencia</t>
  </si>
  <si>
    <t>TRIMESTRAL</t>
  </si>
  <si>
    <t>Esta pendiente linea técnica por parte de la SIPTA y SSLA para la implementación de los instrumentos.TRIMESTRAL</t>
  </si>
  <si>
    <t>Grupo de Caribe - Pacifico</t>
  </si>
  <si>
    <t>A corte 31 de enero de 2021 se han expedido 9 actos administrativos, los cuales 2 corresponden a vigencia actual y 7 a rezagos vigencia 2020.</t>
  </si>
  <si>
    <t>A corte 28 de febrero de 2021 se han expedido 20 actos administrativos, los cuales 13 corresponden a vigencia actual y 7 a rezagos vigencia 2020. Se carga BD ajustada.</t>
  </si>
  <si>
    <t>A corte 31 de marzo de 2021 se han expedido 48 actos administrativos, los cuales 41 corresponden a vigencia actual y 7 a rezagos vigencia 2020</t>
  </si>
  <si>
    <t>Visitas técnicas de seguimiento a proyectos con licenciamiento ambiental [ Plan de Acción ]</t>
  </si>
  <si>
    <t>En enero se realizaron 2 visitas de seguimiento</t>
  </si>
  <si>
    <t>A corte 28 de febrero de 2021 la Región realizó  21 visitas de seguimiento presencial y 13 visitas guiadas. Se carga la BD ajustada.</t>
  </si>
  <si>
    <t>A corte 31 de marzo de 2021 la Región realizó  41 visitas de seguimiento presencial y 19 visitas guiadas.</t>
  </si>
  <si>
    <t>Conceptos técnicos de seguimiento con visita realizado a proyectos programados en la vigencia actual [ Plan de Acción ]</t>
  </si>
  <si>
    <t>A corte 28 de febrero de 2021 la Región elaboró 6 CT con visita. Se carga BD ajustada.</t>
  </si>
  <si>
    <t>A corte 31 de marzo de 2021 la Región elaboró 31 CT con visita</t>
  </si>
  <si>
    <t>Conceptos técnicos de seguimiento documental de proyectos priorizados en la vigencia actual [ Plan de Acción ]</t>
  </si>
  <si>
    <t xml:space="preserve">A corte 31 de enero de 2021 la Región realizó la región ha elaborado 9 CT documental de seguimiemto </t>
  </si>
  <si>
    <t xml:space="preserve">A corte 28 de febrero de 2021 la Región elaboró 24 CT documental de seguimiento , Se carga BD ajustada. </t>
  </si>
  <si>
    <t xml:space="preserve">A corte 31 de marzo de 2021 la Región elaboró 28 CT documental de seguimiento </t>
  </si>
  <si>
    <t>Porcentaje de seguimientos de licenciamiento ambiental con oralidad [ Plan de Acción ]</t>
  </si>
  <si>
    <t>A corte 31 de enero de 2021 se tiene un avance del 33% de oralidades.</t>
  </si>
  <si>
    <t>A febrero 12 de los 20 actos administrativos de los seguimientos se hicieron por oralidad</t>
  </si>
  <si>
    <t>Porcentaje de avance del 73%, para un avance de 35 oralidades a corte del 31 de marzo.</t>
  </si>
  <si>
    <t xml:space="preserve"> Porcentaje de implementación de instrumentos acogidos en la etapa de seguimiento ambiental [ Plan de Acción ]</t>
  </si>
  <si>
    <t>A corte del 31 de marzo de 2021, no se han finalizado conceptos técnicos que implementen los instrumentos generados por SIPTA. TRIMESTRAL</t>
  </si>
  <si>
    <t>Grupo de Medio Magdalena - Cauca - Catatumbo</t>
  </si>
  <si>
    <t>Se emitieron dos resoluciones de implementacion de medidas, las cuales no suman para el indicador de AA. Debido a que no se generaron CT de seguimiento, no se requirio emitir AA.
El equipo jurdico trabajo en la revision de los CT sancionatorios, insumos a la OAJ y RASP, respuestas a recursos de reposicion y reuniones con usuarios.</t>
  </si>
  <si>
    <t>Para el mes de febrero la región de MMCC realizo 1 oralidad correspondiente al CT de visita realizada al expediente LAM2233, no obstante, el equipo jurídico de la región emitió 11 Resoluciones en el marco del seguimiento del 2020 contemplando aprobaciones de planes de compensación, cesión y ajuste vía seguimiento.</t>
  </si>
  <si>
    <t>Para el mes de marzo la región de MMCC expidió 4 Autos, 2 Resoluciones y 12 oralidades, el acumulado al mes de marzo es de 18 Actos Administrativos de los 298 Programados como meta.</t>
  </si>
  <si>
    <t>Se reportan 2 visitas para el mes de enero correspondientes a la region de MMCC</t>
  </si>
  <si>
    <t>Para el mes de febrero la region de MMCC realizo 18 Visitas de las cuales 3 se ejecutaron de forma presencial y 15 mediante la modalidad " visita guiada", sumadas las 2 de enero en total se presenta un avance de 20 visitas realizadas</t>
  </si>
  <si>
    <t>Para el mes de marzo la región de MMCC realizo 18 visitas (4 presenciales y 14 guiadas), el acumulado para el mes de marzo es de 39 visitas (9 presenciales, 30 guiadas), de las 212 programadas como meta.
Es importante recordar que la región de MMCC no contempla rezagos 2020.</t>
  </si>
  <si>
    <t>Teniendo en cuenta que en el mes de enero se da el ingreso del personal en fechas diferentes (entre el 15 y el 29 de enero) y no se conto con 13 personas del total del grupo MMCC proyectado, se hace la siguiente relacion de conceptos tecnicos (CT) que fueron elaborados por el equipo y que si bien no se consideran en los indicadores, forman parte de las obligaciones que debe asumir el grupo, por lo cual se procedio a su elaboracion mientras se dispone de los criterios de priorizacion necesarios para establecer la planeacion general</t>
  </si>
  <si>
    <t>Para el mes de febrero la region de MMCC realizo 1 CT con visita  correspondiente al expediente LAM2233.</t>
  </si>
  <si>
    <t>Para el mes de marzo la región de MMCC realizo 17 conceptos técnicos con visita, el acumulado para el mes de marzo es de 18 conceptos técnicos con visitas, de las 212 programadas como meta.
Es importante recordar que la región de MMCC no contempla rezagos 2020.</t>
  </si>
  <si>
    <t>No se reporta avance del indicador</t>
  </si>
  <si>
    <t>Para el mes de febrero la region de MMCC realizo 5 CT documentales, 4 correspondientes a seguimiento y 1 a plan de compensacion y 1% ejecutado por la region.</t>
  </si>
  <si>
    <t>Para el mes de marzo la región de MMCC realizo 7 conceptos técnicos documentales, el cumulado para el mes de marzo es de 12 conceptos técnicos documentales, de los 86 programados como meta.</t>
  </si>
  <si>
    <t>La region MMCC, no quedó con rezagos en sus actos administrtivos del 2020, motivo por el cual no fue necesario adelantar oralidades en este periodo.</t>
  </si>
  <si>
    <t>Para el mes de febrero la region de MMCC realizo 1 oralidad correspondiente al expediente LAM2233</t>
  </si>
  <si>
    <t>Para el mes de marzo la región de MMCC presidio 11 Oralidades, el acumulado al mes de marzo es de 12 Actas (0.75 del 54%) de los 298 Programados. (los actos administrativos totales son 18 conformados pos 12 Actas, 4 Autos y 2 Resoluciones).</t>
  </si>
  <si>
    <t>El instrumento disponible en el trimestre en el trimestre fue el de desmantelamiento y abandono de hidrocarburos y no aplicaba a los expedientes numerados de la region. TRIMESTRAL</t>
  </si>
  <si>
    <t>Grupo de Orinoquía - Amazonas</t>
  </si>
  <si>
    <t>Durante el mes de enero del 2021, se realizaron 17 Actos Administrativos de rezagos del año 2020 de los cuales 6 son oralidades y 11 autos.
El equipo jurdico trabajo en la revision de los CT sancionatorios, insumos a la OAJ y RASP, respuestas a recursos de reposicion y reuniones con usuarios.</t>
  </si>
  <si>
    <t>Se realizaron 24 Actos Administrativos, 18 de rezagos del año 2020  y 6 de la vigencia actual, de los cuales 11 son oralidades y 13 autos.</t>
  </si>
  <si>
    <t>A corte 31 de Marzo del 2021, la Región Orinoquia Amazonas, expidió 43 actos administrativos que acogen el seguimiento a proyectos licenciados, de los cuales 18 actos administrativos corresponden a rezagos vigencia 2020 y 25 actos administrativos corresponden a vigencia actual.</t>
  </si>
  <si>
    <t>Para el mes de enero no se realizaron visitas de seguimiento, ya que la mayoria de los profesionales tecnicos se contrataron en el mes de enero.</t>
  </si>
  <si>
    <t>Al mes de febrero se reportan 22 visitas efectuadas</t>
  </si>
  <si>
    <t>A corte 31 de Marzo del 2021, la Región Orinoquia Amazonas realizó 43 visitas, de los cuales 15 corresponden a visitas presenciales, y 28 corresponden a visitas Guiadas.</t>
  </si>
  <si>
    <t>Para el mes de enero del 2021, no se elaboraron ct de visita ya que la mayoria de los profesionales tecnicos se contrataron en el mes de enero.</t>
  </si>
  <si>
    <t>A corte 28 de febrero del 2021, la Región Orinoquia Amazonas, expidió 4 CT con visita, de los cuales 3 corresponden a CT de visitas guiadas y 1 corresponde a CT de visita presencial.</t>
  </si>
  <si>
    <t>A corte 31 de Marzo del 2021, la Región Orinoquia Amazonas, expidió 17 CT con visita, de los cuales 13 corresponden a CT de visitas guiadas y 4 corresponde a CT de visita presencial.</t>
  </si>
  <si>
    <t>Para el mes de enero del 2021 no se realizaron Ct documentales, ya que la mayoria de los profesionales tecnicos fueron contratados en el mes de enero.</t>
  </si>
  <si>
    <t>A corte 28 de febrero del 2021, la Región Orinoquia Amazonas, expidió 8 CT documental.</t>
  </si>
  <si>
    <t>A corte 31 de Marzo del 2021, la Región Orinoquia Amazonas, expidió 19 CT documental.</t>
  </si>
  <si>
    <t>A corte 31 de enero del 2021, la Region Orinoquia Amazonas expidio 6 acta de oralidad, de las cuales corresponden a rezagos  del año 2020.</t>
  </si>
  <si>
    <t>A corte  28 de febrero  del 2021,  la Región Orinoquia Amazonas  expidió 11 Actas de Oralidad de las cuales 6  actas corresponden a rezagos vigencia 2020 y 5 actas corresponden  a vigencia actual.</t>
  </si>
  <si>
    <t>A corte  31 de Marzo del 2021,  la Región Orinoquia Amazonas  expidió 28 Actas de Oralidad de las cuales 6  actas corresponden a rezagos vigencia 2020 y 22 actas corresponden  a vigencia actual. (Que equivale a un 65%)</t>
  </si>
  <si>
    <t>Para este primer trimestre la Región Orinoquia no reportó el indicador, ya que teniendo en cuenta que la capacitación al instrumento fue realizada el 26 de febrero y 17 de marzo del 2021 por SIPTA se surgieron dudas de cómo aplicarlas, ya que el instrumento de matriz de obligaciones requiere de mucho tiempo porque algunos proyectos tiene muchos actos administrativos, y con relación al instrumento de desmantelamiento y abandono la capacitación fue realizada el 17 de marzo y no se ha aplicado este instrumento. TRIMESTRAL</t>
  </si>
  <si>
    <t>Grupo de Seguimiento de Agroquímicos y Proyectos Especiales</t>
  </si>
  <si>
    <t xml:space="preserve">mes de Enero que evidencia la expedición de 34  Actos administrativos del Grupo de agroquimicos y proyectos especiales </t>
  </si>
  <si>
    <t xml:space="preserve">A corte de 28 de febrero de 2021 el grupo (Seguimiento) de Agroquímicos y Proyectos Especiales ha expedido 132 actos administrativos, para un total de 168 actos administrativo-acumulados en el año 2021 de 1584 programados como meta.
Cabe mencionar que en el mes de enero no se incluyeron 2 (dos) actos admirativos, por lo tanto fueron sumados en el mes de febrero. </t>
  </si>
  <si>
    <t>A corte de 31 de marzo de 2021 el grupo (Seguimiento) de Agroquímicos y Proyectos Especiales ha expedido 151 actos administrativos, para un total de 319 actos administrativo-acumulados en el año 2021 de 1584 programados como meta.</t>
  </si>
  <si>
    <t>el reporte de los concepots técnicos expedidos en el mes de enero, que corresponden a 85</t>
  </si>
  <si>
    <t>A corte de 28 de febrero de 2021 el grupo (Seguimiento) de Agroquímicos y Proyectos Especiales ha realizado 144 conceptos técnicos, para un total de 229 conceptos técnicos acumulados en el año 2021 de 1584 programados como meta.</t>
  </si>
  <si>
    <t>A corte de 31 de marzo de 2021 el grupo (Seguimiento) de Agroquímicos y Proyectos Especiales ha realizado 161 conceptos técnicos, para un total de 390 conceptos técnicos acumulados en el año 2021 de 1584 programados como meta.</t>
  </si>
  <si>
    <t>No Aplica, actualmente el indicador para este Grupo por eso se reporta 0%. TRIMESTRAL</t>
  </si>
  <si>
    <t>Subdirección de Seguimiento de Licencias Ambientales</t>
  </si>
  <si>
    <t>Durante el mes enero de 2021 se emitieron 68 actos administrativos, de los cuales 36 son vigencia 2020 (36 autos) y 32 son rezagos (22 Autos y 10 Oralidades)</t>
  </si>
  <si>
    <t>Al mes febrero de 2021 se emitieron 226 actos administrativos, de los cuales 192 son vigencia 2021 (172 autos, 19 oralidades y 1 resolución) y 34 son rezagos (24 Autos y 10 Oralidades)</t>
  </si>
  <si>
    <t>Al mes marzo de 2021 se emitieron 462 actos administrativos, de los cuales 428 son vigencia 2021 (335 autos, 88 oralidades y 5 resolución) y 34 son rezagos (24 Autos y 10 Oralidades)</t>
  </si>
  <si>
    <t>Durante el mes enero de 2021 se realizaron 6 visitas, de los cuales 4 fueron presenciales y 2 guiadas</t>
  </si>
  <si>
    <t>Durante el mes febrero de 2021 se realizaron 97 visitas, de las cuales 49 fueron presenciales y 48 guiadas</t>
  </si>
  <si>
    <t>Durante el mes marzo de 2021 se realizaron 180 visitas, de las cuales 80 fueron presenciales y 100 guiadas.</t>
  </si>
  <si>
    <t>Durante el mes de enero de 2021, se realizaron 96 conceptos técnicos, los cuales fueron documentales</t>
  </si>
  <si>
    <t>Durante el mes de febrero de 2021, se realizaron 292 conceptos técnicos, los cuales fueron 271 documentales y 21 con visita</t>
  </si>
  <si>
    <t>Durante el mes de marzo de 2021, se realizaron 553 conceptos técnicos, los cuales fueron 461 documentales y 92 con visita</t>
  </si>
  <si>
    <t>Durante el mes de enero de 2021 se tuvo un avance del 29% en las oralidades, dado que de los 34 actos administrativos generados por los grupos Alto Magdalena-Cauca, Caribe - Pacifico, Magdalena Medio - Cauca – Catatumbo y Orinoquia – Amazonas, 10 fueron por Oralidad.</t>
  </si>
  <si>
    <t>Durante el mes de febrero de 2021 se tuvo un avance del 50% en las oralidades, dado que de los 58 actos administrativos generados por los grupos Alto Magdalena-Cauca, Caribe - Pacifico, Magdalena Medio - Cauca – Catatumbo y Orinoquia – Amazonas, 29 fueron por Oralidad</t>
  </si>
  <si>
    <t>Acumulado al mes de marzo de 2021 se tuvo un avance del 65,73% en las oralidades, dado que de los 143 actos administrativos generados por los grupos Alto Magdalena-Cauca, Caribe - Pacifico, Magdalena Medio - Cauca – Catatumbo y Orinoquia – Amazonas, 94 fueron por Oralidad</t>
  </si>
  <si>
    <t>Cobertura de la entidad en proyectos activos objetos de seguimiento en licenciamiento ambiental</t>
  </si>
  <si>
    <t>(Número de proyectos activos con seguimiento realizado en la vigencia/ Número total de proyectos activos objeto de seguimiento)*100</t>
  </si>
  <si>
    <t>Durante el mes de enero de 2021, se realizó seguimiento a 2 expedientes en la vigencia 2021 de los grupos Alto Magdalena-Cauca, Caribe - Pacifico, Magdalena Medio - Cauca – Catatumbo y Orinoquia – Amazonas.</t>
  </si>
  <si>
    <t>Al mes de febrero de 2021, se realizó seguimiento a 24 expedientes en la vigencia 2021 de los grupos Alto Magdalena-Cauca, Caribe - Pacifico, Magdalena Medio - Cauca – Catatumbo y Orinoquia – Amazonas.</t>
  </si>
  <si>
    <t xml:space="preserve">Al mes de marzo de 2021, se realizó seguimiento a 109 expedientes en la vigencia 2021 de los grupos Alto Magdalena-Cauca, Caribe - Pacifico, Magdalena Medio - Cauca – Catatumbo y Orinoquia – Amazonas, de los 1358 expedientes activos objeto de seguimiento objeto de seguimiento en etapa de construcción, operación y desmantelamiento y/o abandono. </t>
  </si>
  <si>
    <t>Porcentaje de seguimientos efectuados a proyectos en etapa de construcción</t>
  </si>
  <si>
    <t>(Número de proyectos en etapa de construcción con seguimiento ambiental durante la vigencia/ Número total de proyectos en etapa de construcción)*100</t>
  </si>
  <si>
    <t>Durante el mes de enero de 2021, no se realizó seguimiento para la vigencia 2021 a los proyectos en construcción</t>
  </si>
  <si>
    <t>Al mes de febrero se realizó seguimiento a dos proyectos en construcción de los 133 identificados en esta etapa.</t>
  </si>
  <si>
    <t>Al mes de marzo se realizó seguimiento a 13 proyectos en construcción de los 133 que se encuentran en esta etapa, segun el reporte de OESA.</t>
  </si>
  <si>
    <t>Durante el primer trimestre no se presento avance en el indicador, lo cual se debe a que el único instrumento considerado para su implementación corresponde al de desmantelamiento y abandono de hidrocarburos, el que no fue tenido en cuenta en los CT finalizados en la SSLA. TRIMESTRAL</t>
  </si>
  <si>
    <t>Grupo Valoración y manejo de impactos Seguimiento</t>
  </si>
  <si>
    <t>Proyectos con Indice de Desempeño Ambiental en implementación [ Proyecto de inversión ]</t>
  </si>
  <si>
    <t>Número de proyectos en seguimiento con aplicación de la metodología del Indice de Desempeño Ambiental</t>
  </si>
  <si>
    <t xml:space="preserve">Durante el mes de enero se les ha aplicado el IDA a 43 proyectos  es decir al 3% de los proyectos priorizados para 2021 </t>
  </si>
  <si>
    <t>Durante el mes de febrero se avanzo 96 expedientes  los cuales han sido objeto de análisis del Indice de Desempeño Ambiental en implementación para  un acumulado de 139. Se ajusta que el indicador se reporta en numero y no en porcentaje</t>
  </si>
  <si>
    <t>Hasta marzo se han avanzado en un acumulado de 254  proyectos a los cuales se ha aplicado el Seguimiento documental espacial (SDE) para ello en la pestaña denominada "Apoyo CT" se filtra en la columna E el indicador denominado "Proyectos licenciados objeto de seguimiento con Seguimiento Documental Espacial" y se evidencia acorde a las fechas de numeración (columna M) el valor antes referido</t>
  </si>
  <si>
    <t>Proyectos licenciados objeto de seguimiento con Seguimiento Documental Espacial [ Plan de Acción ]</t>
  </si>
  <si>
    <t>Número de proyectos licenciados objeto de seguimiento con Seguimiento Documental Espacial</t>
  </si>
  <si>
    <t xml:space="preserve">Durante el mes de enero se les ha aplicado el Seguimiento Documental Espacial a 43 proyectos  es ecir al 3% de los proyectos priorizados para 2021 </t>
  </si>
  <si>
    <t>Durante el mes de febrero se avanzo 96 expedientes a los cuales han sido objeto de  Seguimiento Documental Espacial para  un acumulado de 139. Se ajusta que el indicador se reporta en numero y no en porcentaje</t>
  </si>
  <si>
    <t>Hasta marzo se han avanzado en un acumulado de 254  proyectos a los cuales se ha aplicado el Seguimiento documental espacial (SDE) para ello en la pestaña denominada "Apoyo CT" se filtra en la columna E el indicador denominado "Proyectos licenciados objeto de seguimiento con Seguimiento Documental Espacial  " y se evidencia acorde a las fechas de numeración (columna M) el valor antes referido</t>
  </si>
  <si>
    <t>Porcentaje de proyectos revisados desde el componente de compensación e inversión del 1%</t>
  </si>
  <si>
    <t>(Número de conceptos técnicos numerados que incluyen el componente de compensación e inversión del 1% en etapa de seguimiento/ Total de conceptos técnicos revisados por profesionales del equipo de compensación e inversión del 1% en etapa de seguimiento) * 100</t>
  </si>
  <si>
    <t>Durante el mes de enero: Se elaboraron 6 conceptos tecnicos en atención a Recursos de Reposición en contra de resoluciones emitidas en virtud al acogimeinto al artículo 321 del PND Ley 1955 del 25 de mayo de 2019, esto frente a los asignados correspondel a una gestion del 46,15%</t>
  </si>
  <si>
    <t>Durante el mes de febrero se emitió 29 Conceptos técnicos de 32 por gestionar distribuidos así: 19 conceptos técnicos en atención a Recursos de Reposición, 3 conceptos técnicos en virtud del acogimiento al artículo 321 de la ley 1955 de 2019 y 7 apoyos a los grupos regionales ; para un acumulado numerado de 35 conceptos técnicos sobre 38 asignaciones.  Además se complementaron dos fechas de la columna denominada "fecha de asignación" para que coincidan los filtros y se ajustan las fechas que relacionaban 2020</t>
  </si>
  <si>
    <t>A marzo hay un acumulado de 70 conceptos técnicos numerados que incluyen el componente de compensación e inversión del 1% en etapa de seguimiento sobre 76 que se debían gestionar en el mismo periodo. El filtro se hace accediendo a la pestaña "Indicador 1" en la columna E denominada "Fecha de asignación" y se evidencia que hasta marzo 31 habia por gestonar 76 ct donde luego se filtra la columna L "Fecha Concepto Técnico" y se encuentran los 70 CT a la fecha numerados por el grupo (acumulado enero, febrero y marzo)</t>
  </si>
  <si>
    <t>Porcentaje de verificación preliminar de los ICA [ Plan de Acción ]</t>
  </si>
  <si>
    <t>(Número de ICA verificados/ Número de ICA recibidos)* 100</t>
  </si>
  <si>
    <t>Se tienen a corte de 31 de diciembre 481 verificaciones preliminares de ICA pendientes de gestionar. A corte de enero 31 se analizaron 131 es decir el 27%. Se reportan 132 por que se incluyo una con fecha de febrero</t>
  </si>
  <si>
    <t xml:space="preserve">Se lleva un acumulado a corte de 28 de febrero de 215  informes de cumplimiento ambiental verificados preliminarmente, frente a 534  informes de cumplimiento ambiental radicados por los titulares de los proyectos. </t>
  </si>
  <si>
    <t>Hasta marzo se han avanzado en un acumulado de 48% en los informes de cumplimiento ambiental verificados preliminarmente sobre el total a gestionar para ello en la pestaña denominada "Apoyo CT" se filtra en la columna M  las fechas de numeración donde se soporta el valor antes referido.</t>
  </si>
  <si>
    <t>Avance en la estrategia para la inversión del 1% y compensación en los territorios beneficiados por proyectos licenciados [ Plan de Acción ]</t>
  </si>
  <si>
    <t>Número de hectaréas aprobadas para desarrollar acciones de conservación, preservación y restauración con cargo al 1% y la compensación ambiental en las áreas habilitadas por la estrategia para Compensación y 1%</t>
  </si>
  <si>
    <t>Durante el mes de enero se avanzó en aprobar 1280,48 hectáreas donde se desarrollen acciones de conservación, preservación y restauración con cargo al 1% y a la compensación ambiental</t>
  </si>
  <si>
    <t>Durante el mes de febrero se aprobaron 144,87  hectaréas  para desarrollar acciones de conservación, preservación y restauración con cargo al 1% y la compensación ambiental en las 6000 áreas habilitadas por la estrategia para Compensación y 1%, llegando a un acumulado de 1425,35 hectareas. Se hizo corrección de una coma en la base soporte anexa</t>
  </si>
  <si>
    <t>1450,35  hectaréas aprobadas para desarrollar acciones de conservación, preservación y restauración con cargo al 1% y la compensación ambiental en las áreas habilitadas por la estrategia para Compensación y 1%, donde 25 hectáreas son del mes de marzo</t>
  </si>
  <si>
    <t>Porcentaje de proyectos revisados desde el componente de contingencias</t>
  </si>
  <si>
    <t>(Número de conceptos técnicos de seguimiento numerados con participación del equipo de contingencias / Número total de conceptos técnicos de seguimiento asignados al equipo de contingencias) * 100</t>
  </si>
  <si>
    <t xml:space="preserve">Durante el mes de enero se numeraron dos (2) conceptos técnicos con participación del equipo de contingencias sobre cuatro conceptos asignados </t>
  </si>
  <si>
    <t xml:space="preserve">Se tiene un avance acumulado de 18 conceptos técnicos numerados con participación del equipo de contingencias sobre 42 solicitudes asignadas a corte de 28 de febrero de 2021. </t>
  </si>
  <si>
    <t xml:space="preserve">Hasta el mes de marzo se han numerado 61 Conceptos técnicos que incluyen el componente de contingencias de 86 solicitudes de apoyo efectuadas por parte de los grupos técnicos de la subdirección de seguimiento de licencias ambientales. Es decir un avance del 71% </t>
  </si>
  <si>
    <t>Porcentaje de proyectos licenciados revisados desde el componente de valoración económica [ Plan de Acción ]</t>
  </si>
  <si>
    <t>(Número de conceptos técnicos de seguimiento numerados, con participación del equipo de valoración económica / Total de conceptos técnicos de seguimiento asignados al equipo de valoración económica) * 100</t>
  </si>
  <si>
    <t>Durante el mes de enero se desarrollaron y numeraron 3 conceptos técnicos que incluyen el componente de Evaluación Económica según reporte de SILA</t>
  </si>
  <si>
    <t xml:space="preserve">Durante el mes de febrero se asignaron y numeraron 6 conceptos técnicos que incluyen el componente de Evaluación Económica según reporte de SILA, para un acumulado de 9 conceptos durante 2021 Se hizo la corrección del formato de las fechas de asignación y de finalización de conceptos técnicos.         </t>
  </si>
  <si>
    <t>Hasta el mes de marzo se han numerado 30 Conceptos técnicos finalizados que incluyen el componente de valoración económica sobre 31 asignados llegando a un avance del 97%</t>
  </si>
  <si>
    <t>Seguimiento a expedientes de vigencias anteriores por contingencias operacionales recurrentes [ Plan de Acción ]</t>
  </si>
  <si>
    <t>Número de actos administrativos que acogen el seguimiento realizado a los expedientes priorizados de contingencias operacionales recurrentes</t>
  </si>
  <si>
    <t>Durante el mes de enero no se adelantó visitas asociadas a las contingencias operacionales recurrentes</t>
  </si>
  <si>
    <t xml:space="preserve">Se realizó durante el mes de febrero un total de cuatro visitas (en el mes de febrero se hicieron las siguientes visitas: febrero 15 Campo Moriche expediente LAM199, febrero 16 Campo Jazmín expediente LAM1913 y 24 a 26 de febrero Cantagallo expediente LAM2317), se emitió el Concepto técnico 0786 del 23 de febrero de 2021 se refiere al Expediente LAM0180 cuya visita se realizó del 2 a 4 de febrero y que se encuentra en proceso de ser acogido. </t>
  </si>
  <si>
    <t xml:space="preserve">Hasta marzo se han realizado cinco visitas a proyectos con eventos de contingencia recurrentes, se han emitido tres conceptos técnicos y se han acogido tres mediante acto administrativo. Se debe filtrar en el archivo adjunto la columna D donde estan los dos indicadores de contingencias  donde se identifica para este caso el indicador denominado "Seguimiento a expedientes de vigencias anteriores por contingencias operacionales recurrentes", y en consecuencia estan los proyectos, los conceptos y los actos que soportan este avance. Se adiciona una pestaña donde se identifica la programación propuesta para atender estos 26 proyectos.  </t>
  </si>
  <si>
    <t>Grupo de Actuaciones Sancionatorias Ambientales</t>
  </si>
  <si>
    <t>Unidad de actos administrativos expedidos en procesos sancionatorios ambientales competencia de ANLA (Conceptos técnicos acogidos para procesos sancionatorios )</t>
  </si>
  <si>
    <t>No. Actos Administrativos sancionatorios firmados</t>
  </si>
  <si>
    <t>Se emitieron 58 actos administrativos para el mes de enero vigencia 2021, distribuidos en los tres indicadores de la siguiente manera: Indicador 1 se emitieron 25 actos administrativos acogiendo CT de inicio, indicador 2 se emitieron 7 decisiones de fondo y para el indicador 3 se emitieron 26 actos administrativos de gestión entre las etapas del proceso sancionatorio.&lt;/p&gt;&lt;p&gt;E1_SANCIONATORIO_ACTOS ADMINISTRATIVOS FIRMADOS_ENERO_20</t>
  </si>
  <si>
    <t>En el mes de febrero se emitieron 78 actos administrativos para el mes de febrero vigencia 2021, distribuidos en los tres indicadores de la siguiente manera: Indicador 1 se emitieron 25 actos administrativos acogiendo CT de inicio, indicador 2 se emitieron 4 decisiones de fondo y para el indicador 3 se emitieron 49 actos administrativos de gestión entre las etapas del proceso sancionatorio.&lt;/p&gt;&lt;p&gt;E1_SANCIONATORIO_ACTOS ADMINISTRATIVOS FIRMADOS_FEBRERO_2</t>
  </si>
  <si>
    <t xml:space="preserve">Concepto técnico sancionatorio acogidos (Conceptos técnicos sancionatorios emitidos) </t>
  </si>
  <si>
    <t>No. de actos administrativos firmados en procesos sancionatorios ambientales de competencia de la ANLA acogiendo conceptos técnicos de inicio y/o medida preventiva que cumplan con los criterios para tal fin</t>
  </si>
  <si>
    <t>Para el primer indicador se emitieron 25 autos de apertura de investigación.  E1_SANCIONATORIO_INDICADOR 1_ENERO_2021</t>
  </si>
  <si>
    <t>Para el primer indicador se emitieron 24 autos de apertura de investigación y 1 auto de indagación preliminar en el mes de febrero. E1_SANCIONATORIO_INDICADOR 1_FEBRERO_2021</t>
  </si>
  <si>
    <t>Para el primer indicador se emitieron 13 autos de apertura de investigación y 1 auto de indagación preliminar. E1_SANCIONATORIO_INDICADOR 1_MARZO_2021</t>
  </si>
  <si>
    <t>Número de Decisiones de fondo</t>
  </si>
  <si>
    <t>No. de actos administrativos de decisiones de fondo firmados en procesos sancionatorios ambientales de competencia de la ANLA</t>
  </si>
  <si>
    <t>Para el segundo indicador se emitieron 5 resoluciones de Cesación del proceso sancionatorio, 1 auto de archivo de indagación preliminar, 1 resolución que resuelve recurso de reposición. E1_SANCIONATORIO_INDICADOR 2_ENERO_2021&lt;/p&gt;</t>
  </si>
  <si>
    <t>En el mes de febrero para el segundo indicador se emitieron 3 resoluciones de Exoneración de responsabilidad y 1 resolución que resuelve recurso de reposición. E1_SANCIONATORIO_INDICADOR 2_FEBRERO_2021</t>
  </si>
  <si>
    <t>Para el segundo indicador se emitieron 2 resoluciones que declaran la caducidad, 1 resolución de cesación, 1 resolución que impone sanción y 1 resolución que resuelve recurso de reposición.&lt;/p&gt;&lt;p&gt;E1_SANCIONATORIO_INDICADOR 2_MARZO_2021</t>
  </si>
  <si>
    <t>Política de Defensa jurídica</t>
  </si>
  <si>
    <t>Impulso procesal en los procesos Sancionatorios Ambientales</t>
  </si>
  <si>
    <t>No. de actos administrativos firmados en procesos sancionatorios ambientales de competencia de la ANLA con avance entre etapas</t>
  </si>
  <si>
    <t>Para el tercer indicador se emitieron 12 autos que decreta, rechaza o niega pruebas, 3 autos que ordenan diligencia dentro de investigación, 2 autos de archivo de proceso sancionatorio, 2 autos de formulación de cargos, 2 auto que resuelve recurso de reposición, 2 resoluciones que niegan medida preventiva, 1 auto de suspensión de términos, 1 resolución que levanta medida preventiva y 1 auto que reconoce tercer interviniente.&lt;/p&gt;&lt;p&gt;E1_SANCIONATORIO_INDICADOR 3_ENERO_2021</t>
  </si>
  <si>
    <t>En el mes de febrero para el tercer indicador se emitieron 18 autos de archivo de proceso sancionatorio, 15 autos que ordenan diligencia dentro de investigación, 7 autos que decreta, rechaza o niega pruebas, 4 autos de formulación de cargos, 1 resolución que levanta medida preventiva, 1 auto de aclaración, 1 resolución que levanta parcialmente medida preventiva, 1 resolución aclara resolución y 1 resolución que resuelve solicitud de revocatoria directa.&lt;/p&gt;&lt;p&gt;E1_SANCIONATORIO_INDICADOR 3_FEBRERO_2021</t>
  </si>
  <si>
    <t>Para el tercer indicador se emitieron 11 autos que decreta, rechaza o niega pruebas, 9 autos que ordenan diligencia dentro de investigación, 6 autos de archivo de proceso sancionatorio, 3 autos de formulación de cargos, 2 autos de traslado por competencia, 2 resoluciones que levantan medida preventiva, 1 auto de aclaración, 1 auto de desglose, 1 resolución de revocatoria, 1 auto que reconoce tercer interviniente y 1 resolución que niega levantamiento de medida preventiva.</t>
  </si>
  <si>
    <t>Porcentaje de solicitudes de información resueltas oportunamente</t>
  </si>
  <si>
    <t>(No. de solicitudes resueltas oportunamente/ No. de solicitudes que se encuentren para responder dentro del periodo)*100</t>
  </si>
  <si>
    <t>Durante el mes de enero el Grupo de Actuaciones Sancionatorias Ambientales recibió 10 solicitudes de apoyo para responder dentro de este período, realizadas por parte de otros grupo o dependencias de la ANLA, así:&lt;br /&gt;7 solicitudes realizadas por RASP&lt;br /&gt;1 solicitud realizada por Notificaciones Judiciales&lt;br /&gt;1 solicitud realizada por la SAF&lt;br /&gt;1 solicitud realizada por la OAJ&lt;/p&gt;&lt;p&gt;E1_SANCIONATORIO_Identificación de solicitud de apoyo - Enero</t>
  </si>
  <si>
    <t>Durante el mes de febrero el Grupo de Actuaciones Sancionatorias Ambientales recibió 11 solicitudes de apoyo para responder dentro de este período y 4 de enero que fueron resueltas dentro del término, en febrero, para un total de 15 solicitudes realizadas por parte de otros grupo o dependencias de la ANLA, así: 10 Solicitudes realizadas por parte del Grupo de Notificaciones Judiciales. 1 Solicitud del Grupo de Cobro Coactivo 2 Solicitudes de la Subdirección de Seguimiento de Licencias Ambientales - SSLA. 1 Solicitud del Grupo RASP 1 Solicitud de la Subdirección de Instrumentos, Permisos y Trámites Ambientales - SIPTA&lt;/p&gt;&lt;p&gt;E1_Identificación de solicitud de apoyo febrero 2021</t>
  </si>
  <si>
    <t>Gestión jurídica</t>
  </si>
  <si>
    <t>Grupo de Gestión Jurídica y Cobro Coactivo</t>
  </si>
  <si>
    <t>Porcentaje de cartera coactiva recuperada en la vigencia 2021</t>
  </si>
  <si>
    <t>Total recaudo en banco de cartera coactiva</t>
  </si>
  <si>
    <t>Durante enero de 2021  el Grupo de Gestión Administrativa y Financiera reportó al Grupo de Cobro Coactivo el recaudo de $368.141.837, correspondientes al pago total o parcial de obligaciones</t>
  </si>
  <si>
    <t>En febrero el Grupo de Gestión Administrativa y Financiera reportó al Grupo de Cobro Coactivo el recaudo de $827.669.468, correspondientes al pago total o parcial de obligaciones (se incluyen 3 obligaciones canceladas en enero que no fueron incluidas en el reporte anterior)&lt;/p&gt;&lt;p&gt;E1_COACTIVO_Recaudo Febrero_2021</t>
  </si>
  <si>
    <t>En Marzo el Grupo de Gestión Administrativa y Financiera reportó al Grupo de Cobro Coactivo el recaudo de $426,085,356, correspondientes al pago total o parcial de obligaciones &lt;/p&gt;&lt;p&gt;E1_COACTIVO_Recaudo Marzo_2021</t>
  </si>
  <si>
    <t>Porcentaje de recaudo en banco cartera coactiva</t>
  </si>
  <si>
    <t>Total recaudo en banco de cartera coactiva/ meta establecida para la vigencia</t>
  </si>
  <si>
    <t>En el mes de enero de 2021 se recaudan $210.677.570, que corresponden al pago total o parcial de obligaciones en etapa de cobro coactivo.</t>
  </si>
  <si>
    <t>En febrero se recaudaron 227.118.453 que corresponden al pago total o parcial de obligaciones en cobro coactivo.&lt;/p&gt;&lt;p&gt;E2_COACTIVO_Recaudo Coactivo Febrero_2021</t>
  </si>
  <si>
    <t>En marzo se recaudaron $163.453.369 que corresponden al pago total o parcial de obligaciones en cobro coactivo.&lt;/p&gt;&lt;p&gt;Se ordenó la apertura de 54 procesos, cambia de etapa cartera por $633,434,750; se incrementa la meta de recaudo en coactivo en $190,130,425&lt;/p&gt;&lt;p&gt;E2_COACTIVO_Recaudo Coactivo Marzo_2021</t>
  </si>
  <si>
    <t>Política de Gestión presupuestal y eficiencia del gasto público</t>
  </si>
  <si>
    <t>Porcentaje de recaudo en banco cartera persuasiva</t>
  </si>
  <si>
    <t>Total recaudo en banco de cartera persuasiva / meta establecida para la vigencia</t>
  </si>
  <si>
    <t>En enero de 2021 se recaudan $157.464.267, que corresponde al pago total o parcial de obligaciones en etapa de cobro persuasivo.</t>
  </si>
  <si>
    <t>En febrero se recaudaron 600.581.015 que corresponden al pago total o parcial de obligaciones en etapa persuasiva de cobro.&lt;/p&gt;&lt;p&gt;Mediante memorando 2021011396-3-000 el Grupo de Gestión Financiera y Presupuestal remitió a la OAJ cartera para cobro coactivo: 159 autos de cobro y 1 resolución que impone multa. Se devolvieron 3 autos por carecer de requisitos, por lo que la cartera efectivamente remitida asciende a 3.364.592.921.&lt;/p&gt;&lt;p&gt;Adicionalmente mediante memorando 2021004940-3-000 se devolvió el título del proceso COA0-807-00-2020, por 2.277.000.&lt;/p&gt;&lt;p&gt;E3_COACTIVO_Recaudo Persuasivo Febrero_2021</t>
  </si>
  <si>
    <t>En marzo se recaudaron $262.631.987 que corresponden al pago total o parcial de obligaciones en etapa persuasiva de cobro.&lt;/p&gt;&lt;p&gt;Mediante memorando 2021061589-3-000 se informó al Grupo de Gestión Financiera y Presupuestal la devolución del Auto 01654 de 2 de marzo de 2020, proferido en contra de las EMPRESAS PÚBLICAS DE MEDELLÍN E.S.P.,por fallo de tutela que ordenó reiniciar proceso de notificación&lt;/p&gt;&lt;p&gt;E3_COACTIVO_Recaudo Persuasivo Marzo_2021</t>
  </si>
  <si>
    <t>Grupo Defensa Judicial</t>
  </si>
  <si>
    <t>Tasa de éxito procesal</t>
  </si>
  <si>
    <t>Número de procesos en contra de la entidad terminados (ejecutoriado) con fallo favorable / Total numero de procesos en contra de la entidad terminados</t>
  </si>
  <si>
    <t>Para el mes de enero de 2021, se emitieron 2 fallos ejecutoriados los cuales fueron favorables para la Entidad. E1_JUDICIALES_FALLOS ENERO 202</t>
  </si>
  <si>
    <t>Para el mes de febrero de 2021, se emitieron 4 fallos ejecutoriados los cuales fueron favorables para la Entidad. E1_JUDICIALES_FALLOS FEBRERO 2021</t>
  </si>
  <si>
    <t>Para el mes de marzo de 2021, se emitieron 4 fallos ejecutoriados los cuales fueron favorables para la Entidad E1_JUDICIALES_FALLOS MARZO 2021}</t>
  </si>
  <si>
    <t>Grupo Conceptos Jurídicos</t>
  </si>
  <si>
    <t xml:space="preserve">	Número de propuestas de mejoras normativas</t>
  </si>
  <si>
    <t>Número de propuestas de mejorar normativas realizadas</t>
  </si>
  <si>
    <t>Porcentaje de conceptos jurídicos resueltos en atención a consultas internas</t>
  </si>
  <si>
    <t>Número de conceptos jurídicos resueltos/ Número de consultas jurídicas internas solicitadas y que se encuentren para responder dentro del periodo</t>
  </si>
  <si>
    <t>Se da respuesta a 26 solicitudes de las 30 que estaban para responder en enero_2021, entre las cuales se encuentran:&lt;/p&gt;&lt;p&gt;Revisión del estatuto tributario, análisis de regionalización, estandarización de impactos ambientales, revisión a la modificación de la resolución de cobros de la entidad, análisis de términos de referencia especificos para varios sectores, revisión a la nueva resolución de grupos internos de trabajo, entre otros.&lt;/p&gt;&lt;p&gt;E1_CONCEPTOS_BASE SOLICITUDES INTERNAS</t>
  </si>
  <si>
    <t xml:space="preserve">En el presente periodo se atendieron en término 17 solicitudes de 19, entre las cuales se encuentran: revisión Agendas Ambientales Sectoriales- ASOCOLFLORES-FENALCO-ASINFAR, revisión del Proyecto de Resolución SAN0001-00-2015, Revisión del auto de formulación de cargos dentro del SAN0414-00-2018, TdR controladores biológicos - reunión Embajada de Belgica, Terminos de referencia para EIA - construcción y operación de centrales térmicas generadoras de energía eléctrica, Concepto jurídico seguimiento acuerdos de consulta previa.&lt;/p&gt;&lt;p&gt;E1_BASE DE ASIGNACIÓN DE TAREAS FEBRERO </t>
  </si>
  <si>
    <t>Se reportan 29 solicitudes atendidas en términos de 31 asignadas, 27 atendidas en el mes de marzo y  2 atendidas en febrero que no fueron reportadas en su momento. Se destacan: Proyectos de modificación de Decretos reglamentación del FONAM - Decreto 1076 de 2015; Revisión, análisis jurídico y comentarios al pliego de peticiones presentado por la Unión Sindical del Sector Ambiente USSA el 26 de febrero de 2021; Revisión Documento – ESTUDIOS PREVIOS Convenio Específico ANLA - ANH. Revisión y observaciones en control de cambios, ajustes y modificaciones.</t>
  </si>
  <si>
    <t> </t>
  </si>
  <si>
    <t xml:space="preserve"> POR DEPENDENCIA </t>
  </si>
  <si>
    <t xml:space="preserve"> POR GRUPO </t>
  </si>
  <si>
    <t>Grupo De Gestión Contractual</t>
  </si>
  <si>
    <t xml:space="preserve"> $              60.406.439.919</t>
  </si>
  <si>
    <t xml:space="preserve"> $          128.912.093</t>
  </si>
  <si>
    <t>Porcentaje de certificaciones realizadas y enviadas</t>
  </si>
  <si>
    <t>N° de certificaciones enviadas a los contratistas por medio de correo electrónico/ contratos terminados en 2019 y 2020 sin certificación</t>
  </si>
  <si>
    <t>Ente indicador se reporta trimestralmente</t>
  </si>
  <si>
    <t>En el periodo de enero a marzo se han realizado 856 certificaciones, sobre una base de 1446, llegando al 59%.</t>
  </si>
  <si>
    <t>Política de Fortalecimiento organizacional y simplificación de procesos</t>
  </si>
  <si>
    <t xml:space="preserve"> $          532.557.301</t>
  </si>
  <si>
    <t>Porcentaje de contratos por modalidad contratación directa de prestación de servicios y/o apoyo a la gestión atendidos dentro de los tiempos establecidos en el procedimiento</t>
  </si>
  <si>
    <t>No. total de dias de tramite del proceso de contratación directa de prestación de servicios profesionales y/o apoyo a la gestión /No. dias establecidos en el procedimiento de contratación directa de prestación de servicios profesionales y/o apoyo a la gestión</t>
  </si>
  <si>
    <t>En el mes de enero se firmaron 889 contratos de prestación de servicios profesionales y/o apoyo a la gestón, de los cuales el 100% fueron firmados dentro de los tiempos del procedimiento.</t>
  </si>
  <si>
    <t>En el mes de febrero se suscribieron 110 contratos de Prestación de servicios profesionales y/o apoyo a la gestión, de los cuales el 100% se tramitaron en los terminos de oportunidad de acuerdo al procedimiento.</t>
  </si>
  <si>
    <t>En el mes de marzo se firmaron 45 contratos de prestación de servicios profesionales y/o apoyo a la gestión, de los cuales el 100% fueron firmados dentro de los términos del procedimiento.</t>
  </si>
  <si>
    <t xml:space="preserve"> $          310.840.899</t>
  </si>
  <si>
    <t>Porcentaje de liquidaciones realizadas dentro de los términos de ley.</t>
  </si>
  <si>
    <t>N° de liquidaciones realizadas / Solicitudes de liquidación recibidas en debida forma</t>
  </si>
  <si>
    <t>En el periodo de enero a marzo de 2021 se recibieron 7 solicitudes de liquidación en debida forma, de las cuales se liquidó 1 contrato y los 6 restantes se encuentran dentro de los térmnos del procedimiento</t>
  </si>
  <si>
    <t>100,0%</t>
  </si>
  <si>
    <t>86,3%</t>
  </si>
  <si>
    <t>Grupo de Gestión Financiera Y Presupuestal</t>
  </si>
  <si>
    <t>Funcionamiento</t>
  </si>
  <si>
    <t>NO APLICA</t>
  </si>
  <si>
    <t xml:space="preserve"> $          471.041.901</t>
  </si>
  <si>
    <t>Porcentaje de recaudo efectivo</t>
  </si>
  <si>
    <t>Valor Recaudo efectivo / (Meta recaudo vigencia 2020)</t>
  </si>
  <si>
    <t>Para el mes de enero de 2021 se recaudó por concepto de servicios de seguimiento y evaluación la suma de $5.268.861.423, que corresponde al 5% de la meta propuesta de $105.533.877.773</t>
  </si>
  <si>
    <t>Al ciere del mes de  febrero/21 se recaudo $10.175.345.320 correspondiente al 10% de la meta establecida en $ 105.533.877.773 para la vigencia 2021.</t>
  </si>
  <si>
    <t>Al cierre del mes de  marzo/2021 se registra un recaudo por concepto de seguimiento y evaluación de $17.665.120.338, lo cual  corresponde al 17% de la meta  $ 105.533.877.773 esperada para la vigencia 2021.</t>
  </si>
  <si>
    <t>Porcentaje de recaudo efectivo por seguimiento al licenciamiento y permisos ambientales</t>
  </si>
  <si>
    <t>Valor efectivo recaudado servicio de seguimiento / (Valor proyectado recaudo por servicio de seguimiento)</t>
  </si>
  <si>
    <t>Para el mes de enero de 2021 se registró recaudo por concepto de seguimiento por valor de $4.422.501.456, lo cual corresponde al 5% de la meta proyectada de $87.393.968.825 vigencia 2021</t>
  </si>
  <si>
    <t>Al cierre del mes de  febrero/21 se registra un recaudo de $7.352.554.683 correspondiente al 8% de la meta  $ 87.393.968.825 establecida para la vigencia 2021.</t>
  </si>
  <si>
    <t>Al cierre del mes de  marzo/2021  se registra un recaudo por servicio de seguimiento de $12.835.931.899, lo cual  corresponde al 15% de la meta  $87.393.968.825 esperada para la vigencia 2021.</t>
  </si>
  <si>
    <t xml:space="preserve"> $          162.326.615</t>
  </si>
  <si>
    <t>Avance en la ejecución presupuestal en obligaciones</t>
  </si>
  <si>
    <t>Valor obligado / valor comprometido</t>
  </si>
  <si>
    <t>El prespuesto vigencia 2021 en el mes de enero registró obligaciones acumulados del 3%, Incluyendo presupuesto asignado a la unidad ejecutora ANLA y la subunidad FONAM-ANLA.</t>
  </si>
  <si>
    <t>Para el cierre del mes de febrero de 2021,  se registran obligaciones acumuladas del 10%, Incluyendo presupuesto asignado a la unidad ejecutora ANLA y la subunidad FONAM-ANLA.</t>
  </si>
  <si>
    <t>La ejecución presupuestal al cierre del mes de marzo de 2021 registró compromisos acumulados del 63%. Incluye presupuesto asignado a la unidad ejecutora ANLA y la subunidad FONAM-ANLA.</t>
  </si>
  <si>
    <t>Presupuesto Ejecutado Frente A Presupuesto Asignado</t>
  </si>
  <si>
    <t>Valor obligado / programación presupuestal de las dependencias</t>
  </si>
  <si>
    <t>Para el mes de enero 2021 se registra una ejecución del 1%. Donde el presupuesto ejecutado es medido frente a obligaciones (Funcionamiento e inversion).</t>
  </si>
  <si>
    <t>Al cierre del mes de febrero de 2021, el presupuesto ejecutado frente al asignado corresponde al 6%. Donde el presupuesto asignado es medido frente a obligaciones (Funcionamiento e inversion).</t>
  </si>
  <si>
    <t>Para el cierre del mes de marzo de 2021, el presupuesto ejecutado frente al asignado registra avance acumulado del 12%. Donde el presupuesto ejecutado es medido frente a obligaciones (Funcionamiento e inversion).</t>
  </si>
  <si>
    <t xml:space="preserve"> $          448.363.004</t>
  </si>
  <si>
    <t>Avance en la ejecución presupuestal en compromisos</t>
  </si>
  <si>
    <t>Valor comprometido / programación presupuestal de las dependencias</t>
  </si>
  <si>
    <t>Para el mes de enero 2021 se registran compromisos acumulados del 52%, indicador que incluye presupuesto asignado a la unidad ejecutora ANLA y la subunidad FONAM-ANLA.</t>
  </si>
  <si>
    <t>El prespuesto vigencia 2021 en el mes de febrero registró compromisos acumulados del 59%. Incluyendo presupuesto asignado a la unidad ejecutora ANLA y la subunidad FONAM-ANLA.</t>
  </si>
  <si>
    <t>La ejecución presupuestal al cierre del mes de marzo 2021 registró obligaciones acumulados del 20%, Incluye presupuesto asignado a la unidad ejecutora ANLA y la subunidad FONAM-ANLA.</t>
  </si>
  <si>
    <t xml:space="preserve"> $            65.540.000</t>
  </si>
  <si>
    <t>Indice de Sostenibilidad Financiera</t>
  </si>
  <si>
    <t>Eficiencia financiera + (Propensión a ahorrar * Diferencia entre Ingresos del periodo anterior, excedentes del año del periodo t -2 y gastos del periodo anterior (ahorro o desahorro)</t>
  </si>
  <si>
    <t>-</t>
  </si>
  <si>
    <t>El indicador se reporta anual</t>
  </si>
  <si>
    <t>Indicador de Eficiencia Financiera</t>
  </si>
  <si>
    <t>Relación entre los ingresos que recibe la entidad y los gastos que genera IEF= Ingresos/ Gastos</t>
  </si>
  <si>
    <t>0,71</t>
  </si>
  <si>
    <t xml:space="preserve"> $          112.062.253</t>
  </si>
  <si>
    <t>Avance en la implementación de la estrategia de sostenibilidad financiera de ANLA</t>
  </si>
  <si>
    <t>(Avance de las actividades* peso porcentual) / total de actividades</t>
  </si>
  <si>
    <t>Para el primer trimestre se presenta avance del 16% en la estrategia sostenibilidad financiera, correspondiente a cumplimiento de 4 actividades establecidas.</t>
  </si>
  <si>
    <t>20,3%</t>
  </si>
  <si>
    <t>26,7%</t>
  </si>
  <si>
    <t>34,2%</t>
  </si>
  <si>
    <t>2,9%</t>
  </si>
  <si>
    <t>7,4%</t>
  </si>
  <si>
    <t>Grupo de Gestión Documental</t>
  </si>
  <si>
    <t xml:space="preserve"> $          574.587.378</t>
  </si>
  <si>
    <t>Sistema de Gestión documental implementado</t>
  </si>
  <si>
    <t>Número de Sistemas de Gestión Documental implementado</t>
  </si>
  <si>
    <t>Se elaboró y se ajustó la ficha técnica y la lista de requerimientos del SGDEA, se solicitarón (9) nueve cotizaciones y se elaboró versión inicial de Estudio Previo y Estudio de Sector.</t>
  </si>
  <si>
    <t>Se solicitaron (9) nueve cotizaciones, se realizó la validación del Acuerdo Marco y se elaboró y revisó el Estudio del Sector.</t>
  </si>
  <si>
    <t>Para el mes de marzo se finalizó y presentó el Estudio de Sector y el Estudio Previo.</t>
  </si>
  <si>
    <t>Porcentaje De Implementación Del Sistema De Gestión Documental Institucional</t>
  </si>
  <si>
    <t>Número de actividades y/o documentos realizados/Actividades y/o documentos programados para la implementación del Sistema de gestión documental</t>
  </si>
  <si>
    <t>Se elaboró y se ajustó la ficha técnica y la lista de requerimientos del SGDEA, se solicitaron (9) nueve cotizaciones y se elaboró versión inicial de Estudio Previo y Estudio de Sector, cumpliendo con los tiempos establecidos en el cronograma.</t>
  </si>
  <si>
    <t>Se solicitaron (9) nueve cotizaciones, se realizó la validación del Acuerdo Marco y se elaboró y revisó el Estudio del Sector, según cronograma.</t>
  </si>
  <si>
    <t>Información y Comunicación</t>
  </si>
  <si>
    <t>Política de Gestión documental</t>
  </si>
  <si>
    <t xml:space="preserve"> $       2.592.575.336</t>
  </si>
  <si>
    <t>Organización de archivos de gestión - (Expedientes en el Sistema de Gestión de Documentos Electrónicos de Archivo - SGDEA)</t>
  </si>
  <si>
    <t>Metros lineales organizados</t>
  </si>
  <si>
    <t>El indicador noe stá programado para este mes</t>
  </si>
  <si>
    <t>Este indicador logrará  avance una vez que se implemente el Sistema de Gestión Electrónicos de Archivo - SGDEA y se cargue información en el.</t>
  </si>
  <si>
    <t xml:space="preserve"> $          162.296.916</t>
  </si>
  <si>
    <t>Porcentaje de implementación del Plan Institucional de archivos PINAR</t>
  </si>
  <si>
    <t>Número de actividades desarrolladas/Número de actividades programadas</t>
  </si>
  <si>
    <t>Se realiza actividades referente al Plan de Trabajo el cual se encuentra adjunto. se presenta avance de planes de conservación y preservación, proyección de documentos para presentación de Tablas de Retención en el Archivo General de la Nación, actualización de Formato Unico de Inventario Documental</t>
  </si>
  <si>
    <t>Se realiza actividades referente al Plan de Trabajo el cual se encuentra adjunto. se presenta avance de ejecución de MOREQ, de planes de conservación y preservación, Transferencia Documental de SITPA, actualización de Formato Unico de Inventario Documental y memoria descriptiva referente a Tablas de Retención Documental.</t>
  </si>
  <si>
    <t>Se realiza actividades referente al Plan de Trabajo el cual se encuentra adjunto. se presenta avance de ejecución de MOREQ, de planes de conservación y preservación, actualización de Formato Unico de Inventario Documental, transferencias documentales y actas de reunión de propuestas para las Tablas de Retención Documental.</t>
  </si>
  <si>
    <t>Porcentaje de implementación de las actividades previstas en el Programa de Gestión Documental</t>
  </si>
  <si>
    <t>Número de actividades programadas/# de actividadaes implmentadas</t>
  </si>
  <si>
    <t>Para el mes de enero se cumple con las actividades planificadas en el cronograma, el plan de trabajo se encuentra adjunto, se realizó Control de Calidad, actualización de inventarios, avance de planes de conservación y preservación digital y Tablas de Retención Documental.</t>
  </si>
  <si>
    <t>Para el mes de febrero se cumple con las actividades planificadas en el cronograma, el plan de trabajo se encuentra adjunto, se realizó Control de Calidad, actualización de inventarios, avance de planes de conservación y preservación digital, memoria descriptiva de las TRD y capacitación con sus respectivas evidencias.</t>
  </si>
  <si>
    <t>Para el mes de Marzo se cumple con las actividades planificadas en el cronograma, el plan de trabajo se encuentra adjunto, se realizó Control de Calidad, actualización de inventarios, avance de actividades de planes de conservación, reunioines con dependencias para las TRD y capacitación con sus respectivas evidencias.</t>
  </si>
  <si>
    <t xml:space="preserve"> $          183.002.554</t>
  </si>
  <si>
    <t>Porcentaje de implementación de la primera fase del Sistema de Gestión de Documentos Electrónicos de Archivo – SGDEA</t>
  </si>
  <si>
    <t>Número de etapas ejecutadas / No de etapas programadas</t>
  </si>
  <si>
    <t>Indicador en proceso de eliminación</t>
  </si>
  <si>
    <t>Indicador eliminado por petición del grupo</t>
  </si>
  <si>
    <t>7,7%</t>
  </si>
  <si>
    <t>16,6%</t>
  </si>
  <si>
    <t>25,6%</t>
  </si>
  <si>
    <t>5,6%</t>
  </si>
  <si>
    <t>27,9%</t>
  </si>
  <si>
    <t>Grupo de Gestión Administrativa</t>
  </si>
  <si>
    <t xml:space="preserve"> $              9.599.127</t>
  </si>
  <si>
    <t>Porcentaje de avance en las actividades del Subsistema de Gestión ambiental</t>
  </si>
  <si>
    <t>En enero el indicador o presenta avance</t>
  </si>
  <si>
    <t>Teniendo en cuenta que en el mes de enero se mencionó que el reporte de dicho mes se realizaría en el mes de febrero, ya que actualmente no se cuenta con el profesional encargado del Subsistema de Gestión Ambiental, sin embargo por parte del Grupo de Gestión Administrativa se adelantaron actividades programadas dentro de la matriz de ejejcución de programas, por lo que se indica lo siguiente:
Para el mes de enero se realizaron un total de 3 actividades de las 5 en total que se tenían programadas; para el mes de febrero, el reporte es por un total de 6 actividades realizadas de las 7 en total que se tenían programadas, por lo que el avance en el mes de enero es de un 3% del acumulado, y en el mes de febrero es de un 8% del acumulado, para un acumulado total en el año de 11%.</t>
  </si>
  <si>
    <t>Para el mes de marzo, se realiza un avance del 80%, ya que de las 5 actividades programadas para el mes, se realizaron un total de 4; con respecto al avance acumulado del año, se reporta un 18%, que corresponde a un total de 14 actividades realizadas, de un total de 18 actividades que se tenían programadas en la matriz de ejecución de programas del Subsistema de Gestión Ambiental.</t>
  </si>
  <si>
    <t>Reducción del consumo del recurso papel en la entidad</t>
  </si>
  <si>
    <t>En el mes de enero, el consumo total fue de 24.353 número de páginas (No. de hojas por peso: 60 kg), para un ahorro del 81%, comparado con el promedio anual histórico de hojas de 128.751 (No. de hojas por peso: 627 kg), sin embargo se determinó un porcentaje del 35% después de un cálculo que tiene en cuenta la contingencia por el COVID-19 que ocasiona la ausencia de la gran mayoría de colaboradores en las instalaciones de la entidad (implementado por la OAP).</t>
  </si>
  <si>
    <t>Teniendo en cuenta que en la Entidad no se cuenta con impresoras a partir del mes de enero, en el mes de febrero no se generó un consumo de papel al no llevarse a cabo algún tipo de impresión, de esta forma se contribuye con el ahorro del mismo al interior del Grupo de Gestión Administrativa y se logra cumplir con la meta mensual del 45% de ahorro (con escenario COVID), para un acumulado en el año de 40%.</t>
  </si>
  <si>
    <t>En el mes de marzo, el consumo total fue de 15.000 número de páginas (No. de hojas por peso: 37 kg), para un ahorro del 94%, comparado con el promedio anual histórico de hoja de 128.751 (No. de hojas por peso: 627 kg), sin embargo se determinó un porcentaje del 35% después de un cálculo que tiene en cuenta la contingencia por el COVID-19 que ocasiona la ausencia de la gran mayoría de colaboradores en las instalaciones de la entidad (implementado por la OAP).</t>
  </si>
  <si>
    <t xml:space="preserve"> $          638.893.875</t>
  </si>
  <si>
    <t>Porcentaje de satisfacción en los casos de la mesa de ayuda</t>
  </si>
  <si>
    <t>Porcentaje de satisfaccIón en mesa de ayuda</t>
  </si>
  <si>
    <t>Se calificaron en el mes de enero un total de 2 casos, de los cuales 1 fueron de calificación excelente (100/100), y 1 de calificación bueno (70/100) para un total de 85% de satisfacción.</t>
  </si>
  <si>
    <t>Se calificaron en el mes de febrero un total de 3 casos, de los cuales 1 fue de calificación excelente (100/100), y 2 casos de calificación bueno (70/100), para un total de 80% de satisfacción</t>
  </si>
  <si>
    <t>Se calificaron en el mes de marzo un total de 2 casos, de los cuales 1 fueron de calificación excelente (100/100), y 1 caso de calificación bueno (70/100), para un total de 85% de satisfacción.</t>
  </si>
  <si>
    <t>94,4%</t>
  </si>
  <si>
    <t>51,1%</t>
  </si>
  <si>
    <t>54,9%</t>
  </si>
  <si>
    <t>114,3%</t>
  </si>
  <si>
    <t>Grupo de Gestión Humana</t>
  </si>
  <si>
    <t xml:space="preserve"> $            18.037.751</t>
  </si>
  <si>
    <t>Porcentaje de satisfacción de los eventos de bienestar</t>
  </si>
  <si>
    <t>Calificación actividad 1 + Calificación actividad 2+ Calificación actividad (n)/ # de actividades calificadas</t>
  </si>
  <si>
    <t>Durante el mes de enero de 2021, se Trabajo en la propuesta de Sistema de Estímulos (Programa de Bienestar Social y Plan de Incentivos) para la vigencia 2021, la cual fue presentada a la Comisión de Personal (18 de enero) y al Comité Institucional de Gestión y Desempeño (22 de enero) quienes la aprobaron lo aprobaron. El Sistema de Estímulos 2021, hace parte integral del “Plan Estratégico de Talento Humano” el cual ya se encuentra publicado en la pagina web de la entidad. Por lo anterior se puede concluir que en el mes de enero de 2021 se trabajo en el diseño y elaboración del Sistema de Estímulos 2021, el cual se empezó a ejecutar desde el 01 de febrero del 2021.</t>
  </si>
  <si>
    <t>El “Porcentaje de impacto de los eventos de bienestar” correspondiente al mes de FEBRERO en el cual se obtuvo una calificación del 90% de impacto de las actividades:
1.    Charla Convenio con DAVIVIENDA.    89,000%
2.    Charla Tarjeta Integral de CAFAM.    91,000%</t>
  </si>
  <si>
    <t>El “Porcentaje de impacto de los eventos de bienestar” correspondiente al mes de MARZO en el cual se obtuvo una calificación del 89,6666666666667% de impacto de las actividades:
1.    Jornada de atención de la Oficina Móvil de Cafam.    83,000%
2.    Charla créditos de vivienda con el FNA    90,000%
3.    Clase de Yoga.    96,000%</t>
  </si>
  <si>
    <t>Porcentaje de satisfacción en las actividades de la propuesta de la estrategia de calidad de vida</t>
  </si>
  <si>
    <t>(Calificación actividad 1+Calificación actividad (n))/# de actividades calificadas</t>
  </si>
  <si>
    <t>Durante el mes de enero de 2021, se Trabajó en la propuesta de Sistema de Estímulos (Programa de Bienestar Social y Plan de Incentivos) para la vigencia 2021, la cual fue presentada a la Comisión de Personal (18 de enero) y al Comité Institucional de Gestión y Desempeño (22 de enero) quienes la aprobaron lo aprobaron. El Sistema de Estímulos 2021, hace parte integral del “Plan Estratégico de Talento Humano” el cual ya se encuentra publicado en la página web de la entidad. Por lo anterior se puede concluir que en el mes de enero de 2021 se trabajó en el diseño y elaboración del Sistema de Estímulos 2021, el cual se empezó a ejecutar desde el 01 de febrero del 2021.</t>
  </si>
  <si>
    <t>El “propuesta de la estrategia de calidad de vida” correspondiente al mes de FEBRERO en el cual se obtuvo una calificación del 90% de impacto de las actividades:
1.    Charla Convenio con DAVIVIENDA.    89,000%
2.    Charla Tarjeta Integral de CAFAM.    91,000%</t>
  </si>
  <si>
    <t>El “propuesta de la estrategia de calidad de vida” correspondiente al mes de MARZO en el cual se obtuvo una calificación del 89,6666666666667% de impacto de las actividades:
1.    Jornada de atención de la Oficina Móvil de Cafam.    83,000%
2.    Charla créditos de vivienda con el FNA    90,000%
3.    Clase de Yoga.    96,000%</t>
  </si>
  <si>
    <t>Talento Humano</t>
  </si>
  <si>
    <t>Política de Gestión Estratégica del Talento</t>
  </si>
  <si>
    <t xml:space="preserve"> $          104.759.467</t>
  </si>
  <si>
    <t>Porcentaje de cumplimiento en las actividades pactadas en el PIC de la vigencia 2021</t>
  </si>
  <si>
    <t>Actividadades PIC 2021 programadas/Actividades PIC ejecutadas</t>
  </si>
  <si>
    <t>En el mes de ENERO se realizaron 4 actividades de las 109 propuestas, representadas en un 3,6697247706422% de avance a la meta, a continuación, se relacionan estas actividades:
1.    SILA
2.    Evaluación de desempeño laboral
3.    SIGPRO y seguridad de la información
4.    Conociendo la ANLA</t>
  </si>
  <si>
    <t>En el mes de FEBRERO se realizaron 7 actividades de las 109 propuestas, representadas en un 6,42201834862385% de avance a la meta, a continuación, se relacionan estas actividades:
1.    Conociendo la ANLA
2.    SIGPRO y seguridad de la información
3.    SILA
4.    Gestión Documental
5.    Control disciplinario orientado a Finanzas y Presupuesto
6.    AGIL
7.    Prevención de contrato realidad</t>
  </si>
  <si>
    <t>En el mes de MARZO se realizaron 11 actividades de las 109 propuestas, representadas en un 10,0917431192661% de avance a la meta, a continuación, se relacionan estas actividades:
1.    Estrategia de conflicto de intereses
2.    Taller sobre análisis de fotografías como herramienta de evaluación y seguimiento de proyectos ambientales
3.    Rendición de cuentas
4.    Actualización en legislación ambiental
5.    Gestión Documental: TRD
6.    Jornada de actualización en permisos
7.    Negociación colectiva
8.    AGIL
9.    Rendición de cuentas
10.    Derecho probatorio
11.    Plan de acción Institucional</t>
  </si>
  <si>
    <t xml:space="preserve"> $            34.688.566</t>
  </si>
  <si>
    <t>Porcentaje de planeación y ejecución del programa denominado El entrenador</t>
  </si>
  <si>
    <t>Fases del programa programadas/Fases del programa ejecutadas</t>
  </si>
  <si>
    <t xml:space="preserve">En enero se registra un avance del 5%, realizando así la siguiente actividad que hace parte de una de las 5 fases y tiene el peso porcentual mencionado:
* Formulación de fases del programa El Entrenador  5% </t>
  </si>
  <si>
    <t>En FEBRERO se registra un avance del 10%, realizando así la siguientes actividades que hace parte de una de las 5 fases y tienen el peso porcentual mencionado:
* Definición del modelo 5%
* Objeto y alcance 5%</t>
  </si>
  <si>
    <t>En MARZO se registra un avance del 10%, realizando así la siguiente actividad (se divide el porcentaje ya que se hace 1 de las 2 actividades) que hace parte de una de las 5 fases y tienen el peso porcentual mencionado:
•    Logo Programa El Entrenador 10%</t>
  </si>
  <si>
    <t xml:space="preserve"> $          155.463.313</t>
  </si>
  <si>
    <t>Porcentaje de cumplimiento del Plan de Trabajo SST</t>
  </si>
  <si>
    <t>Total de actividades ejecutadas a la fecha de cierre)/(Total de actividades planeadas en el año)</t>
  </si>
  <si>
    <t>Durante el mes de ENERO se logró un avance del 4,66321243523316% correspondiente a las actividades que a continuación se describen:
1.    Revisión Plan de Trabajo con la ARL
2.    Creación Plan de Trabajo SST y firma por parte de la Dirección
3.    Revisión, actualización y divulgación de la Política de Seguridad y Salud en el Trabajo y demás políticas de la Entidad.
4.    Actualización de procedimientos, formatos, guías del SG SST
5.    Envío de comunicación para diligenciamiento de link de Perfil Sociodemográfico para el año 2021 por parte de los FUNCIONARIOS
6.    Acompañamiento reuniones mensuales y revisión acta de COPASST
7.    Revisión  Plan de Trabajo,  Plan de Capacitación en SST y Política SIG con el COPASST
8.    "Realización y revisión de diagnóstico de condiciones de salud y revisión matriz de condiciones de salud Actualización Profesiograma "
9.    Análisis estadístico de Ausentismo.
10.    Seguimiento a resultados de encuesta de autorreporte de condiciones de salud en consecuencia del COVID 19
11.    Realización de video de emergencias
12.    Seguimientos y retroalimentación de MEDEVACs
13.    Realizar propuesta del Programa de Seguridad Basada en comportamientos
14.    Inicio Proceso de contratación área protegida
15.    Asegurar que los contratos (proveedores) realizados a través de G. Contractual hayan sido evaluados posteriormente por SST
16.    Realización encuesta Gestión del Cambio
17.    Cierre de No Conformidades resultantes de Auditoria del SG-SST
18.    Seguimiento a Indicadores y planes de acción establecidos en los diferentes Programas del SG-SST</t>
  </si>
  <si>
    <t>Durante el mes de FEBRERO se logró un avance del 11,3989637305699% correspondiente a las actividades que a continuación se describen:
1.    Creación Plan de Trabajo SST y firma por parte de la Dirección
2.    Revisión, actualización y divulgación de la Política de Seguridad y Salud en el Trabajo y demás políticas de la Entidad.
3.    Notificación y divulgación de Metas, Roles y Responsabilidades dentro del SG-SST
4.    Revisión y Actualización  Matriz de Identificación de peligros, valoración de riesgos y determinación de controles
5.    Revisión, validación y ajuste del Programa de Capacitaciones de 2021
6.    Realización de Inducción en SST a Proveedores
7.    Entrega de Documentación SST a Gestión Documental
8.    Actualización Presupuesto SST
9.    Solicitud soportes reuniones trimestrales Comité de Convivencia Laboral
10.    Seguimiento actas reuniones Comité de Seguridad Vial
11.    Acompañamiento reuniones mensuales y revisión acta de COPASST
12.    Revisión con COPASST del cronograma de Inspecciones y definir distribución de acompañamientos en las inspecciones.
13.    "Realización y revisión de diagnóstico de condiciones de salud y revisión matriz de condiciones de salud Actualización Profesiograma "
14.    Análisis estadístico de Ausentismo.
15.    Revisión y actualización del Programa de Prevención de Desordenes Musculo Esquelético - DME
16.    Seguimiento a resultados de encuesta de autorreporte de condiciones de salud en consecuencia del COVID 19
17.    Revisión de documentación sobre pausas activas y otros de documentos índole de DME
18.    Envío masivo de TIPs de prevención y promoción de DME- En casa-COVID 19
19.    Revisión y Actualización del documento de Programa de Vigilancia Psicosocial
20.    Jornadas de manejo de fatiga y carga mental (pausas cognitivas) 
21.    Revisión y Actualización del documento de Programa de Prevención de Riesgo Cardiovascular
22.    Revisión y Actualización del documento de Programa de Prevención de Riesgo Publico
23.    Entrega de Informe deTapabocas / Kit de Bioseguridad para comisiones. / Kit de Bioseguridad para personal fuera de Bogotá
24.    Actualización y seguimiento del documento de  Señalización y Demarcación Reglamentaria
25.    Realizar conformación de las Brigadas de Emergencia
26.    Realizar inventarios de los elementos de la brigada de emergencias (botiquines fijos, portátiles, llaves y responsables de los mismos)
27.    Pruebas de radios punto a punto (informe y correo)
28.    Realización de video de emergencias
29.    Capacitación de Primeros Auxilios
30.    Seguimientos y retroalimentación de MEDEVACs
31.    Divulgación Procedimiento de Trabajo Seguro en Comisiones
32.    Revisión y actualización de ATS
33.    Acompañamientos por parte del Ingeniero Asesor de la ARL a los programas de seguridad industrial
34.    Realización de Inspecciones SSTA
35.    Seguimientos a hallazgos encontrados en inspecciones
36.    Gestionar con comunicaciones medios impresos o espacios virtuales para facilitar acceso a la herramienta ANLARMA
37.    Seguimiento a los reportes de actos y condiciones recibidos
38.    Solicitar comunicaciones masivas sobre seguridad indicando la importancia de la familia
39.    Seguimientos al plan de acción de los resultados de las mediciones higiénicas (iluminación)
40.    Inicio Proceso de contratación adquisición de EPPs
41.    Inicio Proceso de contratación área protegida
42.    Asegurar que los contratos (proveedores) realizados a través de G. Contractual hayan sido evaluados posteriormente por SST
43.    Cierre de No Conformidades resultantes de Auditoria del SG-SST
44.    Seguimiento a Indicadores y planes de acción establecidos en los diferentes Programas del SG-SST
Aclaración: Por error en la consolidación de la información en el mes de ENERO se marca “Revisión, actualización y divulgación de la Política de Seguridad y Salud en el Trabajo y demás políticas de la Entidad.” y no la siguiente (Establecimiento de objetivos y metas e indicadores de  SST.)que es la que se debía reportar en dicho mes de enero, se corrige por temas de control de la información</t>
  </si>
  <si>
    <t>Durante el mes de MARZO se logró un avance del 11,139896373057% correspondiente a las actividades que a continuación se describen:
1.    Revisión y actualización del Manual de SG-SST, acorde con el Decreto. 1072/15
2.    Establecimiento de objetivos y metas e indicadores de  SST.
3.    Notificación y divulgación de Metas, Roles y Responsabilidades dentro del SG-SST
4.    Comunicación masiva por comunicaciones socializando la actualización de la Matriz IPRVDC
5.    Revisión, validación y ajuste del Programa de Capacitaciones de 2021
6.    Firma del Programa de Capacitación por parte del Coordinador de Gestión Humana de 2021 y revisión por parte del COPASST
7.    Entrega de Documentación SST a Gestión Documental
8.    Programación y Seguimiento de Asesorías con la ARL para Seguridad Vial
9.    Realización de comunicaciones masiva sobre prevención de accidentes o incidentes viales
10.    Creación de material para los automóviles sobre prevención de accidentes o incidentes viales
11.    Acompañamiento reuniones mensuales y revisión acta de COPASST
12.    Revisión  Plan de Trabajo,  Plan de Capacitación en SST y Política SIG con el COPASST
13.    "Realización y revisión de diagnóstico de condiciones de salud y revisión matriz de condiciones de salud Actualización Profesiograma "
14.    Análisis estadístico de Ausentismo.
15.    Intervención en promoción y prevención -personal asintomático y riesgo bajo - Pausas Activas
16.    Seguimiento a resultados de encuesta de autorreporte de condiciones de salud en consecuencia del COVID 19
17.    Intervención población en riesgo medio y alto - Escuela terapéutica
18.    Revisión de documentación sobre pausas activas y otros de documentos índole de DME
19.    Retroalimentación  Individual a trabajadores que puntuaron  niveles  alto y muy alto en la medición subjetiva de Factores de riesgo psicosocial.
20.    Intervensión grupal derivada de aplicación de Batería de Riesgo Psisocial (Liderazgo-Comunicación y Trabajo en Equipo- Inteligencia Emiocional y Felicidad- Manejo de Cambio- Recuperando la vida familiar )
21.    Jornadas de manejo de fatiga y carga mental (pausas cognitivas) 
22.    Realización de envío de comunicados masivos sobre TIPs de prevención de riesgo cardiovascular.
23.    Programación y realización de actividades físicas para colaboradores - Hábitos de Vida Saludable- Talleres de Nutrición-Acompañamiento Individual.
24.    Revisión y Actualización del documento de Programa de Prevención de Riesgo Publico
25.    Temáticas virtuales y TIPs de prevención de riesgo publico
26.    Entrega de Informe deTapabocas / Kit de Bioseguridad para comisiones. / Kit de Bioseguridad para personal fuera de Bogotá
27.    Revisión y ajuste al Plan de Emergencias de las sedes de la entidad (sede nueva y Bodega)
28.    Realizar conformación de las Brigadas de Emergencia
29.    Realización de video de emergencias
30.    Capacitación de Primeros Auxilios
31.    Seguimientos y retroalimentación de MEDEVACs
32.    Socialización de ATS por medio de comunicados masivos
33.    Acompañamientos por parte del Ingeniero Asesor de la ARL a los programas de seguridad industrial
34.    Supervisión SST en Campo / Realización de Charlas de Seguridad en Campo
35.    Realización de Inspecciones de EPPs - Proveedores
36.    Realización de Inspecciones de EPPs - Contratistas (En campo y/o revisión de informes post comisión)
37.    Seguimientos a hallazgos encontrados en inspecciones
38.    Comunicado masivo sobre herramienta ANLARMA Reporte de Actos y Condiciones Inseguros
39.    Seguimiento a los reportes de actos y condiciones recibidos
40.    Actualización del Manual de criterios SSTA para contrataciones (en conjunto con Gestión Contractual y Gestión Administrativa)
41.    Cierre de los planes de acción resultantes de los programas y planes existentes en el SG-SST
42.    Cierre de No Conformidades resultantes de Auditoria del SG-SST
43.    Seguimiento a Indicadores y planes de acción establecidos en los diferentes Programas del SG-SST</t>
  </si>
  <si>
    <t>Porcentaje de Accidentalidad de los colaboradores - Trabajo Seguro</t>
  </si>
  <si>
    <t>Número de accidentes de trabajo que se presentaron en el mes / número de servidores y contratistas en el mes</t>
  </si>
  <si>
    <t>Durante el mes de ENERO hubo 0 accidentes en la entidad por tal motivo se cumple con el indicador al 100% en este mes ya que la estadística se encuentra en un valor menor al 1% máximo de accidentes por mes propuesto.</t>
  </si>
  <si>
    <t>Durante el mes de FEBRERO hubo 0 accidentes en la entidad por tal motivo se cumple con el indicador al 100% en este mes ya que la estadística se encuentra en un valor menor al 1% máximo de accidentes por mes propuesto.</t>
  </si>
  <si>
    <t>Durante el mes de MARZO tuvo lugar 2 accidentes en la entidad, el porcentaje de este indicador del mes de Marzo fue 0,16116035455278% y en promedio de la vigencia es de 0,05372011818426%, por tal motivo se cumple con el indicador al 100% en este mes ya que la estadística se encuentra en un valor menor al 1% máximo de accidentes por mes propuesto.</t>
  </si>
  <si>
    <t xml:space="preserve"> $            44.717.015</t>
  </si>
  <si>
    <t>Porcentaje de avance en las actividades de la Estrategia de conflictos de interés</t>
  </si>
  <si>
    <t>Número de acciones ejecutadas / número de acciones propuestas</t>
  </si>
  <si>
    <t>Se realiza la planeación respectiva de las actividades de la estrategia junto a la Oficina Asesora de Planeación dando como resultado las actividades planteadas en el Plan Anticorrupción y al Usuario, esta estrategia esta en proceso de aprobación por lo cual en el mes de enero no hay avance en actividades, pero si en gestión de la estrategia.</t>
  </si>
  <si>
    <t>En el mes de FEBRERO se realiza la aprobación del cronograma de actividades, que con su contenido abarca las temáticas de la estrategia, este formulación tendrá un avance en los próximos meses cumpliendo con el cronograma y las metas establecidas.</t>
  </si>
  <si>
    <t>Para el seguimiento del mes de MARZO se realizaron la actualización de la gestión realizada de los meses de febrero y marzo, se reporta de forma consolidada cumpliendo con el 25% que representa la gestión acumulada para la Estrategia, a continuación, se resume lo anterior expuesto:
1.    Validar los miembros de Equipo de Gestores de Integridad 2021, encargados de apoyar la apropiación de la Política de Integridad en la entidad (se realiza el 50% de avance en esta actividad al mes de marzo):
Febrero: Se remitió correo electrónico solicitando la validación del equipo de gestores de integridad.
Marzo: Se remitió nuevamente correo electrónico solicitando la validación de los gestores de integridad toda vez que el primer correo no tuvo las respuestas necesarias.
2.    Desarrollar actividades sensibilización y formación para la apropiación de la Política de Integridad:
Marzo: En el mes de marzo se realizó capacitación (de 8) de Código de Integridad y de conflictos de Intereses realizada por el Departamento Administrativo de la Función Pública.
3.    Validar las certificaciones de los colaboradores de la entidad que completen el Curso de integridad, transparencia y lucha contra la corrupción establecido por Función Pública para dar cumplimiento a la Ley 2016 de 2020(se realiza el 100% de avance en esta actividad al mes de marzo).
4.    Asegurar que los Gerentes Públicos de la entidad, obligados por la Ley 2013 de 2019, publiquen la declaración de bienes, rentas y conflicto de intereses en los aplicativos establecidos por Función Pública (se realiza el 50% de avance en esta actividad al mes de marzo):
Marzo: Se solicitó a través de memorando al Comité Directivo la declaración de bienes, rentas y conflicto de intereses de acuerdo con la normativa vigente y al aplicativo establecido por el Departamento Administrativo de la Función Pública.
5.    Solicitar a todos contratistas de la entidad la declaración de bienes y rentas en el SIGEP II (se realiza el 100% de avance en esta actividad al mes de marzo).</t>
  </si>
  <si>
    <t>4,7%</t>
  </si>
  <si>
    <t>35,2%</t>
  </si>
  <si>
    <t>40,0%</t>
  </si>
  <si>
    <t>98,4%</t>
  </si>
  <si>
    <t>Grupo de Gestión de Notificaciones</t>
  </si>
  <si>
    <t xml:space="preserve"> $          581.260.648</t>
  </si>
  <si>
    <t>Porcentaje de cumplimiento en la gestión y control del proceso de publicidad de los actos administrativos emitidos por la Entidad</t>
  </si>
  <si>
    <t>Número de actos administrativos gestionados oportunamente/Número de actos adminisrativos tramitados</t>
  </si>
  <si>
    <t>Para el mes de enero de 2021, el Grupo de Gestión de Notificaciones realizó el proceso de publicidad para 713 usuarios de los cuales se inició en termino a 694, quedando 19 fuera de término, en los que se registran 6 reinicios de proceso de publicidad y 13 por inconsistencias en los actos administrativos, estos ultimos se reportaron a los sectores pero hubo una respuesta de ellos fuera del termino establecido en Ley para iniciar el proceso de publicidad por parte del grupo.
Motivo por el cual se registró un cumplimiento del 97% del total de usuarios a notificar, así mismo se precisa que ANLA solo emitió para el mes de enero de 2021, 192 actos administrativos.</t>
  </si>
  <si>
    <t xml:space="preserve">Para la presente vigencia 2021 se registra un avance acumulado del 99.1, para el mes de Febrero de 2021 el Grupo de Gestión de Notificaciones realizó el proceso de publicidad para 943 usuarios de los cuales se inició en termino a 939, quedando 4 fuera de término, en los que se registran 3 reinicios de proceso de publicidad y 1 por inconsistencias en los actos administrativos, este ultimo se reportó al sector pero hubo una respuesta de ellos fuera del termino establecido en Ley para iniciar el proceso de publicidad por parte del grupo. Motivo por el cual se registró un cumplimiento del 99.6% del total de usuarios a notificar, se precisa que ANLA emitió para el mes de febrero 748 actos administrativos, sin incluir resoluciones internas (Gestión del Talento Humano). </t>
  </si>
  <si>
    <t>Para la presente vigencia 2021 se registra un avance acumulado del 98.17%, para el mes de Marzo el Grupo de Gestión de Notificaciones realizó el proceso de publicidad para 1185 usuarios de los cuales se inició en termino a 1156, quedando 29 fuera de término, en los que se registran 8 reinicios de proceso de publicidad, 1 reinicio por una acción de tutela del Tribunal Superior del Distrito Judicial de Medellín y 20 actos administrativos de procesos de cobro coactivo que ingresaron al Grupo de Gestión de Notificaciones fuera del término establecido en la Ley 1437 de 2011 para iniciar proceso de notificación, esto fue mediante dos memorandos del año 2020 (2020177500-3-000 del 9 de octubre de 2020- 2020188669-3-000 del 26 de octubre de 2020) y uno del 2021 (2021042837-3-000 del 10 de marzo de 2021).
Sobre los memorandos de vigencia 2020, en la dependencia de origen (Oficina Asesora Jurídica - OAJ) se indicó como dependencia de destino “CORRESPONDENCIA” lo que ocasionó que en su momento no llegaran al Grupo de Gestión Administrativa – Área de Notificaciones y en efecto no se asignara para su trámite en término, situación que solo se evidenció por parte de la OAJ al hacer seguimiento de los procesos de cobro coactivo. Sobre el memorando de vigencia 2021, suscrito por la Coordinadora del Grupo de Cobro Coactivo - OAJ, se allegaron a esta dependencia actos administrativos expedidos en el año 2020, es decir, ya fuera del término de Ley.</t>
  </si>
  <si>
    <t>97,3%</t>
  </si>
  <si>
    <t>99,1%</t>
  </si>
  <si>
    <t>98,2%</t>
  </si>
  <si>
    <t>Subdirección Administrativa y Financiera</t>
  </si>
  <si>
    <t xml:space="preserve"> $          467.349.859</t>
  </si>
  <si>
    <t xml:space="preserve"> $          379.784.603</t>
  </si>
  <si>
    <t>27,8%</t>
  </si>
  <si>
    <t>34,9%</t>
  </si>
  <si>
    <t>42,2%</t>
  </si>
  <si>
    <t>50,3%</t>
  </si>
  <si>
    <t>51,9%</t>
  </si>
  <si>
    <t>54,5%</t>
  </si>
  <si>
    <t>52,1%</t>
  </si>
  <si>
    <t>62,0%</t>
  </si>
  <si>
    <t>N/A</t>
  </si>
  <si>
    <t>Dirección General</t>
  </si>
  <si>
    <t>Avance en la implementación de los planes de gestión del riesgo en los Proyectos, Obras o Actividades priorizados</t>
  </si>
  <si>
    <t>OCDI</t>
  </si>
  <si>
    <t>Oficina de Control Disciplinario Interno</t>
  </si>
  <si>
    <t>Porcentaje de satisfacción en acciones preventivas de los colaboradores capacitados</t>
  </si>
  <si>
    <t>Porcentaje de satisfacción alcanzado por los colaboradores capacitados en acciones preventivas</t>
  </si>
  <si>
    <t>Teniendo presente que sobre el total de resultados que se ven en la encuesta, más de un 80% de los resultados son por el item excelente y un 19% son del item bueno, por correlación quiere decir que un 99% de los resultados dados por los colaboradores arrojan un grado de satisfacción positivo, ubicando el indicador en un 100% según la metodología de medición.  Durante el período comprendido entre el 1o al 31 de enero de 2021 se capacitaron a 132 servidores y colaboradoes de Anla de los cuales 101 diligenciaron la encuesta de satisfacción, arrojando los siguientes resultados.</t>
  </si>
  <si>
    <t xml:space="preserve">Durante el periodo comprendido entre  el 01 y el 28 de febrero de 2021, la oficina de Control Disciplinario Interno, capacitó a 33 colaboradores en dos sesiones, en los cuales 33 llenaron la encuesta de satisfacción con puntaje favorable de 98.77%, de la siguiente manera: Excelente 69.14%, Bueno 29.63% y Malo 1.23%.
</t>
  </si>
  <si>
    <t>Durante el periodo comprendido entre el 01 y 31 de marzo de 2021, la Oficina de Control Disciplinario Interno, capacitó a 55 colaboradores del ANLA de los cuales 22 llenaron la encuesta de satisfacción además, se capacitaron a 54 miembros de ASOBANCARIA de los cuales 36 se inscribieron en la lista de asistencias. Los resultados fuerón: Excelente 71%, Bueno 28% y Malo 1%; es decir, favorable un 99%.</t>
  </si>
  <si>
    <t>Porcentaje de trámites de actuaciones disciplinarias</t>
  </si>
  <si>
    <t>Número total de procesos impulsados / Número total de procesos</t>
  </si>
  <si>
    <t xml:space="preserve">Durante el mes de enero de 2021 se elaboraron trece (13) actos administrativos. </t>
  </si>
  <si>
    <t xml:space="preserve">Durante el período comprendido entre el 1o al 28 de febrero del 2021 se expidieron 30 actos administrativos.  </t>
  </si>
  <si>
    <t>Durante el periodo comprendido entre el 1 y 31 de marzo de 2021, la Oficina de Control Disciplinario Interno emitió 39 actos administrativos.</t>
  </si>
  <si>
    <t>Política de Integridad</t>
  </si>
  <si>
    <t>Documento sobre política de prevención de faltas disciplinarias para la entidad</t>
  </si>
  <si>
    <t>Porcentaje del avance / sobre actividades planeadas (trimestrales)</t>
  </si>
  <si>
    <t>N.A es trimestral</t>
  </si>
  <si>
    <t xml:space="preserve">En cumplimiento del plan de trabajo para el 2021, durante el primer trimestre del año en vigencia, se realizaron 4 mesas de relacionamiento con las dependencias definidas, para las cuales se analizaron las conductas recurrentes de acuerdo con el diagnóstico de investigaciones en aras de prevenir, erradicar o minimizar las malas. prácticas de los servidores públicos, teniendo como insumo la información disponible en el panel de control. Frente a las conductas identificadas y la socialización con la respectiva dependencia, se establecieron los compromisos correspondientes. Es de resaltar que, en el desarrollo de las mesas de relacionamiento, se identificó la necesidad de socializar con todas las dependencias la conducta de “No aplicación al manual de contratación”, de igual manera la conducta referida a “No aplicación del manual de políticas y procedimientos contables” y específicamente al no fenecimiento de la cuenta en la vigencia respectiva no solo involucra al Grupo de Gestión Financiera y Presupuestal, sino al Grupo de Gestión Administrativa y la OTI. Así como la OAJ en la cuenta de provisión de litigios y demandas.
</t>
  </si>
  <si>
    <t>Porcentaje de implementación y seguimiento de la línea de ética</t>
  </si>
  <si>
    <t>Actividades realizadas de divulgación/Actividades programadas en el cronograma</t>
  </si>
  <si>
    <t>Durante el periodo comprendido entre el 1 y 31 de marzo de 2021, la Oficina de Control Disciplinario Interno, con apoyo de la dependencia de comunicaciones divulgó la línea de ética y el link de denuncias de la página por las diferentes redes sociales y YouTube.</t>
  </si>
  <si>
    <t>Número de mesas de relacionamiento para la prevención de conductas recurrentes</t>
  </si>
  <si>
    <t>Número de mesas de relacionamiento para la prevención de conductas recurrentes en la entidad</t>
  </si>
  <si>
    <t xml:space="preserve">Durante el mes de enero de 2021 se realizó el plan de trabajo de las mesas de relacionamiento las cuales inciaran en febrero el cual se socializó en el Comité de Control Interno el 28 de enero. </t>
  </si>
  <si>
    <t>Durante el periodo comprendido entre  el 01 y el 28 de febrero de 2021, la oficina de Control Disciplinario Interno, se realizaron dos mesas de relacionamiento los días 3 de febrero (SAF) y 17 de febrero (Comité de Convivencia).</t>
  </si>
  <si>
    <t>Durante el periodo comprendido entre el 01 y 31 de marzo de 2021, en la Oficina de Control Disciplinario Interno se realizaron dos mesas de relacionamiento los días 3 de marzo con SIPTA y 17 de marzo con OTI.</t>
  </si>
  <si>
    <t>Oficina de Control Interno</t>
  </si>
  <si>
    <t>Porcentaje de efectividad de las acciones de mejoramiento definidas por la entidad</t>
  </si>
  <si>
    <t>Número de acciones efectivas (PM interno + PM CGR) / Total de acciones evaluadas (PM interno + PM CGR)</t>
  </si>
  <si>
    <t>Con corte a enero se realizó la evaluación de 11 acciones tanto de la CGR como del PM interno, de las cuales fueron cerradas 9 acciones; esto arroja un avance acumulado de 82%</t>
  </si>
  <si>
    <t>En el mes de febrero se evaluó en total 11 acciones de las cuales se cerraron 8 que equivale al 72.7%. El reporte se realiza con el acumulado de acciones evaluadas que son 22 de las cuales se han cerrado 17, es decir, se ha cerrado el 77.2%</t>
  </si>
  <si>
    <t>En el mes de marzo se evaluaron 48 acciones del PM CGR y 0 acciones del PM Interno, de las cuales el 100% fueron positivas. El acumuado resulta de 70 acciones en total evaluadas en la vigencia, de las cuales 65 han sido positivas.</t>
  </si>
  <si>
    <t>Porcentaje de cumplimiento de las acciones formuladas en el Plan de Mejoramiento suscrito con la Contraloría General de la República</t>
  </si>
  <si>
    <t>No. Total de acciones cerradas /No. Total de acciones evaluadas del plan de mejoramiento CGR.</t>
  </si>
  <si>
    <t>Con corte a enero se realizó la evaluación de 6 acciones, de las cuales fueron cerradas 5 acciones; esto arroja un avance acumulado de 83%</t>
  </si>
  <si>
    <t>En el mes de febrero se realizó la evalaución de 2 acciones de las cuales se cerró 1, es decir el 50% de efectividad. El reporte corresponde al acumulado de acciones evaluadas que es de 8 acciones evaluadas de las cuales se han cerrado 6, es decir, un 75%</t>
  </si>
  <si>
    <t>En el mes de marzo de 2021 se realizó la evaluación de 48 acciones las cuales fueron positivas el 100%. El acumulado es la evalaución en la vigencia de 56 acciones de las cuales 54 han sido positivas. </t>
  </si>
  <si>
    <t>Porcentaje de efectividad de las acciones del plan de mejoramiento interno</t>
  </si>
  <si>
    <t>No. Total de acciones con concepto positivo /No. Total de acciones evaluadas del plan de mejoramineto interno</t>
  </si>
  <si>
    <t>Con corte a enero se realizó la evaluación de 5 acciones, de las cuales fueron cerradas 4 acciones; esto arroja un avance acumulado de 80%</t>
  </si>
  <si>
    <t>En el mes de febrero se realizó la evaluación de 9 acciones de las cuales se cerraron 7 que equivale al 77.7%. El reporte corresponde al acumulado de las acciones evaluadas que son 14 de las cuales se cerraron 11, es decir, el 78.5% de efectividad. </t>
  </si>
  <si>
    <t>En el mes de marzo no se evaluo ninguna acción del PM Interno. El acumulado es el mismo reportado a Febrero de 2021, es decir 78.5%</t>
  </si>
  <si>
    <t>Resultado de la evaluación del Sistema de Control Interno</t>
  </si>
  <si>
    <t>(Resultado del Informe de la evaluación del Sistema de Control Interno arrojado en la herramienta del DAFP del primer semestre + resultado del informe del segundo semestre)/2</t>
  </si>
  <si>
    <t>ABRIL</t>
  </si>
  <si>
    <t>MAYO</t>
  </si>
  <si>
    <t>JUNIO</t>
  </si>
  <si>
    <t xml:space="preserve">ABRIL </t>
  </si>
  <si>
    <t>Durante el periodo comprendido entre el 01 y 30 de abril de 2021, la Oficina de Control Disciplinario Interno, capacitó a 81 colaboradores del ANLA en total en dos sesiones; “Jornada Conociendo la ANLA” a 53 colaboradores de los cuales 46 llenaron la encuesta de satisfacción y “Charla sobre políticas de seguridad y medidas disciplinarias” a 28 colaboradores</t>
  </si>
  <si>
    <t>Durante el periodo comprendido entre el 1 y 31 de mayo de 2021, la Oficina de Control Disciplinario Interno emitió 17 actos administrativos</t>
  </si>
  <si>
    <t>Durante el periodo comprendido entre el 01 y 31 de mayo de 2021, la Oficina de Control Disciplinario Interno, capacitó a 97 colaboradores del ANLA en total en tres sesiones: Jornada Conociendo la ANLA a 30 colaboradores de los cuales 30 llenaron la encuesta de satisfacción
Conversatorio de la Ley 1952 a 30 colaboradores de los cuales 24 llenaron la encuesta de satisfacción.
Charla sobre políticas de seguridad y medidas disciplinarias a 37 colaboradores en la cual no se compartió una encuesta de satisfacción.</t>
  </si>
  <si>
    <t>Durante el periodo comprendido entre el 1 y 30 de junio de 2021, la Oficina de Control Disciplinario Interno emitió 17 actos administrativos</t>
  </si>
  <si>
    <t>Se reporta el avance a junio con un desarrollo más detallado de la política de acuerdo con los componentes requeridos de acuerdo con el Sistema de Gestión de Calidad y la revisión del contenido según lo planteado en el diagnóstico y el desarrollo de las mesas de relacionamiento acorde con el plan de trabajo 2021.</t>
  </si>
  <si>
    <t>Durante el periodo comprendido entre el 01 y 30 de junio de 2021, la Oficina de Control Disciplinario Interno, capacitó a 226 colaboradores del ANLA en total en tres sesiones.</t>
  </si>
  <si>
    <t>Actividades realizadas con corte 30 de abril de 2021:
Durante el periodo comprendido entre el 01 y 30 de abril de 2021, en la Oficina de Control Disciplinario Interno se realizaron dos mesas de relacionamiento los días 7 y 21 de abril con SELA y SMPCA respectivamente.</t>
  </si>
  <si>
    <t>Durante el periodo comprendido entre el 01 y 31 de mayo de 2021, en la Oficina de Control Disciplinario Interno se realizaron dos mesas de relacionamiento los días 5 y 19 de mayo con SSLA y OAJ respectivamente.</t>
  </si>
  <si>
    <t>Durante el periodo comprendido entre el 01 y 30 de junio de 2021, en la Oficina de Control Disciplinario Interno se realizaron dos mesas de relacionamiento los días 2 y 16 de junio con Dirección General y OCI respectivamente.</t>
  </si>
  <si>
    <t>Una vez realizada la divulgación de los canales de atención de Quejas Disciplinarias y Denuncias por Actos de Corrupción (link de denuncias en la página de la ANLA y la línea de ética), a la Oficina de Control Disciplinario Interno se han allegado 5 quejas o denuncias.</t>
  </si>
  <si>
    <t>A corte 30 de abril se tiene un 10% de avance ponderado en las herramientas</t>
  </si>
  <si>
    <t>A corte 31 de mayo se tiene una vance ponderado de 20% en el avance de los módulos de las herramientas</t>
  </si>
  <si>
    <t>A corte 30 de junio el avance de las herramientas es de un 40%</t>
  </si>
  <si>
    <t>A corte 30 de junio se tiene un ponderado de 49.38% en indicadores de producto del PAI</t>
  </si>
  <si>
    <t>A corte 31 de mayo la entidad presentó 39.1% de avance en indicadores de producto</t>
  </si>
  <si>
    <t>A corte 30 de abril la entidad presentó 30.3% de avance en indicadores de producto</t>
  </si>
  <si>
    <t>A corte 30 de abril no se ha realizado ningún seguimiento completo a ninguno de los 7 documentos de planeación planeados para la vigencia</t>
  </si>
  <si>
    <t>A corte 31 de mayo no se ha realizado ningún seguimiento completo a ninguno de los 7 documentos de planeación planeados para la vigencia</t>
  </si>
  <si>
    <t>A corte 30 de junio no se ha realizado ningún seguimiento completo a ninguno de los 7 documentos de planeación planeados para la vigencia</t>
  </si>
  <si>
    <t>Durante el mes de junio se adelantaron las siguientes actividades, quedando pendiente  ajustar las redacción de las actividades del plan de trabajo y cargar las evidencias de las actividades correspondientes al numeral 6.3 Planificación de cambios.
1. Se realizó la clasificación de los subfactores por temáticas de la matriz DOFA del contexto interno y externo de la entidad y se adelantaron reuniones internas con el equipo de OAP con el fin de establecer las estratégias pilotos relacionadas con dicho contexto. Está pendiente programar las mesas de trabajo por macroprocesos con el fin de definir y aprobar tanto las estratégias como el plan de trabajo.
2. Se realizó la presentación de los grupos de interés identificados, se elaboró un formulario para la validación de los GI y se están realizando los ajustes para la aprobación de la versión final.
3. El 2 de junio se llevó a cabo a mesa de trabajo con el equipo de calidad en la que se realizó el ajuste y cambio en el manual del SIG en GESPRO.
4. El 4 de junio la profesional de OAP designada para la administración riesgos, lideró reunión con la retroalimentación de los resultados del monitoreo del primer cuatrimestre 2021. Está pendiente que cada enlace haga los respectivos ajustes en las fórmulas de los indicadores antes del próximo monitoreo.
5. Se llevó a cabo una reunión interna con el equipo de calidad para definir posibles temas para sensibilizar, entre esos se define usar la estructura del ciclo PHVA ajustada a la ANLA y presentar en Julio lo relacionado con H(implementar procesos y autocontrol) y agosto con V (PMI, audiorias, indicadores, informes de rendición de cuentas y de gestión GRI.
Se prevee iniciar auditoria interna entre el 26 al 30 de julio por tal razón se propone la 1 sesión para 22 de julio.
6. El 22 de junio comunicaciones envió correo masivo con el tip No. 2 y el 25 de junio el equipo de calidad envió la solicitud de publicación del tipo No. 3
7. Se realizó balance de resultados del plan de trabajo de la socialización de los documentos de calidad en GESPRO en el que se evidencia un avance del 100% es decir que se socializaron el total de  677 documentos inicialmente programados.
8. Se elaboró la versión inicial de los documentos precontractuales (estudios previos, de sector y  de mercado) para adelantar el proceso de contratación de servicio de auditoria interna de calidad bajo los lineamientos de la NTC ISO 9001:2015, así mismo se participó de la reunión que se llevó a cabo con la abaogada del grupo de gestión contractual para aclarar las dudas respecto a la revisión de estos documentos.
9. Serevisa presentación por parte de de la profesional responsable de hacer seguimiento desde la OAP a los planes de mejoramiento tanto internos como los suscritos con la CGR. Se está pendiente la confirmación de fecha para presentar a la dirección general. En resumen se está haciendo seguimiento a 128 acciones en PM.</t>
  </si>
  <si>
    <t>Durante el mes de mayo se dio apoyo y acompañamento a todos los procesos de la entidad en el desarrollo del ejercicio para la priorización a través de votaciones, evaluación y consolidación del contexto interno y externo de la entidad. Asi mismo se adelantó el ejercicio identificación DOFA entre dependencias, como resultado de lo anterior  la matriz consolidada y depurada, quedando pendiente establecer las estratégias y el plan de trabajo con las acciones para abordar dicho contexto.
10/05/2021 Se llevó a cabo reunión con la SMPCA, en la que se revisó la propuesta de los grupos y subgrupos de interés, como resultado de las mesas de grupos focales liderada por Andrea Villa. Como resultado de esta revisión, se concluye que debe definirse el alcance de la metodología, así como revisar las definiciones de los grupos de tal forma que se delimite y no quede tan generalzada, ya que como está planteado no es claro y dificulta la orientación del ejercicio.
11/05/2021 Se propone redacción de los siguientes grupos de interés:  usuarios externos y ciudadanía, se revisa y ajusta los subgrupos que los componen.
Se realizó el 25 de mayo de 2021 un taller asociado a la socialización de la politica del SIG en cual tuvo la participación de todos los enlaces de calidad de los procesos de la entidad.
Se revisó con el equipo de calidad los ajustes al manual del SIG tanto lo relacionado con roles y responsabilidades de las lineas de defensa como un párrafo asociado a la selección, evaluación, seguimiento al desempeño y reevaluación de proveedores. Esta actividad quedará finalizada con la aprobación publicación en GESPRO para el mes de Junio.
Se revisó y actualizó el manual del SIG en lo relacionado con la selección, evaluación y reevaluación de proveedores externos. Se tiene pendiente aprobar y publicar la nueva versión en GESPRO.
Se hicieron seguimientos con los facilitadores de calidad de los procesos en cuanto al cumplimiento del plan de trabajo de las socializaciones de los documentos de calidad en GESPRO. Se tiene un avance de 100% aunque aún se tiene pendiente organziar evidencias en ONE DRIVE. Se resalta el trabajo de todos los procesos en el ejercicio.</t>
  </si>
  <si>
    <t xml:space="preserve">Durante el mes de abril se avanzó en las siguientes actividades según plan de trabajo:
1. Se realiza la divulgación de la metodología para la identificación de contexto interno y externo en la entidad. Así mismo se llevaron a cabo de manera dinámica las sesiones y ejercicios de formulación de contexto en la herramienta MIRO con  todas las dependencias.
2. Se finalizó desarrollo y puesta en marcha del módulo de monitoreo y evalaución del mapa de riesgos en el aplicativo GESRIESGOS.
3. Se cumplió con el cronograma de monitoreo de las acciones a los riesgos de cada proceso en el aplicativo GESRIESGOS, se dió el respectivo acompañamiento y se envió informe a la OCI.
3. Se lleva a cabo la 2 mesa de trabajo con la profesional de gestión de cambio. 
Se ha avanzado en la formulación y diseño de posibles indicadores que mida la efectividad para cada proyecto o plan de gestión.
Por otro lado se está trabajando en los planes piloto de los instrumentos internos de la SIPTA (fase diagnóstico).
Para el mes de mayo se solicita los planes de trabajo actualizados con corte a 30 de abril: actividad, producto o entregable, avance cuantitativo y cualitativo.
4. Se llevó a cabo reunión con el equipo de comunicaciones para revisar la matriz de comunicación interna y externa. Como resultado de esta reunión comunicaciones enviará correo a las dependencias el 30/04/2021 con los lineamientos para la revisión y su actualización.
5. Se consolidó la presentación de la RXD de todos los process requeridos y se acordó con cada lider que contenido se presentará en el CIGD el 7/05/2021. </t>
  </si>
  <si>
    <t>Cumplido el segundo trimestre de 2021 se tiene un avance del 67.7%, esto conforme al cumplimiento de 84 de las 124 acciones programadas</t>
  </si>
  <si>
    <t>Durante el mes de abril no se presentó avance para este indicador</t>
  </si>
  <si>
    <t>A corte 30 de abril se presenta un avance del 5% del plan de acción de este indicador</t>
  </si>
  <si>
    <t>A corte 30 de abril se presenta un avance del 25% del plan de acción de este indicador</t>
  </si>
  <si>
    <t>Durante el mes de mayo no se tuvo avance para este indicador</t>
  </si>
  <si>
    <t>Durante el mes de mayo se realizó la reunión de levantamiento de requisitos para la herramienta</t>
  </si>
  <si>
    <t>Durante el mes de mayo se realizó el manual de usuario de SIRES y la ficha de GESPRO</t>
  </si>
  <si>
    <t>Durante el mes de junio se trabajó en el levantamiento de requerimientos, el diccionario de datos y la interfaz gráfica</t>
  </si>
  <si>
    <t>Durante el mes de junio re realizaron los manuales de usuario de las herramientas GESRIESGOS, GESPRO, OELA y OELA móvil</t>
  </si>
  <si>
    <t>Durante el mes de junio se realizó el quinto seguimiento al PAI. A corte 30 de junio se tiene un acumulado de nueve seguimientos: 5 reportes de PAI, 2 reportes de estrategia de evaluación, mapa de riesgos y seguimiento al PAAC</t>
  </si>
  <si>
    <t>Durante el mes de mayo se realizó el cuarto seguimiento al PAI. A corte 31 de mayo se tiene un acumulado de siete seguimientos: 4 reportes de PAI, estrategia de evaluación, mapa de riesgos y seguimiento al PAAC</t>
  </si>
  <si>
    <t>Durante el mes de abril se realizó el tercer seguimiento al PAI, el seguimiento al mapa de riesgos y el seguimiento al PAAC. A corte 30 de abril se tiene un acumulado de seis seguimientos: 3 reportes de PAI, estrategia de evaluación, mapa de riesgos y seguimiento al PAAC</t>
  </si>
  <si>
    <t>Se realizó el primer seguimiento al PIGD del MIPG con corte a 31 de marzo, obteniendo un 27% de avance en el PIGD</t>
  </si>
  <si>
    <t xml:space="preserve">El segundo seguimiento al PIGD se realizó con corte 30 de junio </t>
  </si>
  <si>
    <t>Para el año 2020, se mantuvo la tendencia de los años anteriores, donde no se han reportado hallazgos (H) ni por entes de control ni por las dependencias internas, por lo que el indicador obtuvo un valor de 0, de igual modo, no se ha presentado ningún acto de corrupción materializado (ACM) durante la vigencia 2020, por lo tanto, el indicador también tuvo un valor de 0. En cuanto al indicador del RITA, dado que todavía está en proceso de formulación por parte de la secretaria de transparencia, tampoco registra valor.
Por la parte de los indicadores del componente de prevención, el componente de integridad del MIPG tuvo una reducción al pasar de 86,80% al 86%, mientras que el componente de integridad tuvo una reducción al pasar de 79,8 al 79,5%, lo propio ocurrió con el componente del Mapa de riesgos de corrupción donde pasó de tener un resultado del 76,7% al 75,7%. 
De esta forma el indicador pasa de 2019 de 0,867  a 0,862 en 2020 , lo que de acuerdo con la meta del 85%, representa un avance de 101%.</t>
  </si>
  <si>
    <t>Durante el mes de mayo se obtuvo un 87.5% en el índice de desempeño institucional del DAFP</t>
  </si>
  <si>
    <t>Este indicador tiene frecuencia de medición trimestral, sin embargo el reporte se obtendrá en julio</t>
  </si>
  <si>
    <t>Al 30 de abril de 2021 se emitieron  148  AA  que acogieron la evaluación  de solicitudes de permisos, de éstas, 90 correspoden al trámite No Cites y corresponden al 60,81% de los AA, 32 AA de Diversidad Biológica  con el 21,62%, 24 de Permisos Fuera de Licencia con el 16,22% y  2 AA de Posconsumo.</t>
  </si>
  <si>
    <t>Al 31 de mayo de 2021 se emitieron  203  AA  que acogieron la evaluación  de solicitudes de permisos, de éstos, 138 correspoden al trámite No Cites y corresponden al 67,98% de los AA, 35 AA de Diversidad Biológica  con el 17,24%, 28 de Permisos Fuera de Licencia con el  13,79% y  2 AA de Posconsumo.</t>
  </si>
  <si>
    <t>Al 30 de junio de 2021 se emitieron  261  AA  que acogieron la evaluación  de solicitudes de permisos, de éstas, 183 correspoden al trámite No Cites y corresponden al 70,11% de los AA, 44 AA de Diversidad Biológica  con el 16,86%, 30 de Permisos Fuera de Licencia con el  11,49% y  4 AA de Posconsumo.
NOTA: En cuanto a los certificados NCT, al 30 de junio se emitieron 183, sin embargo, en SILA se encuentran registrados solo 179, respecto a los 4 faltantes se presentan las siguientes aclaraciones  (una vez se finalicen las gestiones, estos certificados quedaran en SILA con fechas de junio) :
EXPEDIENTE	OBSERVACIÓN
AIE0148-00-2021	Se registró mal fecha de finalización, se debe solicitar ajuste con mesa de ayuda
AIE0162-00-2021	Se registró mal fecha de finalización, se debe solicitar ajuste con mesa de ayuda
AIE0164-00-2021	En etapa de finalización en SILA
AIE0168-00-2021	En firma</t>
  </si>
  <si>
    <t>Al 30 de junio se emitiron 342 actos administrativos para acoger los seguimientos realizados a permisos otorgados, 171 del grupo Posconsumo  correspondientes al 50%, 132 de IDB con el  39%  y  39 de PFL con el 11%.</t>
  </si>
  <si>
    <t>Al 31 de mayo se emitiron 246 actos administrativos para acoger los seguimientos realizados a  permisos otorgados, 110 del grupo Posconsumo  correspondientes al  44,7%,  105 de IDB con el  42,7%  y  31 de PFL con el 12,6%
Es importante mencionar que a partir de Mayo, se ajustó la meta de seguimiento, contemplado un nuevo grupo de profesionales para el trámite de Envases y Empaques, así las cosas la meta de AA de seguimiento de permisos pasa de 1021 a 1104.</t>
  </si>
  <si>
    <t>Al 30 de abril se emitiron 163 actos administrativos para acoger los seguimientos realizados a  permisos otorgados, 76 del grupo IDB correspondientes al  46,6%,  62 de Posconsumo con el 38%  y 25 de PFL con el 15,3%</t>
  </si>
  <si>
    <t>Para el periodo de abril no se registra la completitud en un 100% de los instrumentos relacionados con la optimizacion de los procesos de evaluacion y seguimiento de Licencias Ambientales , sin embargo se registra un avance en cuanto al porcentaje de gestion del  27.5% el cual corresponde al promedio de avance de cada uno de los hitos establecidos segun la naturaleza de cada instrumento.</t>
  </si>
  <si>
    <t>Para el periodo de junio se registra el instrumento de  Obligaciones mínimas Fase III (Agroquímicos)  en un 100%  y 17 de los instrumentos restantes con un avance del  43.2% el cual corresponde al promedio de avance de cada uno de los hitos establecidos según la naturaleza de cada instrumento danto como totalidad un 46.4%  al porcentaje de gestión.</t>
  </si>
  <si>
    <t>Hasta el  30 de junio de 2021 se emitieron 11.458 AA de evaluación de certificaciones, de los cuales 10.734 corresponden a VUCE, trámite que aporta el 93.68% dentro de este avance, 510 fueron de Prueba Dinámica con una participación de 4.45% y por último Beneficios Tributarios con 214 actos administrativos.</t>
  </si>
  <si>
    <t>Hasta el 31 de mayo de 2021 se emitieron 9.646 AA de evaluación de cetificaciones, de los cuales 9.041 corresponden a VUCE, trámite que aporta el 93.73% dentro de este avance, 435 fueron de Prueba Dinámica con una participación de 4.51% y por último Beneficios Tributarios con 170 actos administrativos.</t>
  </si>
  <si>
    <t>Hasta el 30 de abril de 2021 se emitieron 7.865 AA de evaluación de cetificaciones, de los cuales 7.386 corresponden a VUCE, trámite que aporta el 93.91% dentro de este avance, 356 fueron de Prueba Dinámica con una participación de 4.53% y por último Beneficios Tributarios con 123 actos administrativos.</t>
  </si>
  <si>
    <t>A corte 30 de abril de 2021, se registra culminación (100%) en el Reporte de Alertas Río Metica - Expediente REG0004-00-2016.
A corte 31 de marzo de 2021, se registra un avance Reporte SZH Río Sogamoso del 18% - Expediente REG0007-00-2016.
A corte 31 de marzo de 2021, se registra un avance del 2% en el Reporte Bahía de Cartagena y Canal del Dique - Expediente REG0012-00-2016.
1.2. Avance Actualizaciones:
No se reporta avance en actualizaciones para este período.
1.3. Avance Diagnosticos Estrategias:
Se avanzó en el diagnóstico y formulación de la estrategia de monitoreo del acuífero Yopal - Casanare en un 95% -REG0003-00-2016.
Se avanzó en el diagnóstico y formulación de la estrategia de monitoreo de hidroeléctricas en un 98% - REG0011-00-2021. 
Se avanzó en el diagnóstico y formulación de la estrategia de monitoreo recurso hídrico superficial Putumayo en un 58%. - REG0016-00-2016.
Se avanzó en el diagnóstico y formulación de la estrategia de biodiversidad  (Flora - avance del 35% y Fauna - avance del 43%) región Orinoquia-Amazonía. REG0011-00-2021.
Se avanzó en el diagnóstico y formulación de la estrategia de monitoreo de la Bahía Cartagena (Componente Atmosférico) en 23%. REG0012-00-2016. 
Se avanzó en el diagnóstico y formulación de la estrategia de monitoreo de la Bahía Cartagena (Recurso Hídrico Superficial) en 15%).  REG0012-00-2016."
https://anla-my.sharepoint.com/:f:/g/personal/aromero_anla_gov_co/Er71n3XnrdhJtv-9lE7UxHkBcAUKwgat0Iy9lE2wB-bR-A?e=PgWAUD</t>
  </si>
  <si>
    <t>1.1. Avance Reportes: 
1.1.1. Reporte de Alertas Río Metica - Expediente REG0004-00-2016: 100% ejecutado. Se resalta que en este periodo se respondieron las observaciones de la OAJ y se remitió a comunicaciones para diagramación y publicación.
1.1.2. Reporte cuenca hidrográfica Río Sogamoso y afluentes directos al Lebrija medio - Expediente REG0007-00-2016: A 31 de mayo se registra un avance del 90%, que corresponde a la etapa de finalización de la actividad de elaboración del documento e inicio de la actividad de revisión y ajuste.
1.1.3. Reporte Bahía de Cartagena y Canal del Dique - Expediente REG0012-00-2016: A 31 de mayo se registra un avance del 20%, que corresponde a la revisión del estado de licenciamiento y la finalización de la Gestión documental de Expedientes que se realizó con el Apoyo de varios profesionales del equipo de Regionalización.
1.2. Avance Actualizaciones: No se reporta avance en actualizaciones para este período.
1.3. Avance Diagnosticos Estrategias:
1.3.1. Estrategia de Monitoreo del Acuífero Yopal-Casanare - Expediente REG0003-00-2016: 100% ejecutada.
1.3.2. Estrategia de Monitoreo de Hidroeléctricas - Expediente REG0011-00-2021: 100% ejecutada.
1.3.3. Estrategia de Monitoreo recurso hídrico superficial Putumayo  - REG0016-00-2016: A 31 de Mayo, se registra un avance del 95% en el diagnóstico y formulación de esta estrategia.
1.3.4. Estrategia de Biodiversidad Fase I - Expediente REG0011-00-2021: Pasos de fauna región Caribe-Pacífico: A 31 de Mayo, se registra avance del 35% en el diagnóstico y formulación de esta estrategia. En cuanto a la estrategia de Parcelas Permanentes (Flora), se registra un avance del 30% en el diagnóstico y formulación de esta estrategia, teniendo un promedio de avance en total del 32.5%.
Pasos de fauna región Orinoquia-Amazonía: A 31 de Mayo se registra avance del 90% en el diagnóstico y formulación de esta estrategia. En cuanto a la estrategia de Parcelas Permanentes (Flora), no se registra avance para el presente mes en el diagnóstico y formulación de esta estrategia, por lo tanto en  promedio  se reporta avance total del 69%.
1.3.5. Estrategia de Monitoreo de la Bahía Cartagena (Recurso Hídrico Superficial) -Expediente REG0012-00-2016: A 31 de Mayo, se registra avance del 97% en el diagnóstico y formulación de esta estrategia.
1.3.6. Estrategia de Monitoreo de la Bahía Cartagena (Componente Atmosférico) - Expediente REG0012-00-2016: A 31 de Mayo, se registra avance del 52</t>
  </si>
  <si>
    <t>Con corte al 30 de abril, se realizaron 157 CT técnicos de evaluación de solicitudes de permisos, de las cuales 107 fueron sobre el trámite NCT y representan el 68.15% de los CT de evaluación de permisos realizados, seguido  de IDB con el 21.66%, 34 CT,  PFL  14 CT correspondientes al 8.92% y Posconsumo 2 CT con el 1.27%.</t>
  </si>
  <si>
    <t>Con corte al 31 de mayo se realizaron 207 CT técnicos de evaluación de solicitudes de permisos, de las cuales 140 fueron sobre el trámite NCT y representan el 67.63% de los CT de evaluación de permisos realizados, seguido  de IDB con el 22,22%, 46 CT,  PFL  17 CT correspondientes al 8.21% y Posconsumo 4 CT con el 1.93%.</t>
  </si>
  <si>
    <t>Con corte al 30 de junio se realizaron 270 CT técnicos de evaluación de solicitudes de permisos, de las cuales 183 fueron sobre el trámite NCT y representan el 67.68% de los CT de evaluación de permisos realizados, seguido  de IDB con el 22,96%, 62 CT,  PFL  20 CT correspondientes al 7,41% y Posconsumo 5 CT con el 1.85%.</t>
  </si>
  <si>
    <t>Al 30 de junio de 2021 se otorgaron 233 permisos solicitados, de las cuales 183 son del trámite NCT, 37 de Diversidad Biológica, 9 de PFL y 4 de Posconsumo.</t>
  </si>
  <si>
    <t xml:space="preserve">	
Al 31 de mayo de 2021 se otorgaron 178 permisos solicitados, de las cuales 138 son del trámite NCT, 30 de Diversidad Biológica, 8 de PFL y 2 de Posconsumo.</t>
  </si>
  <si>
    <t>Al 30 de abril de 2021 se otorgaron 124 permisos solicitados, de los cuales 90 son del trámite NCT, 26 de Diversidad Biológica, 6 de PFL y 2 de Posconsumo.</t>
  </si>
  <si>
    <t>Al cierre de abril se realizaron 201 CT para hacer seguimiento a los permisos otorgados, el 44,8% de estos seguimientos corresponden a los trámites de Posconsumo, 90 CT; IDB realizó 83 CT, es decir el 41,3% de participación en el avance y 13.9% Permisos Fuera de Licencia con 28 CT.</t>
  </si>
  <si>
    <t>Al cierre de mayo se realizaron 288 CT para hacer seguimiento a los permisos otorgados, el 49% de estos seguimientos corresponden a los trámites de Posconsumo, 141 CT; IDB realizó 113 CT, es decir el 39,2% de participación en el avance y 11,8% Permisos Fuera de Licencia con 34 CT.
Es importante mencionar que a partir de Mayo, se ajustó la meta de seguimiento, contemplado un nuevo grupo de profesionales para el trámite de Envases y Empaques, así las cosas la meta de CT de seguimiento de permisos pasa de 1021 a 1104.</t>
  </si>
  <si>
    <t>Al cierre de junio se realizaron 383 CT para hacer seguimiento a los permisos otorgados, el 51,7% de estos seguimientos corresponden a los trámites de Posconsumo, 198 CT; IDB realizó 142 CT, es decir el 37,1% de participación en el avance y 11,2% Permisos Fuera de Licencia con 43 CT.</t>
  </si>
  <si>
    <t>Para el periodo de junio se registra  el instrumento de  Obligaciones mínimas Fase III (Agroquímicos)  en un 100% relacionados con la optimización de los procesos de evaluación y seguimiento de Licencias Ambientales y un avance del 45% restante  en cuanto al porcentaje de gestión el cual corresponde al promedio de avance de cada uno de los hitos establecidos según la naturaleza de cada instrumento.</t>
  </si>
  <si>
    <t>Parar el mes de junio  no se ha finalizado ninguna mejora adicional a la reportada para beneficios tributario por lo tanto el avance se mantiene en 158 de 441 .</t>
  </si>
  <si>
    <t>Parar el mes de mayo  no se ha finalizado ninguna mejora adicional a la reportada para beneficios tributario por lo tanto el avance se mantiene en 158 de 441 .</t>
  </si>
  <si>
    <t>Parar el mes de abril  no se ha finalizado ninguna mejora adicional a la reportada para beneficios tributario por lo tanto el avance se mantiene en 158 de 441 .</t>
  </si>
  <si>
    <t>Con corte al 30 de junio de 2021 se emitieron 968 CT de evaluación para certificaciones, de los cuales 676 CT corresponden al trámite de Prueba Dinámica y representan 69.83% del avance y Beneficios Tributarios aportó el  30,17% con 292 conceptos técnicos.</t>
  </si>
  <si>
    <t>Con corte al 31 de mayode 2021 se emitieron 798 CT de evaluación para cetificaciones, de los cuales 573 CT corresponden al trámite de Prueba Dinámica y representan 71.80% del avance y Beneficios Tributarios aportó el 28.20% con 225 conceptos técnicos.</t>
  </si>
  <si>
    <t>Con corte al 30 de abril de 2021 se emitieron 637 CT de evaluación para cetificaciones, de los cuales 470 CT corresponden al trámite de Prueba Dinámica y representan 73.78% del avance y Beneficios Tributarios aportó el 26.22% con 167 conceptos técnicos.</t>
  </si>
  <si>
    <t>Al finalizar abril de  2021 se otorgaton 7.598 certificaciones, 7.170 de VUCE, 321 de Prueba Dinámica y 107 de Beneficios Tributarios</t>
  </si>
  <si>
    <t>Al finalizar mayo de  2021 se otorgaton 9.334 certificaciones, 8.794 de VUCE, 389 de Prueba Dinámica y 151 de Beneficios Tributarios.</t>
  </si>
  <si>
    <t>Al finalizar junio de  2021 se otorgaton 11.105 certificaciones y vistos buenos, 10.458 de VUCE,  457 de Prueba Dinámica y 190 de Beneficios Tributarios.</t>
  </si>
  <si>
    <t>Este indicador es de medición semestral. Sin embargo no se reporrtará en este periodo</t>
  </si>
  <si>
    <t>Este indicador es de medición semestral, sin embargo no se reportará en este periodo</t>
  </si>
  <si>
    <t>El porcentaje de de reproceso por verificación de documentos de inicio fue de 5,51%, así que, de un universo de 11.433 solicitudes recibidas a junio, se realizó requerimiento a  630 solicitudes.</t>
  </si>
  <si>
    <t>El porcentaje de de reproceso por verificación de documentos de inicio fue de 5,52%, así que, de un universo de 9.644 solicitudes recibidas a mayo, se realizó requerimiento a  532 solicitudes.</t>
  </si>
  <si>
    <t>5,49%</t>
  </si>
  <si>
    <t>El porcentaje de de reproceso por verificación de documentos de inicio fue de 5,49%</t>
  </si>
  <si>
    <t>2.2. Avance Actos Administrativos de Evaluación
A la fecha, se registra un total de 20 Actos Administrativos de 57 solicitudes de acompañamiento para el proceso de evaluación de LA, los cuales se detallan a continuación:
13.LAM0069 Gasoducto Barrancabermeja
14.LAM0806 Mineros (Nechí)
15.ASB0007 La Loma
16.VAR0035 Mina Pribbenow
17.VAR0016 La Loma
18.LAM0761 Reficar
19.LAV0037-00-2020 Mangle SSJN-7
20. LAV0016-00-2020 PTAR Paraiso
2.3. Avance Conceptos Técnicos de Seguimiento:
A la fecha se registran 44 CT numerados de 63 solicitudes de acompañamiento para la toma de decisiones en el marco de Seguimiento de LA, los CT se detallan a continuación:
30.LAM6705 Construcción nueva vía Ibagué
31.LAM0227 Campos Castilla y Chichimene
32.LAM0227 Campos Castilla y Chichimene
33.LAM0227 Campos Castilla y Chichimene
34.LAM0530 La Fiscala
35.LAM0725 Planta de producción de plaguicidas
36.LAM1179 Termoguajira
37.LAM1499 Calizas en Payandé
38.LAM1749 Línea de Interconexión a 230 kV Pasto - Quito
39.LAM2249 Campos de la Superintendencia de Mares 
40.LAM6420 Relleno Sanitario El Carrasco
41.LAV0052-00-2019 Cerros Queresas y Porvenir.
42.LAV0056-00-2015 APE Cumplidor
43.LAV0089-00-2015 Construcción Unidad Funcional 3 
44.LAM0019 Campo Rubiales
"
https://anla-my.sharepoint.com/:f:/g/personal/aromero_anla_gov_co/EkrNQtk7kNpCocpNn8A24XwBnkohGUZHWdICFsut1QH7QA?e=g2DhPo</t>
  </si>
  <si>
    <t>"2.1. Sentencias
2.1.1. Sentencia PNN Parque Tayrona (T-606/2015). A corte 31 de marzo de 2021, se  genera un (1) documento asociado al informe del segundo semestre 2020  para la sentencia en mención.  A corte 30 de abril se reporta: Mesa técnica interinstitucional ANLA-INVEMAR (29/04/2021) Riesgo asociado a la presencia de material particulado de carbón mineral en las playas y el lecho marino, por operación portuaria"" en el Plan Maestro de Protección y Restauración del Parque Nacional Natural Tayrona. Reunión interna Sentencia T-606/2015 (16/04/2021).  El expediente asociado es REG0012-00-2016. 
2.1.2. Sentencia Amazonas (T-4360/2018): Para este mes no se realizaron actividades en cumplimiento de ésta sentencia.
2.1.3. Sentencia Bahía de Cartagena - Acción Popular 2017-00987101.  Elaboración respuesta a invitación CARDIQUE para socialización sistemas de monitoreo componentes atmosférico e hídrico Rad. ANLA 2021048776-2-001 del 15/04/2021. Articulación Proyecto Basic Cartagena - Grupo Reportes de Alertas y Centro de Monitoreo (15/04/2021). Mesa técnica interinstitucional Plan de Restauración Ecológica Bahía de Cartagena (28/04/2021). Reunión inicial sobre Programa de evaluación, prevención, reducción y control de fuentes terrestres y marinas - Plan de Restauración Bahía de Cartagena -  EPA Cartagena (28/04/2021). Asistencia delegada coordinadora Martha Ramírez a Comité Operativo (30/04/2021).
2.1.4. Sentencia Guajira - Población Wayuú municipios Riohacha, Manaure y Uribia (T-302 de 2017). Diligenciamiento encuesta estado de avance Sentencia T-302 de 2017 - Consejería Presidencial para las regiones: Como soporte se presenta la encuesta diligenciada para las cuatro (4) propuestas presentadas en la oferta institucional 2019 de ANLA. Desagregado del presupuesto ejecutado Sentencia T-302 de 2017 - Consejería Presidencial para las regiones:  Se presenta el desagregado del presupuesto que se relacionó en la encuesta del punto 3.2. relacionado con el porcentaje de avance en cada propuesta.  Tercera comisión intersectorial Sentencia T-302 de 2017 (30/04/2021). El expediente asociado es REG0012-00-2016.
2.1.5. Sentencia Guajira - Provincial (T-614/2019). A corte 30 de abril se genera (1) documento: Informe sobre apoyo técnico en cumplimiento de la orden sexta: Este documento presenta de manera cronológica los documentos y/o acompañamientos técnicos que se han realizado desde el grupo de Regionalización y Centro de Monitoreo en el accionar interno e interinstitucional junto a Corpoguajira y MinAmbiente. Asistencia reunión interinstitucional para Estructuración proyecto de inversión FCA Plan de Monitoreo Orden Sexta  (12/04/2021). Auditoría Financiera Cumplimiento de Sentencia T-614 de 2019 y T-281 de 2019 (13/04/2021). Comisión Técnica - Defensoría del Pueblo (27/04/2021). El expediente asociado es REG0010-00-2016.
2.1.6. Sentencia  Cerromatoso (T-733):  Reunión para solicitud de apoyo por parte de SIPTA a cumplimiento sentencia (26/04/2021). Plan de trabajo en atención a solicitud SSLA por parte de coordinadora Martha Ramírez (26/04/2021).
2.2. Avance Actos Administrativos de Evaluación
A la fecha, se registra un total de 20 Actos Administrativos de 57 solicitudes de acompañamiento para el proceso de evaluación de LA, los cuales se detallan a continuación:
13.LAM0069 Gasoducto Barrancabermeja
14.LAM0806 Mineros (Nechí)
15.ASB0007 La Loma
16.VAR0035 Mina Pribbenow
17.VAR0016 La Loma
18.LAM0761 Reficar
19.LAV0037-00-2020 Mangle SSJN-7
20. LAV0016-00-2020 PTAR Paraiso
2.3. Avance Conceptos Técnicos de Seguimiento:
A la fecha se registran 44 CT numerados de 63 solicitudes de acompañamiento para la toma de decisiones en el marco de Seguimiento de LA, los CT se detallan a continuación:
30.LAM6705 Construcción nueva vía Ibagué
31.LAM0227 Campos Castilla y Chichimene
32.LAM0227 Campos Castilla y Chichimene
33.LAM0227 Campos Castilla y Chichimene
34.LAM0530 La Fiscala
35.LAM0725 Planta de producción de plaguicidas
36.LAM1179 Termoguajira
37.LAM1499 Calizas en Payandé
38.LAM1749 Línea de Interconexión a 230 kV Pasto - Quito
39.LAM2249 Campos de la Superintendencia de Mares 
40.LAM6420 Relleno Sanitario El Carrasco
41.LAV0052-00-2019 Cerros Queresas y Porvenir.
42.LAV0056-00-2015 APE Cumplidor
43.LAV0089-00-2015 Construcción Unidad Funcional 3 
44.LAM0019 Campo Rubiales
"
https://anla-my.sharepoint.com/:f:/g/personal/aromero_anla_gov_co/EixNsZ2jBBtDtJVNqViXTbwB9LzzWSpFgCMzZp_cx1c58w?e=a161tj</t>
  </si>
  <si>
    <t>REG0010-00-2016.
"2.1 Sentencias
2.1.1. Sentencia T-606/2015 Plan Maestro Tayrona: Reunión interna grupo de regionalización y centro de monitoreo con el objetivo de socializar algunos aspectos a revisar con CORPAMAG del SVCA y solicitar apoyo de un profesional biótico para apoyo en el indicador asociado a la problemática ""Riesgo asociado a la presencia de material particulado de carbón mineral en playas y el lecho marino, por operación portuaria"". Se remite insumo técnico a la OAJ para manejo del segundo indicador asociado a la problemática ""Riesgo asociado a la presencia de material particulado de carbón mineral en playas y el lecho marino, por operación portuaria""24-06-2021: Se socializa con OAJ insumo técnico enviado para manejo del segundo indicador asociado a la problemática ""Riesgo asociado a la presencia de material particulado de carbón mineral en playas y el lecho marino, por operación portuaria""25-06-2021: Se participa en reunión citada por la OAJ con la Coordinación del Plan Maestro de Protección y Restauración del Parque Nacional Natural Tayrona, la cual tenía como objetivo presentar propuesta y limitaciones en el manejo de segundo indicador asociado a la problemática ""Riesgo asociado a la presencia de material particulado de carbón mineral en playas y el lecho marino, por operación portuaria"". En dicha reunión se concluye que se debe citar comité técnico nuevamente, para lo cual OAJ enviará la solicitud a la Coordinación del Plan Maestro de Protección y Restauración del Parque Nacional Natural Tayrona. 30-06-2021: Se participa en comité técnico interinstitucional, en el cual se revisaron nuevas acciones a incluir y se consultaron por las acciones que presentan retrasos en el cumplimiento y los indicadores que quedaron pendientes. Cabe destacar, que en la reunión la ANLA no ha sido señada con incumplimiento en las acciones, ni presenta retrasos o vacíos en los datos de los indicadores. 
2.1.2. Sentencia Amazonas (T-4360/2018): Para este mes no se realizaron actividades en cumplimiento de ésta sentencia.
2.1.3. Sentencia Bahia de Cartagena Acción Popular 2017-00987-1: Reunión para reporte de novedades OAJ - Plan de Restauración Bahía de Cartagena. 04-06-2021. Cuarta sesión del Comité interinstitucional Bahía de Cartagena 11-06-2021. 
2.1.4. Sentencia Guajira - Población Wayuú municipios Riohacha, Manaure y Uribia (T-302 de 2017): Revisión de oferta institucional para dar respuesta a solicitud de información en el marco de la Audiencia Pública de la Comisión Interamericana de Derechos Humanos CIDH - medidas cautelares en favor de pueblo indígena Wayuú.
2.1.5. Sentencia Guajira - Provincial (T-614/2019): 1. Documentos técnicos y revisión de expedientes. Memorando de respuesta a observaciones prepliego proceso Subasta Inversa Electrónica No. 005 de 2021 radicado 2021112062-3-000 del 03/06/2021.  Memorando evaluación técnica proceso SIE No. 005 de 2021 radicado 2021119408-3-000.  Memorando de revisión de respuestas por parte de oferentes a las observaciones de la evaluación técnica del proceso SIE 005/2021 Radicado 2021124434-3-000 del 21/06/2021.  Elaboración primera versión de estudios previos convenio CORPOGUAJIRA - ANLA 2021 traslado, puesta en funcionamiento y operación de una estación de monitoreo automática de medición de material particulado (PM10, PM2.5) en el Resguardo Indígena de Provincial, como acción para el cumplimiento de la Orden Sexta de la Sentencia T-614 de 2019. Propuesta de condiciones técnicas del nuevo proceso de contratación mínima cuantía - campañas de monitoreo de calidad de agua. 2. Reuniones y acompañamientos técnicos interinstitucionales: Revisión jurídica requisito habilitante acreditación proceso SIE 005/2021 03-06-2021. Comité de contratación SIE 005/2021.  Análisis de riesgo Sentencia Provincial sesión No. 1 16-06-2021. Análisis de riesgo Sentencia Provincial sesión No. 2 24-06-2021. Revisión SSLA SIPTA CORPOGUAJIRA Primera versión convenio 28-06-2021.  Seguimiento junio Sentencia MinAmbiente - Corpoguajira - ANLA 17-06-2021. 
2.1.6. Sentencia Cerromatoso (T-733/2017): Asistencia a reunión interinstitucional MADS-CVS-ANLA citada por MADS, cuyo objetivo fue definir equipo de trabajo, plan de trabajo, cronograma y respuestas a la Contraloría 21-06-2021.
2.2. Avance Actos Administrativos de Evaluación 
A la fecha, se registra un total de 35 Actos Administrativos de 97 solicitudes de acompañamiento para el proceso de evaluación de LA, los cuales se detallan a continuación: 
26. LAM5342 Área de perforación Exploratoria Bello
27. LAM4567 Explotación Minera de Oro y Materiales 
28. LAV0036-00-2020 Parque Solar fotovoltaico Guayepo 400 MW
29. LAM0806 Proyecto de Explotación aurífera en la cuenca del río Nechí
30. VAR0035 Explotación de Carbón a Cielo Abierto Mina Pribbenow La Loma.
31. LAV0017-00-2016 Construcción Unidades Funcionales UF1 y UF2 
32. LAM1568 Construcción de la Variante de Pamplona - UF-1.
33. LAV0002-00-2021 Cerro Matoso
34. LAM0275 Termobarranquilla
2.3. Avance Conceptos Técnicos de Seguimiento: 
A la fecha se registran 64 CT numerados de 102 solicitudes de acompañamiento para la toma de decisiones en el marco de Seguimiento de LA, los CT se detallan a continuación: 
54. LAM 2583 Central Hidroeléctrica San Francisco – Chinchiná Caldas
55. LAM2233 Hidroeléctrico Pescadero – Ituango
56. LAV0046-00-2017 Construcción Unidad Funcional 1 Bucaramanga – Pamplona.
"
https://anla-my.sharepoint.com/:f:/g/personal/aromero_anla_gov_co/Ejfw4IVQEf9NpSqH6w8RWL8BUwHXdHpUQjqRx66YbjKAZQ?e=XxQQYd</t>
  </si>
  <si>
    <t>.Diagnósticos Desarrollados
3.1 Documento diagnóstico de Modelación del área regionalizada de Alto San Jorge: A 30 de abril se registró culminación 100% conforme con el plan de trabajo de modelación. El expediente asociado a este documento diagnóstico es REG0004-00-2017.
3.2 Documento diagnóstico de Modelación  del área regionalizada (Componente Atmósfera) de la Zona Minera del Cesar se encuentra actualmente en fase de Análisis y/o procesamiento de información: El porcentaje de avance de este ejercicio corresponde a un 89% conforme con el plan de trabajo de modelación. El expediente asociado a este documento diagnóstico es REG0011-00-2017.
3.3. Documento diagnóstico de Modelación (Ruido) Aeropuerto El Dorado se encuentra actualmente en fase de Preparación e implementación de modelo: El porcentaje de avance de este ejercicio corresponde a un 44%  (tierra) y un 37% (aire) conforme con el plan de trabajo de modelación, lo cual da un promedio de porcentaje total de 40,5%. El expediente asociado a este documento diagnóstico es REG0002-00-2017.
3.4 Documento diagnóstico de Modelación SZH Río Sogamoso (recurso hídrico superficial, recurso hídrico subterráneo y medio biótico, presenta un avance del 58%. Expediente REG0002-00-2016.</t>
  </si>
  <si>
    <t>%</t>
  </si>
  <si>
    <t>En el mes de abril se firmaron 70 contratos de prestación de servicios y/o apoyo a la gestión, de los cuales el 100% fueron suscritos dentro de los términos de oportunidad del procedimiento.</t>
  </si>
  <si>
    <t>Al cierre del mes de  abril/2021 se registra un recaudo efectivo en seguimiento y evaluación por valor de $26.725.832.479, lo cual  corresponde al 25% de la meta proyectada 2021 de $105.533.877.773.</t>
  </si>
  <si>
    <t>Al cierre del mes de abril/2021 el presupuesto ANLA registrA obligaciones acumulados del 28% ($29.673.269.400), lo cual Incluye presupuesto asignado a la unidad ejecutora ANLA y la subunidad FONAM-ANLA.</t>
  </si>
  <si>
    <t>Para el cierre del mes de abril de 2021, se registran compromisos acumulados del 67% ($105.277.315.567,81); lo cual incluye presupuesto asignado a la unidad ejecutora ANLA y la subunidad FONAM-ANLA.</t>
  </si>
  <si>
    <t>Este indicador logrará  avance una vez que se realice el ajuste de los indicadores referente a la implementación en el Sistema de Gestión Electrónicos de Archivo - SGDEA.</t>
  </si>
  <si>
    <t>Se realiza actividades referente al Plan de Trabajo el cual se encuentra adjunto. Se presenta actualización de Formato Unico de Inventario Documental, transferencias documentales, actas de reunión de propuestas para las Tablas de Retención Documental, chequeo de las instalaciones de bodega y documento borrador del Plan de Emergencias</t>
  </si>
  <si>
    <t>Para el mes de abril se tenía un total de 8 actividades programadas y se ejecutaron las 8 en su totalidad, para un porcentaje de cumplimiento en el periodo de 100%, y un acumulado de 28% con 22 actividades cumplidas de las 26 programadas hasta el mes en mención.</t>
  </si>
  <si>
    <t>Se calificaron en el mes de abril un total de 14 casos, de los cuales 10 fueron de calificación excelente (100/100), 4 casos de calificación bueno (70/100) y 0 casos de calificación regular (30/100) para un total de 91% de satisfacción para este periodo y un acumulado para el año de 89%.</t>
  </si>
  <si>
    <t>El “Porcentaje de impacto de los eventos de bienestar” correspondiente al mes de ABRIL en el cual se obtuvo una calificación del 92,2% de impacto de las actividades:
1.    Jornada de atención de la Oficina Móvil de Cafam.     93,000%
2.    Charla "Subsidio de vivienda con Cafam"    89,000%
3.    Descanso compensado de Semana Santa    96,000%
4.    Charla Portafolio de Servicios de Cafam    91,000%
5.    Celebración Día de la Niñez y la Recreación - Taller de     92,000%</t>
  </si>
  <si>
    <t>En el mes de ABRIL se realizaron 9 actividades de las 109 propuestas para la vigencia, representadas en un 8,25688073394495% de avance a la meta, a continuación, se relacionan estas actividades:
1.    Medidas preventivas
2.    Jornada Conociendo la ANLA 
3.    Proceso sancionatorio ambiental y la elaboración del concepto técnico
4.    SIGPRO y seguridad de la información
5.    SILA
6.    AGIL
7.    Actualización en legislación ambiental 
8.    Control social 
9.    Compensaciones y 1 %</t>
  </si>
  <si>
    <t>En ABRIL se registra un avance del 10%, realizando así la siguiente actividad (se divide el porcentaje ya que se hace 1 de las 2 actividades) que hace parte de una de las 5 fases y tienen el peso porcentual mencionado:
•    Logo y políticas de participación 20%: se envía documento con los componentes de la actividad.</t>
  </si>
  <si>
    <t>Durante el mes de ABRIL se logró un avance del 7,51295336787565% correspondiente a las actividades que a continuación se describen:
1.    Actualización del procedimiento y la matriz de requisitos legales
2.    Divulgación  Guía de  Participación y Consulta 
3.    Revisión y/o actualización del Reglamento de Higiene y Seguridad Industrial, divulgación al personal.
4.    Divulgación Manual de Convivencia Laboral
5.    Acompañamiento reuniones mensuales y revisión acta de COPASST
6.    Análisis estadístico de Ausentismo.
7.    Intervención en promoción y prevención -personal asintomático y riesgo bajo - Pausas Activas
8.    Seguimiento a resultados de encuesta de autorreporte de condiciones de salud en consecuencia del COVID 19
9.    Intervención población en riesgo medio y alto - Escuela terapéutica 
10.    Envío masivo de TIPs de prevención y promoción de DME- En casa-COVID 19
11.    Retroalimentación  Individual a trabajadores que puntuaron  niveles  alto y muy alto en la medición subjetiva de Factores de riesgo psicosocial.
12.    Revisión formatos y manual de convivencia
13.    Jornadas de manejo de fatiga y carga mental (pausas cognitivas)  
14.    Programación y realización de actividades físicas para colaboradores - Hábitos de Vida Saludable- Talleres de Nutrición-Acompañamiento Individual.
15.    Pausas visuales
16.    Entrega de Informe deTapabocas / Kit de Bioseguridad para comisiones. / Kit de Bioseguridad para personal fuera de Bogotá
17.    Divulgación del Plan de Emergencias y Análisis de Vulnerabilidad (Sede Nueva - Bodega)
18.    Pruebas de radios punto a punto (informe y correo) 
19.    Capacitación de Primeros Auxilios 
20.    Seguimientos y retroalimentación de MEDEVACs
21.    Acompañamientos por parte del Ingeniero Asesor de la ARL a los programas de seguridad industrial
22.    Implementación del Programa SBC. Capacitaciones y Observaciones
23.    Realización de Inspecciones de EPPs - Contratistas (En campo y/o revisión de informes post comisión)
24.    Realización de Inspecciones de Botiquines y Camillas
25.    Seguimientos a hallazgos encontrados en inspecciones
26.    Seguimiento a los reportes de actos y condiciones recibidos
27.    Seguimiento al programa de mantenimiento de instalaciones y maquinaria
28.    Actualización del Manual de criterios SSTA para contrataciones (en conjunto con Gestión Contractual y Gestión Administrativa)
29.    Seguimiento a Indicadores y planes de acción establecidos en los diferentes Programas del SG-SST</t>
  </si>
  <si>
    <t>En el mes de ABRIL se realiza un avance de 11,25% producto de las diferentes actividades gestionadas que se describen a continuación:
1.    Validar los miembros de Equipo de Gestores de Integridad 2021, encargados de apoyar la apropiación de la Política de Integridad en la entidad: se recibe la validación por parte de los coordinadores y jefes de área.
2.    Desarrollar actividades sensibilización y formación para la apropiación de la Política de Integridad: Se desarrollo la actividad de Conociendo la ANLA con el fin de dar a conocer la información de la política de Integridad (Código de Integridad y la Estrategia de Conflicto de Intereses)
3.    Asegurar que los Gerentes Públicos de la entidad, obligados por la Ley 2013 de 2019, publiquen la declaración de bienes, rentas y conflicto de intereses en los aplicativos establecidos por Función Pública: después de enviado el correo de solicitud en el mes de ABRIL se reciben 6
declaraciones de 10, esto se traduce en un 0.30 más para esta actividad.
Adicionales
•    Seguimiento y monitoreo al registro de conflictos de intereses que han surtido trámite: durante el mes se propone la matriz para los seguimientos.</t>
  </si>
  <si>
    <t>Para la presente vigencia 2021 se registra un avance acumulado del 98.2%, para el mes de Abril el Grupo de Gestión de Notificaciones realizó el proceso de publicidad para 1325 usuarios de los cuales se inició en termino a 1300, quedando 25 fuera de término, así:
Dos (2) reinicios de proceso de publicidad mediante constancia, uno solicitado por la Oficina Asesora Jurídica -OAJ- mediante memorando No. 2021066210-3-000 del 12/04/2021 y el otro lo ordenó el Auto 1846 del 05 de abril de 2021 en su artículo segundo.
Un (1) acto administrativo presentó inconsistencia al llegar al Módulo de Notificaciones, por lo que se solicitó mesa de ayuda No 0012055 a la OTI, la cual se solucionó hasta el día 8 de abril de 2021.
Veintidós (22) actos administrativos de procesos de cobro coactivo que ingresaron al Grupo de Gestión de Notificaciones fuera del término establecido en la Ley 1437 de 2011 para iniciar proceso de notificación, esto fue mediante Un memorando del año 2020 (2020193713-3-000 del 04/11/2020) y Uno del 2021 (2021046886-3-000 del 16/03/2021).
Sobre el memorando de vigencia 2020, en la dependencia de origen (OAJ) se indicó como dependencia de destino “CORRESPONDENCIA” lo que ocasionó que en su momento no llegara al Grupo de Gestión Administrativa – Área de Notificaciones y en efecto no se asignara para su trámite en término, situación que solo se evidenció por parte de la OAJ al hacer seguimiento de los procesos de cobro coactivo. Sobre el memorando de vigencia 2021, suscrito por la Coordinadora del Grupo de Cobro Coactivo - OAJ, se remitieron a esta dependencia  dos (2) actos administrativos expedidos en el año 2020, es decir, ya fuera del término de Ley indicado.</t>
  </si>
  <si>
    <t>Al cierre del mes de abril/2021, ANLA resgistra una ejeución del presupuesto ejecutado frente al asignado del 19% ($29.673.269.400,28). Donde el presupuesto ejecutado es medido frente a obligaciones (Funcionamiento e inversion).</t>
  </si>
  <si>
    <t>Para el mes de Abril  no se realiza avance de este indicador, ya que se realizará ajustes de los indicadores referente a la implementación en el Sistema de Gestión Electrónicos de Archivo - SGDEA.</t>
  </si>
  <si>
    <t>Para el mes de Abril se cumple con las actividades planificadas en el cronograma, el plan de trabajo se encuentra adjunto, se realizó Control de Calidad, actualización de inventarios, avance de actividades de planes de conservación, reuniones con dependencias para las TRD y capacitación con sus respectivas evidencias.</t>
  </si>
  <si>
    <t>En el mes de abril, el consumo total fue de 18.824 número de hojas, para un ahorro del 85%, comparado con el promedio anual histórico que es de 128.751 número de hojas.
(la meta se supera teniendo en cuenta la contingencia por el COVID-19 y la ausencia de usuarios internos en la entidad) 
En el mes de abril, el consumo total fue de 37.647 número de páginas (No. de hojas por peso: 92 kg), para un ahorro del 85%, comparado con el promedio anual histórico de hoja de 128.751 (No. de hojas por peso: 627 kg), sin embargo se determino un porcentaje del 35% después de un calculo que tiene en cuenta la contingencia por el COVID-19 que ocasiona la ausencia de la gran mayoría de colaboradores en las instalaciones de la entidad (implementado por la OAP).</t>
  </si>
  <si>
    <t>El “propuesta de la estrategia de calidad de vida” correspondiente al mes de ABRIL en el cual se obtuvo una calificación del 92,2% de impacto de las actividades:
1.    1.Jornada de atención de la Oficina Móvil de Cafam.     93,000%
2.    Charla "Subsidio de vivienda con Cafam"    89,000%
3.    Descanso compensado de Semana Santa    96,000%
4.    Charla Portafolio de Servicios de Cafam    91,000%
5.    Celebración Día de la Niñez y la Recreación - Taller de     92,000%</t>
  </si>
  <si>
    <t>Durante el mes de ABRIL no se presentaron accidentes en la entidad, el porcentaje de este indicador del mes de ABRIL fue 0,0% y en promedio de la vigencia es de 0,040290088638195%, por tal motivo se cumple con el indicador al 100% en este mes ya que la estadística se encuentra en un valor menor al 1% máximo de accidentes por mes propuesto.</t>
  </si>
  <si>
    <t>Al cierre del mes de  abril/2021 se registra recaudo por servicio de seguimiento de $19.717.774.205, lo cual corresponde al 23% de la meta esperada para la vigencia 2021 ($87.393.968.825).</t>
  </si>
  <si>
    <t>En el mes de mayo se suscribieron 98 contratos de Prestación de servicios profesionales y/o apoyo a la gestión, de los cuales el 100% se realizaron dentro de los términos de oportunidad del procedimiento.</t>
  </si>
  <si>
    <t>Al cierre de mayo/2021 se registra un recaudo de $36.257.046.154 correspondiente al 34% de la meta ($105.533.877.773) proyectada para la vigencia 2021.</t>
  </si>
  <si>
    <t>Al cierre de mayo/2021 el prespuesto registró obligaciones acumulados del 37% ($40.717.108.947,02); el cual Incluye presupuesto asignado a la unidad ejecutora ANLA y la subunidad FONAM-ANLA.</t>
  </si>
  <si>
    <t>Al cierre del mes de mayo/2021, el presupuesto registró compromisos acumulados del 70% ($109.257.813.617,68); el cual incluye presupuesto asignado a la unidad ejecutora ANLA y la subunidad FONAM-ANLA.</t>
  </si>
  <si>
    <t xml:space="preserve">	
Para el mes de mayo se realizó el proceso precontractual para la organización y digitalización de expedientes, según el Plan de Trabajo generado y revisado junto con la SAF y Planeación.</t>
  </si>
  <si>
    <t>en el mes de Mayo se realizó la ejecución del Plan de trabajo del Plan Institucional de Archivos - PINAR, el cual tiene como actividades: Ejecución del Plan de Conservación Documental, Plan de Trabajo PGD, Cuadro de Clasificación Documental, asignación de radicados SIGPRO y  FUID.</t>
  </si>
  <si>
    <t>Para el mes de mayo se tenía un total de 5 actividades programadas y se ejecutaron las 5 en su totalidad, para un porcentaje de cumplimiento en el periodo de 100%, y un acumulado de 34% con 27 actividades cumplidas de las 31 programadas hasta el mes en mención.</t>
  </si>
  <si>
    <t>Para el mes de mayo se recibió un total de 98 casos en la mesa de ayuda, de los cuales 95 fueron calificados como Excelente (100/100), 3 calificados como Bueno y 0 calificados como Regular, obteniendo de esta manera un avance del 99.08% de avancde para el periodo (mes mayo).</t>
  </si>
  <si>
    <t>El “Porcentaje de impacto de los eventos de bienestar” correspondiente al mes de MAYO en el cual se obtuvo una calificación del 93% de impacto de las actividades:
1    Socialización: Requisitos y documentos solicitud de apoyo educativo    89,000%
2    Jornada de atención de la Oficina Móvil de Cafam.    97,000%</t>
  </si>
  <si>
    <t>En el mes de MAYO se realizaron 11 actividades de las 109 propuestas para la vigencia, representadas en un 10,091743119266% de avance a la meta, a continuación, se relacionan estas actividades:
1.    Compensaciones y 1%
2.    ÁGIL 
3.    Jurisprudencia ambiental 
4.    MIPG Trabajo en equipo para un mejor servicio al usuario
5.    Liderazgo para coordinadores y asesores
6.    Actualización tributaria  2021  aplicable a la ANLA no a personas 
7.    Reforma código de procedimiento administrativo y de lo contencioso administrativo ley 1437 de 2011
8.    MIPG Comunicación en el servicio al usuario
9.    Jornada Conociendo la ANLA 
10.    SIGPRO y seguridad de la información
11.    SILA</t>
  </si>
  <si>
    <t>En MAYO se registra un avance del 15%, realizando así las siguientes actividades :
* Comunicación de pieza de sensibilización para ser parte del programa 5%
* Definición del Grupo Piloto de Formadores Internos 10%</t>
  </si>
  <si>
    <t>Durante el mes de MAYO se logró un avance del 8,29015544041451% correspondiente a las actividades que a continuación se describen:
1.    Solicitud soportes reuniones trimestrales Comité de Convivencia Laboral 
2.    Programación y Seguimiento de Asesorías con la ARL para Seguridad Vial
3.    Realización de comunicaciones masiva sobre prevención de accidentes o incidentes viales
4.    Acompañamiento reuniones mensuales y revisión acta de COPASST
5.    Análisis estadístico de Ausentismo.
6.    Intervención en promoción y prevención -personal asintomático y riesgo bajo - Pausas Activas
7.    Seguimiento a resultados de encuesta de autorreporte de condiciones de salud en consecuencia del COVID 19
8.    Intervención población en riesgo medio y alto - Escuela terapéutica 
9.    Retroalimentación  Individual a trabajadores que puntuaron  niveles  alto y muy alto en la medición subjetiva de Factores de riesgo psicosocial.
10.    Jornadas de manejo de fatiga y carga mental (pausas cognitivas)  
11.    Realización de envío de comunicados masivos sobre TIPs de prevención de riesgo cardiovascular.
12.    Programación y realización de actividades físicas para colaboradores - Hábitos de Vida Saludable- Talleres de Nutrición-Acompañamiento Individual.
13.    Revisión y Actualización del documento de Programa de Prevención de Riesgo Visual
14.    Pausas visuales
15.    Entrega de Informe deTapabocas / Kit de Bioseguridad para comisiones. / Kit de Bioseguridad para personal fuera de Bogotá
16.    Revisión Programa de Reincorporación y seguimiento a recomendaciones medico laboral  a casos de enfermedad laboral- y casos médicos con recomendación o restricción. - Seguimiento casos COVID-19
17.    Capacitación de Primeros Auxilios 
18.    Seguimientos y retroalimentación de MEDEVACs
19.    Revisión y actualización de ATS
20.    Acompañamientos por parte del Ingeniero Asesor de la ARL a los programas de seguridad industrial
21.    Supervisión SST en Campo / Realización de Charlas de Seguridad en Campo
22.    Implementación del Programa SBC. Capacitaciones y Observaciones
23.    Realización de Inspecciones de EPPs - Contratistas (En campo y/o revisión de informes post comisión)
24.    Realización de Inspecciones de Vehículos
25.    Realización de Inspecciones de Extintores
26.    Seguimientos a hallazgos encontrados en inspecciones
27.    Seguimiento a los reportes de actos y condiciones recibidos
28.    Solicitar comunicaciones masivas sobre seguridad indicando la importancia de la familia
29.    Actividad lúdica presencial o virtual donde se resalte la importancia de la seguridad en la familia
30.    Revisión de documentación para selección de contratistas (exámenes médicos, vacunas, inducción, código de integridad, afiliación a ARL, entre otros)
31.    Seguimiento a Indicadores y planes de acción establecidos en los diferentes Programas del SG-SST
32.    Revisión por la Alta Dirección</t>
  </si>
  <si>
    <t>En el mes de MAYO se realiza un avance de 7,5% producto de las diferentes actividades gestionadas que se describen a continuación:
1.    Desarrollar actividades sensibilización y formación para la apropiación de la Política de Integridad: Se desarrollo la actividad de Conociendo la ANLA con el fin de dar a conocer la información de la política de Integridad (Código de Integridad y la Estrategia de Conflicto de Intereses)
2.    Asegurar que los Gerentes Públicos de la entidad, obligados por la Ley 2013 de 2019, publiquen la declaración de bienes, rentas y conflicto de intereses en los aplicativos establecidos por Función Pública: De acuerdo con la publicación en el Aplicativo se encuentra la publicación de los miembros del comité directivo.  E: Carpeta de la publicación de información
Adicionales
•    Seguimiento y monitoreo al registro de conflictos de intereses que han surtido trámite: Se encuentra en revisión la matriz y el procedimiento para el seguimiento y monitoreo de conflicto de intereses.</t>
  </si>
  <si>
    <t>Para la presente vigencia 2021 se registra un avance acumulado del 98.4%, para el mes de Mayo el Grupo de Gestión de Notificaciones realizó el proceso de publicidad para 1682 usuarios de los cuales se inició en termino a 1668, quedando 14 fuera de término, así:
Ocho (8) Autos de cobro que no llegaron al Modulo de Notificaciones debido a una falla en el sistema, lo cual se registró en mesa de ayuda 0008496 del 28 de enero de 2021 y que tuvo solución hasta el día 7 de mayo de 2021.
Dos (2) reinicios de proceso de publicidad mediante constancia, solicitados por la Oficina Asesora Jurídica de ANLA mediante memorandos 2021078179-3-000 del 23 de abril de 2021 y 2021068757-3-000 del 14 de abril de 2021
Dos (2) reinicios de proceso de publicidad mediante constancia, ordenados en Auto 2617 del 27 de abril de 2021 y Auto 3235 del 12 de mayo de 2021.
Un (1) acto administrativo que se expidió el 27/07/20 se remitió mediante memorando 2021096076-3-000 del 14/05/2021 por parte del Grupo de Cobro Coactivo para iniciar proceso de notificación.  
Un (1) acto administrativo liberado fuera de término para iniciar proceso de publicidad.</t>
  </si>
  <si>
    <t>Al cierre de mayo/2021 por concepto de seguimiento  se registra recaudo de $27.578.693.097, lo cual  corresponde al 32% de la meta  ($87.393.968.825) proyectada para la vigencia 2021.</t>
  </si>
  <si>
    <t>Al cierre del mes de mayo/2021 se registra un avance del 26% del presupuesto ejecutado frente al asignado;  el presupuesto ejecutado es medido frente a obligaciones (Funcionamiento e inversion).</t>
  </si>
  <si>
    <t>Según el Plan de Trabajo realizado y aprobado en el mes mayo junto con la SAF y Planeación, se cuenta con un avance de: Manual de Organización Documental e Instructivo de Inventarios Documentales.</t>
  </si>
  <si>
    <t>En el mes mayo se adelantó el proceso precontractual para la organización y digitalización de los Metros Lineales, documentos que se encuentran en verificación por el Grupo de Gestión Contractual.</t>
  </si>
  <si>
    <t>en el mes de Mayo se realizó la ejecución del Plan de trabajo del Programa de Gestión Documental - PGD, el cual comprende actividades como: control de calidad, reportes Gespro, Capacitaciones, Informe de Auditoria, FUID, Plan de Emergencias y Plan de Preservación Digital.</t>
  </si>
  <si>
    <t>En el mes de Mayo, el consumo total fue de 12.507 número de hojas, para un ahorro del 90%, comparado con el promedio anual histórico que es de 128.751 número de hojas. (la meta se supera teniendo en cuenta la contingencia por el COVID-19 y la ausencia de usuarios internos en la entidad).
En el mes de mayo, el consumo total fue de 25.013 número de páginas (No. de hojas por peso: 92 kg), para un ahorro del 90%, comparado con el promedio anual histórico de hoja de 128.751 (No. de hojas por peso: 627 kg), sin embargo se determino un porcentaje del 35% después de un calculo que tiene en cuenta la contingencia por el COVID-19 que ocasiona la ausencia de la gran mayoría de colaboradores en las instalaciones de la entidad (implementado por la OAP).</t>
  </si>
  <si>
    <t>El “propuesta de la estrategia de calidad de vida” correspondiente al mes de MAYO en el cual se obtuvo una calificación del 94,2290058299743% de impacto de las actividades:
1    362 ACTIVIDADES SGSST    96,687%
2    Socialización: Requisitos y documentos solicitud de apoyo educativo    89,000%
3    Jornada de atención de la Oficina Móvil de Cafam.    97,000%
Nota: en el avance del mes de mayo se reporta 362 actividades de SGSST que aportan a este indicador, estas actividades están evaluadas por la herramienta de evaluación de encuestas, para su mayor comprensión se envían los archivos de WORD  que contiene el listado total de actividades, un archivo en Excel con las asistencias y calificaciones respectivas y otro archivo de Excel con la herramienta que evalúa cada evento, se envía de esta forma por la cantidad de información generada.</t>
  </si>
  <si>
    <t>Durante el Durante el mes de mayo  no se presentaron accidentes en la entidad, el porcentaje de este indicador del mes de ABRIL fue 0,0% y en promedio de la vigencia es de 0,040290088638195%, por tal motivo se cumple con el indicador al 100% en este mes ya que la estadística se encuentra en un valor menor al 1% máximo de accidentes por mes propuesto. de ABRIL no se presentaron accidentes en la entidad, el porcentaje de este indicador del mes de ABRIL fue 0,0% y en promedio de la vigencia es de 0,040290088638195%, por tal motivo se cumple con el indicador al 100% en este mes ya que la estadística se encuentra en un valor menor al 1% máximo de accidentes por mes propuesto.</t>
  </si>
  <si>
    <t>En el periodo de abril a junio se generaron 352 certificados de 1446 certificados por generar, lo cual representa una ejecución acumulada del 84% en lo corrido del año.</t>
  </si>
  <si>
    <t>En el mes de junio se suscribieron 13 contratos de Prestación de servicios y/o apoyo a la gestión, de los cuales el 100% se realizaron dentro de los términos del procedimiento.</t>
  </si>
  <si>
    <t>En el periodo de abril a junio de 2021 se recibieron 13 solicitudes de liquidación de contratos en debida forma, de las cuales 13 fueron realizadas de manera satisfactoria.</t>
  </si>
  <si>
    <t>Al cierre de junio/21 seregistró un recaudo de $42.453.367.047, los cuales corresponden al 40% de la meta  $105.533.877.773 esperada para 2021.</t>
  </si>
  <si>
    <t>Al cierre del mes de junio/2021 el presupuesto ANLA registró obligaciones acumulados del 46%, Incluyendo presupuesto asignado a la unidad ejecutora ANLA y la subunidad FONAM-ANLA.</t>
  </si>
  <si>
    <t>El prespuesto vigencia 2021 en el mes de junio registró compromisos acumulados del 72%. Incluyendo presupuesto asignado a la unidad ejecutora ANLA y la subunidad FONAM-ANLA.</t>
  </si>
  <si>
    <t>Para el mes de Junio se realizó correcciones de los documentos para el proceso precontractual para la organización y digitalización de expedientes.</t>
  </si>
  <si>
    <t>Se ejecuta el Plan de Trabajo del PINAR para el mes de junio. Se adjunta evidencias tales como: avance en Tablas de Retención Documental, Plan de trabajo PGD, actualización de FUID, reporte de bodega.</t>
  </si>
  <si>
    <t>Para el mes de junio se tenía un total de 9 actividades programadas y se ejecutaron las 9 en su totalidad, para un porcentaje de cumplimiento en el periodo de 100%, y un acumulado de 46% con 36 actividades cumplidas de las 40 programadas hasta el mes en mención.</t>
  </si>
  <si>
    <t>el mes de junio se recibió un total de 76 casos en la mesa de ayuda, de los cuales 75 fueron calificados como Excelente (100/100), 1 calificados como Bueno y 0 calificados como Regular, obteniendo de esta manera un avance del 99.61% de avance para el periodo (mes junio).</t>
  </si>
  <si>
    <t xml:space="preserve"> Mes	
El “Porcentaje de impacto de los eventos de bienestar” correspondiente al mes de MAYO en el cual se obtuvo una calificación del 93,4444444444444de impacto de las actividades:
1.    Jornada de atención del FNA.    92,00%
2.    Charla Agencia de Viajes Cafam    88,00%
3.    Jornada de atención de la Oficina Móvil de Cafam.    92,00%
4.    Taller de artes: Caricaturas Grupo 1    91,00%
5.    Clase deportiva 1 Rumba.    96,00%
6.    Clase deportiva 2 Pilates.    96,00%
7.    Clase deportiva  3 Yoga.    96,00%
8.    Webinar: Manejo del tiempo en casa    94,00%
9.    Día de la Familia I semestre    96,00%</t>
  </si>
  <si>
    <t>En el mes de JUNIO se realizaron 18 actividades de las 109 propuestas para la vigencia, representadas en un 16,5137614678899% de avance a la meta, a continuación, se relacionan estas actividades:
1.    Inteligencia emocional y su influencia en la felicidad 1
2.    Inteligencia emocional y su influencia en la felicidad 2
3.    Inteligencia emocional y su influencia en la felicidad 3
4.    Inteligencia emocional y su influencia en la felicidad 4
5.    Inteligencia emocional y su influencia en la felicidad 5
6.    Estrategia de conflicto de intereses
7.    Excel básico a intermedio 
8.    Oratoria
9.    Conciliación y defensa judicial 
10.    Requerimientos jurídicos en el seguimiento ambiental para técnicos y jurídicos 
11.    Reuniones efectivas 
12.    Gestión de Proyectos PMI
13.    Redacción profesional
14.    Normatividad vigente presupuesto de ingresos y gastos 
15.    Consulta previa
16.    AGIL
17.    Seguridad basada en el comportamiento 1
18.    Seguridad basada en el comportamiento 2</t>
  </si>
  <si>
    <t xml:space="preserve">	
En JUNIO se registra un avance del 10%, realizando así las siguientes actividades:
* Taller de preparación en oratoria (Solo para servidores públicos) 10%</t>
  </si>
  <si>
    <t xml:space="preserve"> Mes	
Durante el mes de JUNIO se logró un avance del 7,7720207253886% correspondiente a las actividades que a continuación se describen:
1.    Acompañamiento reuniones mensuales y revisión acta de COPASST
2.    Análisis estadístico de Ausentismo.
3.    Intervención en promoción y prevención -personal asintomático y riesgo bajo - Pausas Activas
4.    Seguimiento a resultados de encuesta de autorreporte de condiciones de salud en consecuencia del COVID 19
5.    Intervención población en riesgo medio y alto - Escuela terapéutica 
6.    Envío masivo de TIPs de prevención y promoción de DME- En casa-COVID 19
7.    Retroalimentación  Individual a trabajadores que puntuaron  niveles  alto y muy alto en la medición subjetiva de Factores de riesgo psicosocial.
8.    Intervensión grupal derivada de aplicación de Batería de Riesgo Psisocial (Liderazgo-Comunicación y Trabajo en Equipo- Inteligencia Emiocional y Felicidad- Manejo de Cambio- Recuperando la vida familiar ) 
9.    Jornadas de manejo de fatiga y carga mental (pausas cognitivas)  
10.    Programación y realización de actividades físicas para colaboradores - Hábitos de Vida Saludable- Talleres de Nutrición-Acompañamiento Individual.
11.    Pausas visuales
12.    Temáticas virtuales y TIPs de prevención de riesgo publico
13.    Entrega de Informe deTapabocas / Kit de Bioseguridad para comisiones. / Kit de Bioseguridad para personal fuera de Bogotá
14.    Simulacro de escritorio COE (Guión e informe)- Charla COE 
15.    Pruebas de radios punto a punto (informe y correo) 
16.    Capacitación de Primeros Auxilios 
17.    Seguimientos y retroalimentación de MEDEVACs
18.    Acompañamientos por parte del Ingeniero Asesor de la ARL a los programas de seguridad industrial
19.    Supervisión SST en Campo / Realización de Charlas de Seguridad en Campo
20.    Implementación del Programa SBC. Capacitaciones y Observaciones
21.    Realización de Inspecciones SSTA
22.    Realización de Inspecciones de EPPs - Funcionarios
23.    Realización de Inspecciones de EPPs - Proveedores
24.    Realización de Inspecciones de EPPs - Contratistas (En campo y/o revisión de informes post comisión)
25.    Seguimientos a hallazgos encontrados en inspecciones
26.    Seguimiento a los reportes de actos y condiciones recibidos
27.    Inicio Proceso de contratación adquisición de elementos para la prevención del COVID 19
28.    Realización de Evaluación de Contratistas (en cuenta de cobro final se identificara el cumplimiento de los deber y responsabilidades SST de los contratistas)
29.    Cierre de los planes de acción resultantes de los programas y planes existentes en el SG-SST
30.    Seguimiento a Indicadores y planes de acción establecidos en los diferentes Programas del SG-SST</t>
  </si>
  <si>
    <t>En el mes de JUNIO se realiza un avance de 25% producto de las diferentes actividades gestionadas que se describen a continuación:
1.    Desarrollar actividades sensibilización y formación para la apropiación de la Política de Integridad: Se realizó la difusión de la Política de Integridad a través de la Ronda semanal donde se dio a conocer y sensibilizar sobre esta política (2 publicaciones en la ronda)
2.    Desarrollar actividades sensibilización y formación para la apropiación de la Política de Integridad: Se desarrollo la actividad de Conociendo la ANLA con el fin de dar a conocer la información de la política de Integridad (Código de Integridad y la Estrategia de Conflicto de Intereses). Así mismo se asistió a la reunión de Líderes con la Subdirección de Seguimiento de Licencias Ambientales reforzando la Política de Integridad. (2 actividades realizadas)
Adicionales
•    Seguimiento y monitoreo al registro de conflictos de intereses que han surtido trámite: Se encuentra en revisión la matriz y el procedimiento para el seguimiento y monitoreo de conflicto de intereses por parte del Grupo de Gestión Contractual para posterior publicación.</t>
  </si>
  <si>
    <t>Para la presente vigencia 2021 se registra un avance acumulado del 98.7%, para el mes de Junio el Grupo de Gestión de Notificaciones realizó el proceso de publicidad para 1739 usuarios de los cuales se inició en termino a 1733, quedando 6 fuera de término, así:
Dos (2) reinicios de proceso de publicidad mediante constancia, solicitados por la Oficina Asesora Jurídica de ANLA mediante memorandos 2020224521-3-000 del 17 de diciembre de 2020 y 2021103112-3-000 del 25 de mayo de 2021
Dos (2) reinicios de proceso de publicidad mediante constancia, según validación realizada conforme a lo expuesto en derecho de petición presentado mediante radicado 2021106276-1-000 por AGRIMORPHO LTDA. 
Un (1) reinicio de proceso de publicidad mediante constancia, ordenado en Auto 4031 del 08 de junio de 2021.
Un (1) acto administrativo notificado fuera de término para iniciar proceso de publicidad.</t>
  </si>
  <si>
    <t>Al cierre de junio/2021 se registro un recaudo por concepto de servicio de seguimiento de $ 32.532.201.872, lo cual corresponde al 37% de la meta  $ 87.393.968.825 esperada para 2021.</t>
  </si>
  <si>
    <t>La ejecución del presupuesto ejecutado frente al asignado al cierre del mes de junio/2021 corresponde al 33%. Donde el presupuesto ejecutado es medido frente a obligaciones (Funcionamiento e inversion).</t>
  </si>
  <si>
    <t>Al cierre de junioo/2021 se registra ingresos de $59.181.829.385,oo y compromisos de $113.099.036.853,oo, lo cual arroja un indicador de 0.52 (ingresos/gasto)</t>
  </si>
  <si>
    <t>Al cierre de junio/2021 se registra avance oportuno de las actividades programadas, lo cual corresponde al 39% de lo porgramado para 2021.</t>
  </si>
  <si>
    <t>Para el mes de junio se realiza avance de elaboración de documentos soportes para el SGDEA (Elaboración de Instructivo y Avance Programa Evaluación y Seguimiento), Inventarios documentales y actividad del Plan de Preservación (Informe de Instrumentos Archivisticos).</t>
  </si>
  <si>
    <t>En el mes de junio se adelantó el proceso precontractual para la organización y digitalización de los Metros Lineales, documentos que se encuentran en verificación por el Grupo de Gestión Contractual.</t>
  </si>
  <si>
    <t>Para el mes de Junio se cumple con las actividades planificadas en el cronograma, el plan de trabajo se encuentra adjunto, se realizó Control de Calidad, actualización de inventarios, avance de actividades de planes de conservación  y capacitación con sus respectivas evidencias, entre otras.</t>
  </si>
  <si>
    <t>El “propuesta de la estrategia de calidad de vida” correspondiente al mes de JUNIO en el cual se obtuvo una calificación del 96,2171783084099% de impacto de las actividades:
1.    Jornada de atención del FNA.    92,00%
2.    Charla Agencia de Viajes Cafam    88,00%
3.    Jornada de atención de la Oficina Móvil de Cafam.    92,00%
4.    Taller de artes: Caricaturas Grupo 1    91,00%
5.    Clase deportiva 1 Rumba.    96,00%
6.    Clase deportiva 2 Pilates.    96,00%
7.    Clase deportiva  3 Yoga.    96,00%
8.    Webinar: Manejo del tiempo en casa    94,00%
9.    Día de la Familia I semestre    96,00%
10.    Inteligencia emocional y su influencia en la felicidad Servidor Público junio 01 de 2021    98,63%
11.    Inteligencia emocional y su influencia en la felicidad Servidor Público junio 08 de 2021    97,50%
12.    Inteligencia emocional y su influencia en la felicidad Servidor Público junio 15 de 2021    98,65%
13.    Inteligencia emocional y su influencia en la felicidad Servidor Público junio 22 de 2021    99,39%
14.    Inteligencia emocional y su influencia en la felicidad Servidor Público junio 29 de 2021    96,60%
15.    Liderazgo Servidor Público mayo 20 de 2021    97,94%
16.    Reuniones efectivas Servidor Público junio 17 de 2021    98,28%
17.    Seguridad basada en el comportamiento Servidor Público junio 03 de 2021    96,35%
18.    Seguridad basada en el comportamiento Servidor Público junio 10 de 2021    98,69%
19.    Inteligencia emocional y su influencia en la felicidad Contratista junio 01 de 2021    97,19%
20.    Inteligencia emocional y su influencia en la felicidad Contratista junio 08 de 2021    98,78%
21.    Inteligencia emocional y su influencia en la felicidad Contratista junio 15 de 2021    99,46%
22.    Inteligencia emocional y su influencia en la felicidad Contratista junio 22 de 2021    97,86%
23.    Inteligencia emocional y su influencia en la felicidad Contratista junio 29 de 2021    97,60%
24.    Seguridad basada en el comportamiento Contratista junio 10 de 2021    97,78%
25.    81 ACTIVIDADES SGSST    93,73%
Nota: en el avance del mes de JUNIO se reporta 81 actividades de SGSST que aportan a este indicador, estas actividades están evaluadas por la herramienta de evaluación de encuestas, para su mayor comprensión se envían los archivos de WORD que contiene el listado total de actividades, un archivo en Excel con las asistencias y calificaciones respectivas y otro archivo de Excel con la herramienta que evalúa cada evento, se envía de esta forma por la cantidad de información generada.</t>
  </si>
  <si>
    <t>Durante el mes de JUNIO no se presentaron accidentes en la entidad, el porcentaje de este indicador del mes de JUNIO fue 0,0% y en promedio de la vigencia es de 0,02686005909213%, por tal motivo se cumple con el indicador al 100% en este mes ya que la estadística se encuentra en un valor menor al 1% máximo de accidentes por mes propuesto.</t>
  </si>
  <si>
    <t>En el mes de junio, el consumo total fue de 36.425 número de hojas, para un ahorro del 69%, comparado con el promedio anual histórico que es de 119.405 número de hojas. (la meta se supera teniendo en cuenta la contingencia por el COVID-19 y la ausencia de usuarios internos en la entidad).
En el mes de junio, el consumo total fue de 72.849 número de páginas (No. de hojas por peso: 177 kg), para un ahorro del 69%, comparado con el promedio anual histórico de hoja de 119.405 (No. de hojas por peso: 582 kg), sin embargo, se determinó un porcentaje del 33% después de un cálculo que tiene en cuenta la contingencia por el COVID-19 que ocasiona la ausencia de la gran mayoría de colaboradores en las instalaciones de la entidad (implementado por la OAP).</t>
  </si>
  <si>
    <t>Se emitieron 57 actos administrativos para el mes de marzo vigencia 2021, distribuidos en los tres indicadores de la siguiente manera: Indicador 1 se emitieron 14 actos administrativos acogiendo CT de inicio, indicador 2 se emitieron 5 decisiones de fondo y para el indicador 3 se emitieron 38 actos administrativos de gestión entre las etapas del proceso sancionatorio.
E1_SANCIONATORIO_ACTOS ADMINISTRATIVOS FIRMADOS_MARZO_2021</t>
  </si>
  <si>
    <t xml:space="preserve"> 
Se emitieron 97 actos administrativos para el mes de abril vigencia 2021, distribuidos en los tres indicadores de la siguiente manera: Indicador 1, se emitieron 28 actos administrativos acogiendo CT de inicio, indicador 2, se emitieron 7 decisiones de fondo y para el indicador 3 se emitieron 62 actos administrativos de gestión entre las etapas del proceso sancionatorio.
E1_SANCIONATORIO_ACTOS ADMINISTRATIVOS FIRMADOS_ABRIL_2021</t>
  </si>
  <si>
    <t>Se emitieron 95 actos administrativos para el mes de mayo vigencia 2021, distribuidos en los tres indicadores de la siguiente manera: Indicador 1, se emitieron 25 actos administrativos acogiendo CT de inicio, indicador 2, se emitieron 9 decisiones de fondo y para el indicador 3 se emitieron 61 actos administrativos de gestión entre las etapas del proceso sancionatorio.
E1_SANCIONATORIO_ACTOS ADMINISTRATIVOS FIRMADOS_MAYO_2021</t>
  </si>
  <si>
    <t xml:space="preserve"> 
Se emitieron 101 actos administrativos para el mes de junio vigencia 2021, distribuidos en los tres indicadores de la siguiente manera: Indicador 1, se emitieron 15 actos administrativos acogiendo CT de inicio, indicador 2, se emitieron 14 decisiones de fondo y para el indicador 3 se emitieron 72 actos administrativos de gestión entre las etapas del proceso sancionatorio.
E1_SANCIONATORIO_ACTOS ADMINISTRATIVOS FIRMADOS_JUNIO_2021</t>
  </si>
  <si>
    <t>Para el primer indicador se emitieron 26 autos de apertura de investigación, 1 auto que avoca conocimiento y 1 resolución que impone medida preventiva.
E1_SANCIONATORIO_INDICADOR 1_ABRIL_2021</t>
  </si>
  <si>
    <t>Para el primer indicador se emitieron 21 autos de apertura de investigación y 4 resoluciones que imponen medida preventiva.
E1_SANCIONATORIO_INDICADOR 1_MAYO_2021</t>
  </si>
  <si>
    <t>Para el primer indicador se emitieron 13 autos de apertura de investigación, 1 auto avoca conocimiento por competencia y 1 auto de indagación preliminar.
E1_SANCIONATORIO_INDICADOR 1_JUNIO_2021</t>
  </si>
  <si>
    <t>Para el segundo indicador se emitieron 4 resoluciones de cesación, 2 resoluciones que imponen sanción y 1 resolución que exonera responsabilidad.
E1_SANCIONATORIO_INDICADOR 2_ABRIL_2021</t>
  </si>
  <si>
    <t xml:space="preserve"> 
Para el segundo indicador se emitieron 4 resoluciones de cesación, 3 resoluciones que declaran la caducidad y 2 resoluciones que imponen sanción.
E1_SANCIONATORIO_INDICADOR 2_MAYO_2021</t>
  </si>
  <si>
    <t xml:space="preserve"> 
Para el segundo indicador se emitieron 8 resoluciones que declaran la caducidad, 3 resoluciones de cesación, 1 resolución que resuelve recurso y 2 resoluciones que imponen sanción.
E1_SANCIONATORIO_INDICADOR 2_JUNIO_2021</t>
  </si>
  <si>
    <t>Para el tercer indicador se emitieron 23 autos que ordenan diligencia dentro de investigación; 14 autos que decreta, rechaza o niega pruebas: 7 autos que reconoce tercer interviniente;  6 autos de formulación de cargos,  6 autos de aclaración; 1 auto de traslado por competencia, 1 resolución que levantan medida preventiva, 1 auto de acumulación, 1 auto de revocatoria, 1 autos de archivo de proceso sancionatorio,  y 1 auto que resuelve recurso de reposición.
E1_SANCIONATORIO_INDICADOR 3_ABRIL_2021</t>
  </si>
  <si>
    <t>Para el tercer indicador se emitieron 21 autos que decreta, rechaza o niega pruebas, 16 autos que ordenan diligencia dentro de investigación, 10 autos de archivo de proceso sancionatorio, 7 autos de aclaración, 3 autos de formulación de cargos, 1 resolución que levanta medida preventiva, 2 autos de revocatoria,   y 1 auto que resuelve recurso de reposición.
E1_SANCIONATORIO_INDICADOR 3_MAYO_2021</t>
  </si>
  <si>
    <t>Para el tercer indicador se emitieron 29 autos que decreta, rechaza o niega pruebas, 19 autos que ordenan diligencia dentro de investigación, 11 autos de archivo de proceso sancionatorio, 5 autos de aclaración, 5 autos de formulación de cargos, 1 resolución que niega levantamiento medida preventiva, 1 resolución aclara resolución y 1 auto que resuelve recurso de reposición.
E1_SANCIONATORIO_INDICADOR 3_JUNIO_2021</t>
  </si>
  <si>
    <t>Durante el mes de marzo el Grupo de Actuaciones Sancionatorias Ambientales recibió 22 solicitudes de apoyo para responder dentro de este período y 2 de febrero que fueron resueltas dentro del término, en  marzo, para un total de 24 solicitudes realizadas por parte de otros grupos o dependencias de la ANLA, así:
9 Solicitudes realizadas por parte del Grupo de Defensa Jurídica.
3 Solicitud es de apoyo realizadas por parte de la Subdirección de Evaluación.
2 Solicitudes de la Subdirección de Seguimiento de Licencias Ambientales - SSLA.
9 Solicitudes del Grupo RASP.
1 Solicitud realizada por la Oficina Asesora Jurídica.
E1_Identificación de solicitud de apoyo marzo 2021</t>
  </si>
  <si>
    <t>Durante el mes de abril el Grupo de Actuaciones Sancionatorias Ambientales recibió 14 solicitudes de apoyo para responder dentro de este período y 1 de marzo que fue resuelta dentro del término, en  abril, para un total de 15 solicitudes realizadas por parte de otros grupos o dependencias de la ANLA, así:
4 Solicitudes realizadas por parte del Grupo de Defensa Jurídica.
2 Solicitudes de apoyo realizadas por parte de la Subdirección de Evaluación.
1 Solicitud de apoyo realizada por parte de la Subdirección de Seguimiento.
5 Solicitudes del Grupo RASP.
3 Solicitud realizada por la Oficina Asesora Jurídica.
E1_Identificación de solicitudes de apoyo ABRIL 2021</t>
  </si>
  <si>
    <t>Durante el mes de mayo el Grupo de Actuaciones Sancionatorias Ambientales recibió 8 solicitudes de apoyo para responder dentro de este período y 5 de abril que fueron resueltas dentro del término, en  mayo, para un total de 13 solicitudes realizadas por parte de otros grupos o dependencias de la ANLA, así:
4 Solicitudes realizadas por parte del Grupo de Defensa Jurídica.
2 Solicitud de apoyo realizada por parte de la Subdirección de Seguimiento.
7 Solicitudes del Grupo RASP.
E2_Identificación de solicitudes de apoyo Mayo_2021</t>
  </si>
  <si>
    <t>Durante el mes de junio el Grupo de Actuaciones Sancionatorias Ambientales recibió 17 solicitudes de apoyo para responder dentro de este período y 5 de mayo que fueron resueltas dentro del término en junio, para un total de 22 solicitudes realizadas por parte de otros grupos o dependencias de la ANLA, así:
1 Dirección General
9 Solicitudes realizadas por parte del Grupo de Defensa Judicial.
10 Solicitudes del Grupo RASP.
1  Subdirección de Evaluación de Licencias Ambientales
1  Subdirección de Seguimiento de Licencias Ambientales 
E2_Identificación de solicitudes de apoyo Junio_2021</t>
  </si>
  <si>
    <t>En Abril el Grupo de Gestión Administrativa y Financiera reportó al Grupo de Cobro Coactivo el recaudo de $238,399,570, correspondientes al pago total o parcial de obligaciones. 
El recaudo real en abril corresponde a $250,471,570, sin embargo el GGFyP descontó $12,072,000 que corresponde a dos pagos registrados y reportados en meses anteriores, que fueron reversados este mes:
1.   Proceso COA0422-00-2020 $928,000, reportadoes en marzo de 2021, cheque rebotado. 
2. Proceso COA0402-00-2020, $11,144,000, reportado en octubrede 2020. Por tutela fallada en 2021 se ordenó reiniciar la notificación del auto de cobro
E1_COACTIVO_Recaudo Abril_2021</t>
  </si>
  <si>
    <t xml:space="preserve"> 
En Mayo el Grupo de Gestión Administrativa y Financiera reportó al Grupo de Cobro Coactivo el recaudo de $843,610,631, correspondientes al pago total o parcial de obligaciones. 
E1_Cuadro de seguimiento Cobro Coactivo Mayo_2021
E2_COACTIVO_Recaudo Mayo_2021</t>
  </si>
  <si>
    <t>En Junio el Grupo de Gestión Administrativa y Financiera reportó al Grupo de Cobro Coactivo el recaudo de $635.714.119, correspondientes al pago total o parcial de obligaciones. 
E1_Cuadro de seguimiento Cobro Coactivo Junio_2021
E2_COACTIVO_Recaudo Junio_2021</t>
  </si>
  <si>
    <t xml:space="preserve"> 
En abril se recaudaron $162.409.253 que corresponden al pago total o parcial de obligaciones en cobro coactivo.
Se ordenó la apertura de 51 procesos, cambia de etapa cartera por $1,575,744,441; se incrementa la meta de recaudo en coactivo en $472,723,332
E2_COACTIVO_Recaudo Coactivo Abril_2021
E3_COACTIVO_Procesos de CP a CC Abril_2021</t>
  </si>
  <si>
    <t xml:space="preserve"> 
En Mayo se recaudaron $257,137,693 que corresponden al pago total o parcial de obligaciones en cobro coactivo.
Se ordenó la apertura de 20 procesos; cambia de etapa cartera por $440,223,000; se incrementa la meta de recaudo en coactivo en $132,066,900
E3_COACTIVO_Recaudo Coactivo Mayo_2021
E4_COACTIVO_Procesos de CP a CC Mayo_2021</t>
  </si>
  <si>
    <t>En Junio se recaudaron $119.149.784 que corresponden al pago total o parcial de obligaciones en cobro coactivo.
Se ordenó la apertura de 48 procesos; cambio de etapa de cartera persuasiva a coactiva por $661.378.428; se incrementa la meta de recaudo en coactivo en $198.413.528
E3_COACTIVO_Recaudo Coactivo Junio_2021
E4_COACTIVO_Procesos de CP a CC Junio_2021</t>
  </si>
  <si>
    <t>En abril se recaudaron $88,062,317 que corresponden al pago total o parcial de obligaciones en etapa persuasiva de cobro; se descuentan $12,072,000 que corresponde a dos pagos registrados y reportados en meses anteriores, que fueron reversados este mes, por lo anterior se registran como recaudo en abril $75,990,317.
E4_COACTIVO_Recaudo Persuasivo Abril_2021</t>
  </si>
  <si>
    <t>En Mayo se recaudaron $586,472,938 que corresponden al pago total o parcial de obligaciones en etapa persuasiva de cobro
E5_COACTIVO_Recaudo Persuasivo Mayo_2021</t>
  </si>
  <si>
    <t>En junio se recaudaron $539.376.995 que corresponden al pago total o parcial de obligaciones en etapa persuasiva de cobro; se descuentan $22.812.660 que corresponde a tres pagos registrados y reportados en el mes anterior, que fueron reimputados este mes, por lo anterior se registra como recaudo en junio $516.564.335.
Mediante memorando 2021131056-3-000 del 29/06/2021 el Grupo de Gestión Financiera y Presupuestal remitió a la OAJ la obligación contenida en el auto 335 de 2021 por valor de $123.381.000 para iniciar proceso de cobro coactivo, por lo tanto se incrementa la meta del persusivo del 60% del valor de la obligación que corresponde a 74.028.600.
E5_COACTIVO_Recaudo Persuasivo Junio_2021</t>
  </si>
  <si>
    <t xml:space="preserve"> 
Para el mes de abril de 2021, se emitieron 3 fallos ejecutoriados los cuales fueron favorables para la Entidad, para un total de 13 fallos favorables de 13 fallos ejecutoriados en el 2021.
E1_JUDICIALES_FALLOS ABRIL 2021</t>
  </si>
  <si>
    <t>En el mes de mayo de 2021 no se emitió ningún  fallo, en consecuencia se mantiene un total de 13 fallos favorables de 13 fallos ejecutoriados en el 2021.</t>
  </si>
  <si>
    <t xml:space="preserve"> 
Para el mes de junio de 2021, se emitieron 6 fallos ejecutoriados los cuales fueron favorables para la Entidad, para un total de 19 fallos favorables de 19 fallos ejecutoriados en el 2021.
E1_JUDICIALES_FALLOS JUNIO 2021</t>
  </si>
  <si>
    <t>El proyecto de Modificación de la Ley 1333 de 2009 propuesto por la ANLA fue radicado por los Senadores Name y Corrales a la comisión Quinta del Senado el 19 de marzo de 2021, dicho documento fue remitido mediante correo electrónico al Dr Nicolas Neira el pasado 18 de marzo. 
El documento radicado puede ser consultado en el siguiente link:  http://leyes.senado.gov.co/proyectos/index.php/textos-radicados-senado/p-ley-2020-2021/2178-proyecto-de-ley-425-de-2021%20)
E1_Proyecto_PL 425-21 Modificacion Ley 1333</t>
  </si>
  <si>
    <t>En el mes de abril de 2021 se reportan 31 solicitudes de conceptos jurídicos, de las cuales fueron atendidas 30 en oportunidad, entre las cuales destacamos:
Competencias Grupo de Permisos y Trámites Ambientales SIPTA y Subdirección de Seguimiento de Licencias, en permisos de recolección previstos en el Decreto 1076 de 2015, (artículos 2.2.2.8.1.1. y 2.2.2.9.2.1.), compilatorio de los Decretos 1376 de 2013 y 3016 de 2013; Concepto jurídico sobre la Viabilidad de convocatoria de oficio Audiencias Públicas Ambientales; Procedimiento a seguir para la construcción y operación de la alternativa de conducción Embalse Miraflores – Embalse Troneras y la PCH Miraflores. Complejo Hidroeléctrico Guadalupe. LAM2578 2021045942-3-000; 2021002196 Proyecto de memo rutal del sol -  sobre decaimiento de las licencias ambientales Concesionaria Ruta del Sol.
 E1_BASE DE ASIGNACIÓN DE TAREAS ABRIL 2021</t>
  </si>
  <si>
    <t>En el mes de mayo se atendieron en tériminos las 20 solicitudes a cargo del grupo de conceptos jurídicos, entre las cuales se destacan: Solicitud de información - Revisión normas pandemia - Servicios no presenciales SAF; Concepto jurídico GESPLAN; Expedientes de Veda de INVIAS ATV 924 y ATV 720;  competencia ANLA medio socio económico; Auto de reconocimiento de terceros intervinientes"; Proyecto de acto administrativo - Proyecto resolución que modifica la conformación del Comité Directivo de la ANLA;  comentarios al proyecto de Ley  por medio del cual se establece el Código de Responsabilidad Jurídica por daños ambientales   y el Procedimiento  Administrativo Sancionatorio en materia ambiental.
 E1_BASE DE ASIGNACIÓN DE TAREAS MAYO 2021</t>
  </si>
  <si>
    <t xml:space="preserve">En abril se evaluaron 94 acciones de las cuales se cerraron 86 (91.4). El acumulado es 164 acciones evaluadas y cerradas 151 (92). </t>
  </si>
  <si>
    <t>En el mes de mayo se evaluaron 129 acciones, de las cuales se cerraron 124. El acumulado resulta de 293 acciones evaluadas de las cuales se cerraron 275, es decir, el 93.8%.</t>
  </si>
  <si>
    <t>En el mes de junio se realizó la evaluación de 129 acciones de las cuales se cerraron 123. El acumulado corresponde a la evaluación de 422 acciones de las cuales se han cerrado 398, es decir el 94.3%.</t>
  </si>
  <si>
    <t xml:space="preserve"> 
En abril se realizó la evaluación de 93 acciones de las cuales se cerraron 86 (92.4). El acumulado es 149 acciones evaluadas de las cuales se cerraron 140 (93.9).</t>
  </si>
  <si>
    <t xml:space="preserve">En el mes de mayo de 2021 se evaluaron 125 acciones de, las cuales se cerraron 121, es decir el 96.8%. El acumulado es 274 acciones evaluadas de las cuales se cierran 261, es decir, el 95.2%. </t>
  </si>
  <si>
    <t xml:space="preserve"> 
En el mes de junio se realizó la evaluación de 88 acciones de las cuales 85 fueron positivas. El acumulado hace referencia a 362 acciones evaluadas de las cuales se han cerrado 346, para una efectividad del 95.5%</t>
  </si>
  <si>
    <t>En abril se evaluó 1 acción y no fue cerrada (avance 0). El acumulado es evaluadas 15 con cierre 11 (73.3)</t>
  </si>
  <si>
    <t>En el mes de mayo se evaluaron 4 acciones y se cerraron 3. El acumulado resulta de 19 acciones evaluadas de las cuales se cerraron 14, es decir, un 73.6%.</t>
  </si>
  <si>
    <t>En el mes de junio se evaluaron 41 acciones de las cuales se realizó el cierre de 38. El acumulado corresponde a la evaluación de 60 acciones de las cules se cerraron 52, es decir, el 86.6%.</t>
  </si>
  <si>
    <t>JULIO</t>
  </si>
  <si>
    <t>AGOSTO</t>
  </si>
  <si>
    <t>SEPTIEMBRE</t>
  </si>
  <si>
    <t>OCTUBRE</t>
  </si>
  <si>
    <t>NOVIEMBRE</t>
  </si>
  <si>
    <t>.</t>
  </si>
  <si>
    <t>GSP</t>
  </si>
  <si>
    <t>DIRECCIÓN</t>
  </si>
  <si>
    <t>N.A.</t>
  </si>
  <si>
    <t>24 acciones o herramientas Ev001: Desarrollo de backend de validación de estructura de MAG (Esquema 2182, Topología, Relaciones, Coordenadas de Puntos, Áreas de Polígonos, Sistema de Referencia, Atributos Obligatorios).
Ev002: Integración en el frontend con los resultados de los validadores.
Ev003: Estructuración de Informe de Cargue para los estudios cargados con la aplicación.
Ev004: Soportes en AGIL para la consulta de proyectos en evaluación y seguimiento de Puerto WIlches, Santander.
Ev005: Soporte en AGIL para descarga de proyectos a Shp.
Ev006: Creación de Usuario de Consulta Planet
Ev007: Construcción de Basemap para tableros de control
Ev008: Servicio de imágenes de DigitalGlobe-Image Conect
Ev009: Transferencia ArcGIS Enterprise ANLA, Ambiente Productivo
Ev010: Revisión cargue WEB MAG articulación Centro monitoreo y vedas
Ev011: Mesa de trabajo articulación cargue WEB MAG, centro monitoreo y vedas
Ev012: Administración Base de Datos en Servidores Power 8
Ev013: ANLA - Socialización Banco de Imágenes
Ev014: Revisión de cargue MAG
Ev015: Revisión almacenamiento para modelo YNC
Ev016: Generación listado para requerimiento de proyectos de las Líneas de Transmisión y Torres Eléctricas - ANLA.msg
Ev017: Generación de archivos shapefile de Líneas de Transmisión Licenciadas y Torres.msg
Ev018: Atención solicitud de revisión y ajuste de georreferenciación de proyecto licenciado LAM2432.msg
Ev019: Identificación de acciones en proceso VPD para correcto funcionamiento de herramienta ‘Consultar Proyecto en Evaluación’ en AGIL.msg
Ev020: Actualización contenido del servicio Compensaciones e inversiones en AGIL.msg
Ev021: Diagrama de proceso GESTIÓN INFORMACIÓN RECURSO HÍDRICO versión 3.msg
Ev022: Presentación Capacitacion_AGIL_Externo.msg
Ev023: Capacitación AGIL nivel 1.PNG
Ev024: Capacitación AGIL nivel 2 - Grupo Alto Magdalena - Cauca.PNG
Formula: 24 Herramientas o Acciones implmentadas/ 24 Herramientas o Acciones Aceptadas = 100%</t>
  </si>
  <si>
    <t>Se calcula el valor del indicador, teniendo en cuenta los % de avance y ponderaciones a cada indicador del índice, alcanzando el 81% al mes de abril de la vigencia</t>
  </si>
  <si>
    <t>No se presenta avance en el mes, toda vez que se esta revaluando las fases de SILA II que se realizaran en la vigencia 2021. Se sugiere realizar analisis de requerimientos únicamente, pero de manera articulada y en relación con la realidad de la ANLA</t>
  </si>
  <si>
    <t>2021_03 Ev001: 11093 Actualizar datos Tablero Control Conectante C1-C2
2021_03 Ev002: 11651 Adicionar datos Tablero Control Doña Juana
2021_03 Ev003: 11996 Adicionar datos Tablero Control Doña Juana
2021_04 Ev004: Plantilla tableros de control centro de monitoreo
2021_04 Ev005: Construcción de Basemap para tableros de control
Formula: 5 Actualizaciones realizadas / 5 Actualizaciones solicitadas</t>
  </si>
  <si>
    <t xml:space="preserve">Se ha avanzado en:
</t>
  </si>
  <si>
    <t>No se han materializado ataques contra los servicios tecnológicos de la entidad a abril</t>
  </si>
  <si>
    <t>De las 27 adquisiciones propuestas para 2021, 4 ya se encuentran implementadas y en funcionamiento con licencimianto, soporte y garantia. Adicionalmente ya se presenta avance en 2 procesos del colocation que da un avance del 18,64</t>
  </si>
  <si>
    <t>1.123 Solicitudes Atendidas / 1.253 Solicitudes recibidas = 89,6% en el mes de abril de 2021</t>
  </si>
  <si>
    <t xml:space="preserve">6 RFC de marzo + 8 RFC de Abril = 14 RFC Acumulados
RFC: Documento para solicitar despliegue en producción de ajustes o mejoras a los aplicativos de la ANLA
</t>
  </si>
  <si>
    <t>Se finalizaron dos proyectos estrategicos priorizados en 2020:
Ajustes tablero de control, procesos judiciales
Formulario único de Beneficios Tributarios</t>
  </si>
  <si>
    <t>Sin avance en este nes, ya que los proyectos se priorizaron a mediados de abril.</t>
  </si>
  <si>
    <t>El avance del plan de seguridad de la información se toma de las actividades establecidas en el "Plan de seguridad digital" donde se evidencia un avance a corte de ABRIL de 25,12%</t>
  </si>
  <si>
    <t>Se realizó el documento de entendimiento para identificar tendencias y posibles proveedores para la realización de pruebas de concepto de tecnologías de la revolución 4.0, del plan de trabajo, (EQUIVALENTE A 6%) + Presentación de propuesta y aprobación del comité directivo de la implementación de computación en la nube para el fortalecimiento de la Infraestructura. Revisión de paso a paso y documentos Acuerdo Marco de Precios (EQUIVALENTE AL 10%)</t>
  </si>
  <si>
    <t>El cálculo se basa en el uso de los sitemas más utilizados en la entidad:
SILA: 822/1324
SIGPRO: 328/1343
Formula: (822+328)/(1324+1343) = 43%
Avance 43% frente a la meta</t>
  </si>
  <si>
    <t xml:space="preserve">28 Herramientas o Acciones implmentadas/ 28 Herramientas o Acciones Aceptadas = 100%
Ev001: Desarrollo de backend de validación de estructura de MAG (Esquema 2182, Topología, Relaciones, Coordenadas de Puntos, Áreas de Polígonos, Sistema de Referencia, Atributos Obligatorios).
Ev002: Implementar Script y servicio para consumir con el fin de estructurar los datos en File GDB y evitar usar la licencia de Data Reviewer for Server.
Ev003.Realizar la transacción de datos de envío y llegada entre el servidor de la aplicación (pruebas) y el file server en donde se alojarán las bases de datos geográficas.
Ev004: Esquema de integración del aplicativo de monitoreos, cargaWebMAG y geoportal.
Ev005: Se realiza la publicación de los geoprocesos que se ven intervenidos en la validación de la data geográfica.
Ev006: Se integra en el frontend la respuesta de los geoprocesos resultantes de las validaciones.
Ev007: Estadísticas de crecimiento GDB postgres en ANBOGSIGBD
Ev008: Archivo consolidado para Perfilamiento de Datos Geográficos
Ev009: Dudas sobre el Diccionario Datos MAG YNC PPI
Ev010: Propuesta plan para perfilamiento de datos
Ev011: Cambio de DB de la app SDE
Ev012: Optimización y republicación servicio Resultados ONG
Ev013: Alcance de la revisión topológica para el piloto radicación web PPII-YNC
Ev014: Solicitudes resueltas (16) de acceso a consultas de AGIL
Ev015: Capacitación Procuraduría plataforma AGÍL Y VITAL
Ev016: Capacitación ÁGIL nivel 1
Ev017: Séptima sesión virtual Entérese del manejo del Sistema ÁGIL
Ev018: Archivos para definición validador en línea info. geográfica PPII-YNC
Ev019: Enlace descarga GDB expedientes de hidrocarburos LAV0020-00-2018 y LAV0032-00-2019
Ev020: Diagrama de proceso GESTIÓN INFORMACIÓN RECURSO HÍDRICO versión 4
Ev021: Diagrama de proceso GESTIÓN INFORMACIÓN RECURSO HÍDRICO versión 5
Ev022: Consolidación GDB LÍNEAS ELÉCTRICAS_1ra parte
Ev023: Consolidación GDB LÍNEAS ELÉCTRICAS_2da parte
Ev024: Revisión y entrega información expedientes Energía
Ev025: Archivo Perfilamiento de Datos para Articulación Gestión Información Geográfica
Ev026: Actualización en AGIL de GDB de inversión y compensaciones
Ev027: Georreferenciación línea proyecto LAM1818 y disposición en AGIL
Ev028: Atención e indicaciones sobre información geoespacial del tema Área Influencia en AGIL" 100% </t>
  </si>
  <si>
    <t>Se calcula el valor del indicador, teniendo en cuenta los % de avance y ponderaciones a cada indicador del índice, alcanzando el 94% al mes de mayo de la vigencia</t>
  </si>
  <si>
    <t>La dependencia ha avanzado en un 37,57% del plan de trabajo establecido para el cumplimiento de las apuestas del PETI en 2021</t>
  </si>
  <si>
    <t xml:space="preserve">Sin avance </t>
  </si>
  <si>
    <t>La dependencia ha avanzado en un 27% del plan de trabajo establecido para el cumplimiento de las apuestas del PETI en 2021</t>
  </si>
  <si>
    <t>2021_03 Ev001: 11093 Actualizar datos Tablero Control Conectante C1-C2
2021_03 Ev002: 11651 Adicionar datos Tablero Control Doña Juana
2021_03 Ev003: 11996 Adicionar datos Tablero Control Doña Juana
2021_04 Ev004: Plantilla tableros de control centro de monitoreo
2021_04 Ev005: Construcción de Basemap para tableros de control
Formula: 5 Actualizaciones realizadas / 5 Actualizaciones solicitadas (en mayo no se recibieron solicitudes, se mantiene avance)</t>
  </si>
  <si>
    <t>16 acciones ejecutadas/50 acciones proyectadas= 32% (en mayo no presenta avance)
2021_02 Ev001: Publicación de Núcleos de Deforestación
2021_02 EV002: Publicación del servicio Regionalización Guajira 2021
2021_02 EV003: Publicación del servicio Regionalización Mojana
2021_02 EV004: Publicación del servicio Regionalización Rio Bogotá
2021_02 EV005: Publicación del servicio Regionalización Tribuga
2021_03 Ev001: Publicación de Ocupaciones de Cauce
2021_03 Ev002: Publicación de Captaciones de Agua Superficial (puntos)
2021_03 Ev003: Publicación de Captaciones de Agua Superficial (tramos)
2021_03 Ev004: Publicación de Vertimientos en Fuente Superficial (puntos)
2021_03 Ev005: Publicación de Vertimientos en Fuente Superficial (tramos)
2021_03 Ev006: Publicación de Aspersión en Vía (Gestión Residuos Líquidos)
2021_03 Ev007: Publicación de Vertimiento en Suelo
2021_03 Ev008: Publicación de Punto de Muestreo de Agua Superficial
2021_03 Ev009: Publicación de Captaciones de Agua Subterránea
2021_03 Ev010: Publicación de Punto de Muestreo de Agua Subterránea
2021_03 Ev011: Publicación de Inyección</t>
  </si>
  <si>
    <t xml:space="preserve">Se han finalizado 5 de los 27 procesos de adquisición de equipos de hardware y/o herramientas de software planeados
</t>
  </si>
  <si>
    <t>El día 5 de mayo en horas de la noche se presentó un ataque de denegación de servicios contra el protal web de la entidad, lo cual generó la indisponibilidad de la misma.
Nota: Se incluye el reporte del incidente y el acta de la reunión de revisión realizada antes de la presentación del incidente.</t>
  </si>
  <si>
    <t>De las 27 adquisiciones propuestas para 2021, 5 ya se encuentran implementadas y en funcionamiento con licencimianto, soporte y garantia. Adicionalmente ya se presenta avance en 2 procesos del colocation que da un avance del 18,64</t>
  </si>
  <si>
    <t>1036 solicitudes resueltas en primera línea / 1183 solicitudes recibidas a través de Mesa de Ayuda acumulada en el periodo de mayo</t>
  </si>
  <si>
    <t>Se adjunta cuadro en excel (pestaña Proyectos Completados 2021) con relación de 15 RFCs implementados en el mes de Mayo de 2021 para un total acumulado de  51 en el año 2021. ( Archivo Seguimiento a Proyectos con corte a 20210531.xls pestaña Proyectos completados 2021)</t>
  </si>
  <si>
    <t>Al mes de mayo se tienen 3 proyectos priorizados en fase de despliegue.</t>
  </si>
  <si>
    <t>Se priorizaron 34 proyectos, de los cuales el porcentaje de avance es de 30%, que corresponden al promedio de los avances individuales de los 19 proyectos en curso (ver pestaña Proyectos en Curso de la tabla adjunta.</t>
  </si>
  <si>
    <t>El avance del plan de seguridad de la información se toma de las actividades establecidas en el "Plan de seguridad digital" donde se evidencia un avance a corte de mayo de 35,58%</t>
  </si>
  <si>
    <t>Se realizó el documento de entendimiento para identificar tendencias y posibles proveedores para la realización de pruebas de concepto de tecnologías de la revolución 4.0, del plan de trabajo, (EQUIVALENTE A 6%) + Se definió la estrategia de implementación de tecnologías emergentes en el marco del componente de Transformación Digital del Nuevo PETI (EQUIVALENTE AL 15%)</t>
  </si>
  <si>
    <t>El cálculo se basa en el uso de los sitemas más utilizados en la entidad:
SILA: 883 / 1437 = 61.45%
SIGPRO: 299 / 1437 = 20.81%
GESPRO: 169 / 1437 = 11.76%
SPGI: 78 / 93 = 83.87%
GESRIESGOS: 42 / 69 = 60.86%
OELA: 45/69 = 65.21%
OESA: 23/46 = 50%
Promedio 50.56%</t>
  </si>
  <si>
    <t xml:space="preserve">28 Herramientas o Acciones implmentadas/ 28 Herramientas o Acciones Aceptadas = 100% (en junio no presentó avance, se mantiene avance a mayo)
Ev001: Desarrollo de backend de validación de estructura de MAG (Esquema 2182, Topología, Relaciones, Coordenadas de Puntos, Áreas de Polígonos, Sistema de Referencia, Atributos Obligatorios).
Ev002: Implementar Script y servicio para consumir con el fin de estructurar los datos en File GDB y evitar usar la licencia de Data Reviewer for Server.
Ev003.Realizar la transacción de datos de envío y llegada entre el servidor de la aplicación (pruebas) y el file server en donde se alojarán las bases de datos geográficas.
Ev004: Esquema de integración del aplicativo de monitoreos, cargaWebMAG y geoportal.
Ev005: Se realiza la publicación de los geoprocesos que se ven intervenidos en la validación de la data geográfica.
Ev006: Se integra en el frontend la respuesta de los geoprocesos resultantes de las validaciones.
Ev007: Estadísticas de crecimiento GDB postgres en ANBOGSIGBD
Ev008: Archivo consolidado para Perfilamiento de Datos Geográficos
Ev009: Dudas sobre el Diccionario Datos MAG YNC PPI
Ev010: Propuesta plan para perfilamiento de datos
Ev011: Cambio de DB de la app SDE
Ev012: Optimización y republicación servicio Resultados ONG
Ev013: Alcance de la revisión topológica para el piloto radicación web PPII-YNC
Ev014: Solicitudes resueltas (16) de acceso a consultas de AGIL
Ev015: Capacitación Procuraduría plataforma AGÍL Y VITAL
Ev016: Capacitación ÁGIL nivel 1
Ev017: Séptima sesión virtual Entérese del manejo del Sistema ÁGIL
Ev018: Archivos para definición validador en línea info. geográfica PPII-YNC
Ev019: Enlace descarga GDB expedientes de hidrocarburos LAV0020-00-2018 y LAV0032-00-2019
Ev020: Diagrama de proceso GESTIÓN INFORMACIÓN RECURSO HÍDRICO versión 4
Ev021: Diagrama de proceso GESTIÓN INFORMACIÓN RECURSO HÍDRICO versión 5
Ev022: Consolidación GDB LÍNEAS ELÉCTRICAS_1ra parte
Ev023: Consolidación GDB LÍNEAS ELÉCTRICAS_2da parte
Ev024: Revisión y entrega información expedientes Energía
Ev025: Archivo Perfilamiento de Datos para Articulación Gestión Información Geográfica
Ev026: Actualización en AGIL de GDB de inversión y compensaciones
Ev027: Georreferenciación línea proyecto LAM1818 y disposición en AGIL
Ev028: Atención e indicaciones sobre información geoespacial del tema Área Influencia en AGIL" 100% </t>
  </si>
  <si>
    <t>Se calcula el valor del indicador, teniendo en cuenta los % de avance y ponderaciones a cada indicador del índice, alcanzando el 93,01% al mes de junio de la vigencia</t>
  </si>
  <si>
    <t>La dependencia ha avanzado en un 42,44% del plan de trabajo establecido para el cumplimiento de las apuestas del PETI en 2021</t>
  </si>
  <si>
    <t>9 solicitudes de actualización de tableros de control geoespacial atendidos / 9 solicitudes de actualización de  tableros de control geoespacial recibidas = 100%
Ev001: Reunión Tablero de Control Conectante
Ev002: CONCECTANTE C1-C1 actualizado
Ev003: Solicitud - cargue de información Tablero de Control proyecto Conectante C1-C2
Ev004: actualizar enlace  del dashboard Conectante C1-C2
Ev005: R Tablero de control
Ev006: Tabla Estandarizada Ruta del Cacao
Ev007: Tablas Tablero Control - Ruta Cacao
Ev008: Traslado de Tablero de ECOS en el portal
Ev009: Datos para el tablero METEOROLOGIA del proyecto Doña Juana</t>
  </si>
  <si>
    <t>A corte de junio 27 acciones ejecutadas/50 acciones proyectadas= 54%</t>
  </si>
  <si>
    <t>Para el mes de junio, de un total de 27 contratos, se presenta un avance de 10 procesos adjudicados tal como se plasma en la última columna de la tabla precedente. Para el siguiente reporte se solicitará la modificación de la metodología de medición.</t>
  </si>
  <si>
    <t>Según los pesos del licenciamiento, soporte y garantía:
% de avance = 40 (sumatoria herramientas con licencias, soporte y/o garantia) / 108 (sumatoria todos las herramientas planeadas por adquirir) = 37.03%</t>
  </si>
  <si>
    <t>Porcentaje de servicios de soporte informático atendidos Junio = Cantidad de solicitudes resueltas en primera línea / Cantidad total de solicitudes recibidas a través de Mesa de Ayuda acumulada en el periodo = 939/1079 = 87.02%</t>
  </si>
  <si>
    <t>Total acumulado de 5 actualizaciones y/o ajustes a las herramientas existentes. Adicionalmente según las fechas de los despliegues realizados se tiene:
Febrero: 1
Marzo: 4
Abril: 0
Mayo: 0 
Junio: 0</t>
  </si>
  <si>
    <t>Al mes de junio se tienen 9 proyectos priorizados en fase de despliegue.</t>
  </si>
  <si>
    <t>Se priorizaron 34 proyectos, de los cuales el porcentaje de avance es de 33.67%, que corresponden al promedio de los avances individuales de los 19 proyectos en curso (ver pestaña Proyectos en Curso de la tabla adjunta.</t>
  </si>
  <si>
    <t>El avance del plan de seguridad de la información se toma de las actividades establecidas en el "Plan de seguridad digital" donde se evidencia un avance a corte de mayo de 40,62%</t>
  </si>
  <si>
    <t xml:space="preserve">El avance de las actividades del plan de tratamiento de riesgos plasmado en la tabla llamada "PLan tratamiento riesgos" 63% actividad que presenta avance "GESTIÓN DE RIESGOS DE SEGURIDAD Y LA PRIVACIDAD DE LA INFORMACIÓN </t>
  </si>
  <si>
    <t>Se registra un avance del 59% de avance del plan de trabajo del Plan de tecnologías emergentes</t>
  </si>
  <si>
    <t>El cálculo se basa en el uso de los sitemas más utilizados en la entidad:
SILA: 908 / 1440 = 63.05%
SIGPRO: 375 / 1440 = 26.04%
GESPRO: 192 / 1440 = 13.33%
SPGI: 71 / 94 = 75531%
GESRIESGOS: 24 / 72 = 33.33 %
OELA: 42/71 = 59.15%
OESA: 16/47 =34.04%
Promedio = 43,49%</t>
  </si>
  <si>
    <t>Para el mes de abril se realizaron 11 oralidades, 9 autos y 1 resolución para un total de 21 actos administrativos.</t>
  </si>
  <si>
    <t>A corte 30 de abril de 2021 se han expedido 85 actos administrativos, los cuales 78 corresponden a vigencia actual y 7 a rezagos vigencia 2020</t>
  </si>
  <si>
    <t>Para el mes de abril la región de MMCC realizo 11 actas 4 autos y 3 resoluciones, el acumulado para el mes de abril es de 39 actos administrativos, (conformados por 25 actas, 8 autos y 6 resoluciones), de las 298 programadas como meta.
Es importante recordar que la región de MMCC no contempla rezagos 2020.</t>
  </si>
  <si>
    <t>A corte 30 de abril del 2021, la Región Orinoquia Amazonas, expidió 62 actos administrativos que acogen el seguimiento a proyectos licenciados, de los cuales 18 actos administrativos corresponden a rezagos vigencia 2020 y 44 actos administrativos corresponden a vigencia actual</t>
  </si>
  <si>
    <t>A corte de 30 de abril de 2021 el grupo (Seguimiento) de Agroquímicos y Proyectos Especiales ha expedido 184 actos administrativos, para un total de 503 actos administrativo-acumulados en el año 2021 de 1584 programados como meta.
Cabe mencionar que en el mes de marzo no se incluyó 1 (uno) acto admirativo, por lo tanto, fueron sumados en el mes de abril.</t>
  </si>
  <si>
    <t>Al mes de abril de 2021 se emitieron 744 actos administrativos, de los cuales 710 son vigencia 2021 (547 autos, 147 oralidades y 16 resolución) y 34 son rezagos (24 Autos y 10 Oralidades)</t>
  </si>
  <si>
    <t>A corte de 30 de abril se han aprobado 349  proyectos licenciados objeto de seguimiento con Seguimiento Documental Espacial.  Ahora bien en atención a lo observado por Cindy Huertas, se ajusta el adjunto cambiando el nombre de las filas: "Proyectos con Índice de Desempeño Ambiental en implementación".
Es de destacar, que no existe ningún cambio o impacto en los valores PAI reportados.</t>
  </si>
  <si>
    <t>A corte de 30 de abril se han aprobado 349  proyectos licenciados objeto de seguimiento con Seguimiento Documental Espacial.  Ahora bien en atención a lo observado por Cindy Huertas, se ajusta el adjuntocambiando el nombre de las filas: "Proyectos con Índice de Desempeño Ambiental en implementación".
Es de destacar, que no existe ningún cambio o impacto en los valores PAI reportados.</t>
  </si>
  <si>
    <t>En abril hubo pronunciamiento acumulado sobre 1059  informes de cumplimiento ambiental verificados preliminarmente, frente a 1189 informes de cumplimiento ambiental radicados por los titulares de los proyectos, es decir un 89% de gestión. Se hizo ajuste del ajunto teniendo en cuenta que este indicador es acumulativo</t>
  </si>
  <si>
    <t>A corte del 30 de abril se han aprobado un total de 2098,05 hectaréas  para desarrollar acciones de conservación, preservación y restauración con cargo al 1% y la compensación ambiental en las áreas habilitadas por la estrategia para Compensación y 1%</t>
  </si>
  <si>
    <t>A corte de 30 de abril se Número 55 conceptos técnicos de seguimiento  con participación del equipo de valoración económica sobre 56 conceptos técnicos de seguimiento asignados al equipo de valoración económica</t>
  </si>
  <si>
    <t xml:space="preserve">A corte del 30 de abril se han emitido 4 Actos administrativos administrativos que acogen el seguimiento realizado a los expedientes priorizados de contingencias operacionales recurrentes. </t>
  </si>
  <si>
    <t>Para el mes de abril se realizaron 11 visitas, 3 guiadas y 8 presenciales, se reportan dos visitas guiadas de marzo correspondientes a los expedientes LAM6061 y LAM2980, que no fueron reportadas en marzo</t>
  </si>
  <si>
    <t>Para el mes de abril se realizaron 9 conceptos técnicos con visita</t>
  </si>
  <si>
    <t>Para el mes de abril se realizaron 9 conceptos técnicos documentales.</t>
  </si>
  <si>
    <t>Para el mes de abril se realizaron 11 reuniones de control y seguimiento ambiental, 9 autos y 1 resolución para un total de 21 actos administrativos.</t>
  </si>
  <si>
    <t>A corte 30 de abril de 2021 la Región realizó 56 visitas de seguimiento presencial y 31 visitas guiadas.</t>
  </si>
  <si>
    <t>A corte 30 de abril de 2021 la Región elaboró 60 CT con visita</t>
  </si>
  <si>
    <t xml:space="preserve">A corte 30 de abril de 2021 la Región elaboró 34 CT documental de seguimiento   </t>
  </si>
  <si>
    <t>A corte del 30 de abril de 2021 se tiene un avance de 71% de oralidades, correspondiente a 60 actas ejecutadas.</t>
  </si>
  <si>
    <t>Para el mes de abril la región de MMCC realizo 22 visitas (4 presenciales y 14 guiadas), el acumulado para el mes de abril es de 63 visitas (17 presenciales, 46 guiadas), de las 212 programadas como meta.
Es importante recordar que la región de MMCC no contempla rezagos 2020.</t>
  </si>
  <si>
    <t>Para el mes de abril la región de MMCC realizo 14 conceptos técnicos con visita, el acumulado para el mes de abril es de 32 conceptos técnicos con visitas, de las 212 programadas como meta.
Es importante recordar que la región de MMCC no contempla rezagos 2020</t>
  </si>
  <si>
    <t>Para el mes de abril la región de MMCC realizo 4 conceptos técnicos documentales, el acumulado para el mes de abril es de 16 conceptos técnicos documentales, de los 86 programados como meta.
Es importante recordar que la región de MMCC no contempla rezagos 2020</t>
  </si>
  <si>
    <t>Para el mes de abril la región de MMCC presidio 11 Actas, el acumulado al mes de abril es de 25 Actas (Avance del 64%), los actos administrativos totales son 39 (conformados por 25 actas, 8 autos y 6 resoluciones). de los 298 Programados.
Es importante recordar que la región de MMCC no contempla rezagos 2020.</t>
  </si>
  <si>
    <t>A corte 30 de abril del 2021, la Región Orinoquia Amazonas realizó 65 visitas, de los cuales 26 corresponden a visitas presenciales, y 39 corresponden a visitas Guiadas</t>
  </si>
  <si>
    <t>A corte 30 de abril del 2021, la Región Orinoquia Amazonas, expidió 36 CT con visita, de los cuales 23 corresponden a CT de visitas guiadas y 13 corresponde a CT de visita presencial.</t>
  </si>
  <si>
    <t>A corte 30 de abril del 2021, la Región Orinoquia Amazonas, expidió 27 CT documental.</t>
  </si>
  <si>
    <t>A corte 30 de abril del 2021, la Región Orinoquia Amazonas expidió 41 Actas de Oralidad de las cuales 6 actas corresponden a rezagos vigencia 2020 y 35 actas corresponden  a vigencia actual.</t>
  </si>
  <si>
    <t>A corte de 30 de abril de 2021 el grupo (Seguimiento) de Agroquímicos y Proyectos Especiales ha realizado 149 conceptos técnicos, para un total de 539 conceptos técnicos acumulados en el año 2021 de 1584 programados como meta.</t>
  </si>
  <si>
    <t>No Aplica actualmente el indicador para este Grupo por eso se reporta 0%. TRIMESTRAL</t>
  </si>
  <si>
    <t>Durante el mes abril de 2021 se realizaron 266 visitas, de las cuales 138 fueron presenciales y 128 guiadas</t>
  </si>
  <si>
    <t>Al mes de abril de 2021, se realizaron 800 conceptos técnicos, los cuales fueron 637 documentales y 163 con visita</t>
  </si>
  <si>
    <t>Durante el mes de abril de 2021 se tuvo un avance del 65% en las oralidades, dado que de los 241 actos administrativos generados por los grupos Alto Magdalena-Cauca, Caribe - Pacifico, Magdalena Medio - Cauca – Catatumbo y Orinoquia – Amazonas, 157 fueron por Oralidad.</t>
  </si>
  <si>
    <t xml:space="preserve">Al mes de abril de 2021, se realizó seguimiento a 178 expedientes en la vigencia 2021 de los grupos Alto Magdalena-Cauca, Caribe - Pacifico, Magdalena Medio - Cauca – Catatumbo y Orinoquia – Amazonas, de los 1358 expedientes activos objeto de seguimiento objeto de seguimiento en etapa de construcción, operación y desmantelamiento y/o abandono. </t>
  </si>
  <si>
    <t>Al mes de abril se realizó seguimiento a 21 proyectos en construcción de los 141 identificados en esta etapa.</t>
  </si>
  <si>
    <t>A 30 de abril se avanzó en 105  conceptos técnicos numerados que incluyen el componente de compensación e inversión del 1% en etapa de seguimientos sobre 115  conceptos técnicos revisados por profesionales del equipo de compensación e inversión del 1% en etapa de seguimiento. Acorde a las observaciones se hizo ajuste de las fechas de la columna L de la pestaña denominada "Indicador 1" dado que algunas estaban traslocadas por lo que no coincidia el reporte. Se hizose modificación del adjunto porque el concepto técnico 1120 del LAM0443 se encuentra repetido</t>
  </si>
  <si>
    <t>A corte del 30 de abril se han numerado el 75% de los conceptos técnicos de seguimiento con participación del equipo de contingencias es decir 103 Conceptos finalizados sobre 138 asignados</t>
  </si>
  <si>
    <t>Para el mes de mayo se realizaron 12 oralidades, 9 autos de seguimiento y 1 resolución para un total de 22 actos administrativos.</t>
  </si>
  <si>
    <t>A corte 31 de mayo se han expedido 121 actos administrativos, los cuales 114 corresponden a vigencia actual y 7 a rezagos vigencia 2020.</t>
  </si>
  <si>
    <t>Para el mes de mayo la región de MMCC realizo 9 actas 8 autos y 1 resoluciones, el acumulado para el mes de mayo es de 57 actos administrativos, (conformados por 34 actas, 16 autos y 7 resoluciones), de las 298 programadas como meta.
Es importante recordar que la región de MMCC no contempla rezagos 2020.</t>
  </si>
  <si>
    <t>A corte 31 de mayo del 2021, la Región Orinoquia Amazonas, expidió 92 actos administrativos que acogen el seguimiento a proyectos licenciados, de los cuales 18 actos administrativos corresponden a rezagos vigencia 2020 y 74 actos administrativos corresponden a vigencia actual.</t>
  </si>
  <si>
    <t>A corte de 31 de mayo de 2021 el grupo (Seguimiento) de Agroquímicos y Proyectos Especiales ha expedido 145 actos administrativos, para un total de 649 actos administrativo-acumulados en el año 2021 de 1584 programados como meta.</t>
  </si>
  <si>
    <t>Al mes de mayo de 2021 se emitieron 996 actos administrativos, de los cuales 962 son vigencia 2021 (728 autos, 204 oralidades y 30 resolución) y 34 son rezagos (24 Autos y 10 Oralidades)</t>
  </si>
  <si>
    <t>A 31 de mayo se adelanto el Seguimiento documental Espacial a 454 Proyectos licenciados, es decir un avance del 36%</t>
  </si>
  <si>
    <t>A 31 de mayo se les ha aplicado  la metodología del Indice de Desempeño Ambiental a 454 proyectos, es decir el 36% de 1265</t>
  </si>
  <si>
    <t>A corte del 31 de mayo se han gestionado 1428 informes de cumplimiento ambiental verificados preliminarmente, frente a 1467 los informes de cumplimiento ambiental radicados por los titulares de los proyectos.</t>
  </si>
  <si>
    <t>Frente al avance a 31 de mayo se han aprobado planes en 2872,08 Ha  donde se desarrollen acciones de conservación. preservación y restauración con cargo al 1% y a la compensación ambiental que se encuentran localizadas en las  áreas habilitadas por la estrategia para Compensación y 1%</t>
  </si>
  <si>
    <t>A 31 de mayo se han numerado 84  conceptos técnicos de seguimiento, con participación del equipo de valoración económica  sobre 85   conceptos técnicos de seguimiento asignados al equipo de valoración económica</t>
  </si>
  <si>
    <t xml:space="preserve">A corte del 31 de mayo se han emitido 8 Actos administrativos administrativos que acogen el seguimiento realizado a los expedientes priorizados de contingencias operacionales recurrentes. </t>
  </si>
  <si>
    <t>En el mes de mayo se realizaron 12 visitas, 3 presenciales y 9 guiadas; en el mes de febrero no se reportó la visita al expediente LAM2307 que se llevo a cabo del 22 al 26 de febrero de 2021,por lo tanto se reportan 13 visitas para el mes de mayo.</t>
  </si>
  <si>
    <t>En el mes de mayo se elaboraron 16 conceptos técnicos con visita.</t>
  </si>
  <si>
    <t>En el mes de mayo se elaboraron 5 conceptos técnicos documentales.</t>
  </si>
  <si>
    <t>En el mes de mayo se hicieron 12 oralidades para un total de 43 oralidades de 77 actos administrativos lo que equivale al 56%.</t>
  </si>
  <si>
    <t>A corte 31 de mayo de 2021 la Región realizó 66 visitas de seguimiento presencial y 42 visitas guiadas.</t>
  </si>
  <si>
    <t>A corte 31 de mayo de 2021 la Región elaboró 86 CT con visita</t>
  </si>
  <si>
    <t>A corte del 31 de mayo la región elaboró 41 CT documentales. 
Se aclara que, si bien para el reporte de abril fueron reportados 34 CT, y en la BD de mayo aparecen 35 CT, esto se debe a que fue incluido el expediente LAM2622 (CT 1668 07/04/2021) ahora en mayo, para un total de 41 CT.</t>
  </si>
  <si>
    <t>A corte del 31 de mayo la región tiene un avance de oralidades del 68%</t>
  </si>
  <si>
    <t>Para el mes de mayo la región de MMCC realizo 15 visitas (3 presenciales y 12 guiadas), el acumulado para el mes de mayo es de 78 visitas (20 presenciales, 58 guiadas), de las 212 programadas como meta.
Es importante recordar que la región de MMCC no contempla rezagos 2020.
Es importante recordar que la región de MMCC no contempla rezagos 2020.</t>
  </si>
  <si>
    <t>Para el mes de mayo la región de MMCC realizo 14 conceptos técnicos con visita, el acumulado para el mes de mayo es de 46 conceptos técnicos con visitas, de las 212 programadas como meta.
Es importante recordar que la región de MMCC no contempla rezagos 2020.</t>
  </si>
  <si>
    <t>Para el mes de mayo la región de MMCC realizo 6 conceptos técnicos documentales, el cumulado para el mes de mayo es de 22 conceptos técnicos documentales, de los 86 programados como meta.
Es importante recordar que la región de MMCC no contempla rezagos 2020.</t>
  </si>
  <si>
    <t>Para el mes de mayo la región de MMCC presidio 9 Actas, el acumulado al mes de mayo es de 34 Actas (Avance del 60%), los actos administrativos totales son 57 (conformados por 34 actas, 16 autos y 7 resoluciones). de los 298 Programados.
Es importante recordar que la región de MMCC no contempla rezagos 2020.</t>
  </si>
  <si>
    <t>A corte 31 de mayo del 2021, la Región Orinoquia Amazonas realizó 81 visitas, de los cuales 27 corresponden a visitas presenciales, y 54 corresponden a visitas Guiadas.</t>
  </si>
  <si>
    <t>A corte 31 de mayo del 2021, la Región Orinoquia Amazonas, expidió 54 CT con visita, de los cuales 30 corresponden a CT de visitas guiadas y 24 corresponde a CT de visita presencial.</t>
  </si>
  <si>
    <t>A corte 31 de mayo del 2021, la Región Orinoquia Amazonas, expidió 37 CT documental.</t>
  </si>
  <si>
    <t>A corte 31 de mayo del 2021, la Región Orinoquia Amazonas tuvo un avance de 60% en actas de oralidad.</t>
  </si>
  <si>
    <t>A corte de 31 de mayo de 2021 el grupo (Seguimiento) de Agroquímicos y Proyectos Especiales ha realizado 138 conceptos técnicos, para un total de 677 conceptos técnicos acumulados en el año 2021 de 1584 programados como meta.</t>
  </si>
  <si>
    <t>Durante el mes mayo de 2021 se realizaron 331 visitas, de las cuales 156 fueron presenciales y 175 guiadas</t>
  </si>
  <si>
    <t>Al mes de mayo de 2021, se realizaron 1040 conceptos técnicos.</t>
  </si>
  <si>
    <t>Durante el mes de mayo de 2021 se tuvo un avance del 62% en las oralidades, dado que de los 347 actos administrativos generados por los grupos Alto Magdalena-Cauca, Caribe - Pacifico, Magdalena Medio - Cauca – Catatumbo y Orinoquia – Amazonas, 214 fueron por Oralidad.</t>
  </si>
  <si>
    <t xml:space="preserve">Al mes de mayo de 2021, se realizó seguimiento a 301 expedientes en la vigencia 2021 de los grupos Alto Magdalena-Cauca, Caribe - Pacifico, Magdalena Medio - Cauca – Catatumbo y Orinoquia – Amazonas, de los 1358 expedientes activos objeto de seguimiento objeto de seguimiento en etapa de construcción, operación y desmantelamiento y/o abandono. </t>
  </si>
  <si>
    <t>Al mes de mayo se realizó seguimiento a 30 proyectos en construcción de los 151 identificados en esta etapa.</t>
  </si>
  <si>
    <t>A corte del 31 de mayo se han  numerado 151 conceptos técnicos  que incluyen el componente de compensación e inversión del 1% en etapa de seguimiento, sobre 159 conceptos técnicos a gestionar revisión  por profesionales del equipo de compensación e inversión del 1%. Es decir un avance del 95%.</t>
  </si>
  <si>
    <t xml:space="preserve">A corte del 31 de mayo se han numerado el 89% de los conceptos técnicos de seguimiento con participación del equipo de contingencias es decir 156 Conceptos finalizados sobre 175 asignados </t>
  </si>
  <si>
    <t>En el mes de junio se hicieron 12 oralidades, 5 autos de seguimiento y 1 resolución, para un total de 95 actos administrativos acumulados a junio.</t>
  </si>
  <si>
    <t>A corte 30 de junio se han expedido 152 actos administrativos, los cuales 145 corresponden a vigencia actual y 7 a rezagos vigencia 2020.</t>
  </si>
  <si>
    <t>Para el mes de junio la región de MMCC realizo 15 actas 2 autos y 2 resoluciones, el acumulado para el mes de junio es de 76 actos administrativos, (conformados por 49 actas, 18 autos y 9 resoluciones), de las 298 programadas como meta.
Es importante recordar que la región de MMCC no contempla rezagos 2020.</t>
  </si>
  <si>
    <t>A corte 30 de Junio del 2021, la Región Orinoquia Amazonas, expidió 123 actos administrativos que acogen el seguimiento a proyectos licenciados, de los cuales 18 actos administrativos corresponden a rezagos vigencia 2020 y 105 actos administrativos corresponden a vigencia actual.</t>
  </si>
  <si>
    <t>A corte de 30 de junio de 2021 el grupo (Seguimiento) de Agroquímicos y Proyectos Especiales ha expedido 140 actos administrativos, para un total de 789 actos administrativo-acumulados en el año 2021 de 1584 programados como meta.</t>
  </si>
  <si>
    <t>Al mes de junio de 2021 se emitieron 1235 actos administrativos, de los cuales 1201 son vigencia 2021 (895 autos, 270 oralidades y 36 resolución) y 34 son rezagos (24 Autos y 10 Oralidades)</t>
  </si>
  <si>
    <t>A corte de  30 de junio se han evaluado 564 proyectos a los cuales se les ha aplicado el Indice de desempeño Ambiental, es decir el 45% de los proyectos licenciados objeto de seguimiento con Indice de desempeño ambiental</t>
  </si>
  <si>
    <t>A corte de  30 de junio se han evaluado 564 proyectos a los cuales se les ha aplicado el Seguimiento Documental Espacial, es decir el 45% de los proyectos licenciados objeto de seguimiento con Seguimiento Documental Espacial</t>
  </si>
  <si>
    <t>Se han analizado 1785  informes de cumplimiento ambiental verificados preliminarmente, frente a 1878  informes de cumplimiento ambiental radicados por los titulares de los proyectos a corte de 30 de junio</t>
  </si>
  <si>
    <t>A 30 de junio se evaluaron un acumulado 3139,22  hectaréas aprobadas para desarrollar acciones de conservación, preservación y restauración con cargo al 1% y la compensación ambiental en las áreas habilitadas por la estrategia para Compensación y 1%</t>
  </si>
  <si>
    <t>A 30 de junio se han numerado 96 conceptos técnicos de seguimiento, con participación del equipo de valoración económica  sobre 97 conceptos técnicos de seguimiento asignados al equipo de valoración económica, es decir el 99%.</t>
  </si>
  <si>
    <t>A corte de 30 de junio se emitió un acumulado de 16 visitas, 11 conceptos técnicos y 8 actos administrativos que acogen el seguimiento realizado a los expedientes priorizados de contingencias operacionales recurrentes</t>
  </si>
  <si>
    <t>Durante el mes junio de 2021 se realizaron 413 visitas, de las cuales 202 fueron presenciales y 211 guiadas.</t>
  </si>
  <si>
    <t>Durante el mes de junio de 2021, se realizaron 1291 conceptos técnicos, los cuales fueron 980 documentales y 310 con visita</t>
  </si>
  <si>
    <t>Durante el mes de junio de 2021 se tuvo un avance del 63% en las oralidades, dado que de los 446 actos administrativos generados por los grupos Alto Magdalena-Cauca, Caribe - Pacifico, Magdalena Medio - Cauca – Catatumbo y Orinoquia – Amazonas, 281 fueron por Oralidad.</t>
  </si>
  <si>
    <t xml:space="preserve">Al mes de junio de 2021, se realizó seguimiento a 382 expedientes en la vigencia 2021 de los grupos Alto Magdalena-Cauca, Caribe - Pacifico, Magdalena Medio - Cauca – Catatumbo y Orinoquia – Amazonas, de los 1358 expedientes activos objeto de seguimiento objeto de seguimiento en etapa de construcción, operación y desmantelamiento y/o abandono. </t>
  </si>
  <si>
    <t>Al mes de junio se realizó seguimiento a 38 proyectos en construcción de los 153 identificados en esta etapa.</t>
  </si>
  <si>
    <t>Para el mes de junio 9 proyectos fueron acogidos por el instrumentos de matriz de obligacion y en 1 por desmantelamiento y abandono, teniendo un avance del 1% en el segundo trimestre.</t>
  </si>
  <si>
    <t xml:space="preserve">En el mes de junio se hicieron 15 visitas, 9 presenciales y 6 guiadas </t>
  </si>
  <si>
    <t>En el mes de junio se hicieron 13 conceptos tecnicos con visita, 8 con visita guiada y 5 con visita presencial.</t>
  </si>
  <si>
    <t>34 Conceptos técnicos de seguimiento documental de proyectos priorizados en la vigencia actual</t>
  </si>
  <si>
    <t>En el mes de junio se hicieron 12 reuniones de control y seguimiento ambiental, en total se han realizado 55 reuniones de control y seguimiento ambiental de 95 actos administrativos, lo que equivale al 58%</t>
  </si>
  <si>
    <t>A 30 de junio de 2021 el grupo de alto magdalena - Cauca, reporta 0% teniendo en cuenta que no se han implementado instrumentos porque no hay proyectos que hayan informado inicio de plan de desmantelamiento y abandono. Se acordó implementar la matriz de obligaciones únicamente para proyectos que apenas empiezan seguimiento.</t>
  </si>
  <si>
    <t>A corte 30 de junio de 2021 la Región realizó 87 visitas de seguimiento presencial y 50 visitas guiadas.
Se indica que para el mes de mayo se había reportado visita del LAM6725-00, en atención a una queja interpuesta por un senador, dado los resultados del seguimiento al no generar requerimientos, se procede a dar respuesta mediante oficio, para lo cual se excluye esta visita del reporte de mayo.</t>
  </si>
  <si>
    <t>A corte 30 de junio de 2021 la Región elaboró 111 CT con visita</t>
  </si>
  <si>
    <t>A corte 30 de junio de 2021 la Región elaboró 48 CT documental de seguimiento    
Se sube BD ajustada conforme lo solicitado.</t>
  </si>
  <si>
    <t>A junio en total se han realizado 107 reuniones de control y seguimiento ambiental de 152 actos administrativos, lo que equivale al 70%</t>
  </si>
  <si>
    <t>Para el mes de junio a 5 conceptos técnicos se les aplicó instrumentos para un avance del 3%</t>
  </si>
  <si>
    <t xml:space="preserve">Para el mes de junio la región de MMCC realizo 23 visitas (11 presenciales y 12 guiadas), el acumulado para el mes de junio es de 101 visitas (31 presenciales, 70 guiadas), de las 212 programadas como meta.
</t>
  </si>
  <si>
    <t>Para el mes de junio la región de MMCC realizo 19 conceptos técnicos con visita, el acumulado para el mes de junio es de 65 conceptos técnicos con visitas, de las 212 programadas como meta.</t>
  </si>
  <si>
    <t>Para el mes de junio la región de MMCC realizo 7 conceptos técnicos documentales, el acumulado para el mes de junio es de 29 conceptos técnicos documentales, de los 86 programados como meta.</t>
  </si>
  <si>
    <t>Para el mes de junio la región de MMCC presidio 15 Actas, el acumulado al mes de mayo es de 49 Actas (Avance del 64%), los actos administrativos totales son 76 (conformados por 49 actas, 18 autos y 9 resoluciones). de los 298 Programados.</t>
  </si>
  <si>
    <t>Para el segundo trimestre la region MMCC no hizo uso del instrumento desmantelamiento y abandono, teniendo en cuenta que las empresas en seguimiento no han reportado el inicio de la etapa.</t>
  </si>
  <si>
    <t>A corte 30 de junio del 2021, la Región Orinoquia Amazonas realizó 96 visitas, de los cuales 32 corresponden a visitas presenciales, y 64 corresponden a visitas Guiadas.
Se informa para este corte lo siguiente frente al indicador de visita:
LAM3341, Se había indicado con anterioridad que dicho Lam se le haría visita de seguimiento presencial del 23 al 25 de marzo del 2021, pero de acuerdo con lo comunicado por el líder que tiene asignado el proyecto, señala que para dicho expediente no se llevó a cabo la visita por que la empresa canceló la visita por temas del COVID.</t>
  </si>
  <si>
    <t>A corte 30 de junio del 2021, la Región Orinoquia Amazonas, expidió 70 CT con visita, de los cuales 41 corresponden a CT de visitas guiadas y 29 corresponde a CT de visita presencial.</t>
  </si>
  <si>
    <t>A corte 30 de junio del 2021, la Región Orinoquia Amazonas, expidió 48 CT documental.</t>
  </si>
  <si>
    <t>A corte 30 de junio del 2021, la Región Orinoquia Amazonas tuvo un avance de 57% en actas de oralidad.</t>
  </si>
  <si>
    <t>Para este primer semestre se avanzó en la aplicación de instrumentos a 5 de los conceptos técnicos finalizados</t>
  </si>
  <si>
    <t>A corte de 30 de junio de 2021 el grupo (Seguimiento) de Agroquímicos y Proyectos Especiales ha realizado 145 conceptos técnicos, para un total de 822 conceptos técnicos acumulados en el año 2021 de 1584 programados como meta.</t>
  </si>
  <si>
    <t>Actualmente este indicador no aplica para el grupo Agroquímicos y Proyectos Especiales dado que a la fecha no se usan los aplicativos de SIPTA.</t>
  </si>
  <si>
    <t>A corte de 30 de junio se han  numerado 182 conceptos técnicos  que incluyen el componente de compensación e inversión del 1% en etaTerminarpa de seguimiento, sobre 191 conceptos técnicos a gestionar revisión  por profesionales del equipo de compensación e inversión del 1%. Es decir un avance del 95%.</t>
  </si>
  <si>
    <t>a corte de 30 de junio se han emitido 197 conceptos técnicos de seguimiento numerados con participación del equipo de contingencias, sobre un total de 217  conceptos técnicos de seguimiento asignados al equipo de contingencias, para un avance del 91%</t>
  </si>
  <si>
    <t>En el mes de marzo las noticias positivas fueron un 53% producto de 60 noticias positivas sobre un total 140.</t>
  </si>
  <si>
    <t>En el mes de abril las noticias positivas fueron un 51% producto de 92 noticias positivas sobre un total 180.</t>
  </si>
  <si>
    <t>Para el mes de mayo se registró un total de 32 noticias, de las cuales 14 fueron positivas, lo que corresponde a un 44%.</t>
  </si>
  <si>
    <t>Para junio se registro un total de 51 noticias de las cuales 32 son positivas, lo que corresponde a un 63%</t>
  </si>
  <si>
    <t>Para el mes de abril se gestionaron 67 notas externas en temas relacionados a: PECIG, Sociedades mineras de Boquerón, Plan Bonito y El Hatillo (Cesar)</t>
  </si>
  <si>
    <t>Para el mes de mayo se gestionaron 10 noticias en los distintos medios de comunicación</t>
  </si>
  <si>
    <t>Para junio se gestionaron 24 noticias en los distintos medios de comunicación.</t>
  </si>
  <si>
    <t>Para el mes de abril se realizaron (2) campañas de los siguientes temas: 1. GESPRO 2. Buenas conductas para un buen ambiente laboral</t>
  </si>
  <si>
    <t>Para el mes de mayo se realizaron 2 campañas: 1. Reuniones Efectivas 2. Jóvenes ANLA (Programa de primer empleo)</t>
  </si>
  <si>
    <t>Para junio se realizaron (2) campañas: 1. Somos Autoridad 2.Rendición de cuentas</t>
  </si>
  <si>
    <t>Para el mes de abril se registraron 123 publicaciones en la página web y 302 publicaciones en redes sociales (Facebook, Twitter, LinkedIn y Youtube) </t>
  </si>
  <si>
    <t>Para el mes de mayo se realizaron 62 publicaciones en la página web de la entidad y se reportaron 296 publicaciones en redes sociales.</t>
  </si>
  <si>
    <t>Para junio se realizaron 58 publicaciones en la página web de la entidad y se reportaron 369 publicaciones en redes sociales.</t>
  </si>
  <si>
    <t>Durante este periodo se realizaron 75 publicaciones en los principales canales de comunicación interna de la entidad, como: Carteleras digitales, correo electrónico, Intranet, La Ronda Semanal.</t>
  </si>
  <si>
    <t>Se realizaron la publicación de 155 contenidos en canales internos durante el mes de febrero, principalmente en el correo de institucional. Correo de comunicaciones: 45, Intranet: 100, Videos internos: 5, Fondos de escritorios: 1, Rondas: 4</t>
  </si>
  <si>
    <t>Para el mes de marzo se registraron 38 publicaciones en la intranet, se enviaron 58 correos masivos institucionales, fondos de escritorio: 1, videos internos: 1 y rondas: 5</t>
  </si>
  <si>
    <t>Para el mes de abril se registraron 49 publicaciones en la Intranet, se enviaron 46 correos masivos institucionales, fondos de escritorio: 1, videos internos: 6 y rondas: 5</t>
  </si>
  <si>
    <t>Para el mes de mayo se enviaron 51 correos internos y se realizaron 128 publicaciones en la intranet de la entidad, fondos de escritorio: 1, videos internos: 7 y rondas: 4</t>
  </si>
  <si>
    <t>Para junio se enviaron 54 correos internos y se realizaron 73 publicaciones en la intranet de la entidad, fondos de escritorio: 1, videos internos: 9 y rondas: 4</t>
  </si>
  <si>
    <t>Para el mes de abril se utilizaron 10 canales de comunicación interno y externo con contenidos creados para cada uno de ellos.</t>
  </si>
  <si>
    <t>Para el mes de mayo se utilizaron 10 canales de comunicación interna y externa, con contenidos creados para cada uno de ellos.</t>
  </si>
  <si>
    <t>Para junio se publicaron contenidos en los 10 canales de comunicación interna y externa.</t>
  </si>
  <si>
    <t>En el mes de junio se reporta un 99% de avance en los planes de acción de los POA priorizados</t>
  </si>
  <si>
    <t>La auditoría interna del Sistema de gestión de calidad se llevó a cabo entre el 30 de agosto y el 3 de septiembre por la firma SGS</t>
  </si>
  <si>
    <t>A corte 31 de julio el avance de los módulos s es de un 65%</t>
  </si>
  <si>
    <t>A corte 31 de agosto el avance de los módulos es de un 65%</t>
  </si>
  <si>
    <t>A corte 30 de septiembre  el avance de los módulos es de un 65%</t>
  </si>
  <si>
    <t>A corte 31 de julio se tiene un ponderado de 61.74% en indicadores de producto del PAI</t>
  </si>
  <si>
    <t>A corte 31 de agosto se tiene un ponderado de 68.23% en indicadores de producto del PAI</t>
  </si>
  <si>
    <t>A corte 31 de julio se realizó el seguimiento del proceso del Plan de Acción Institucional (Evaluación PAI)</t>
  </si>
  <si>
    <t>Durante el mes de septiembre se realizó el octavo  seguimiento al PAI. A corte 30 de septiembre se tiene un acumulado de 16 seguimientos: 8 reportes de PAI, 3 reportes de estrategia de evaluación, 2 mapa de riesgos, 2 seguimiento al PAAC y evaluación del PAI</t>
  </si>
  <si>
    <t>Durante el mes de agosto se realizó el sexto  seguimiento al PAI. A corte 30 de agosto se tiene un acumulado de 12 seguimientos: 7 reportes de PAI, 2 reportes de estrategia de evaluación, mapa de riesgos, seguimiento al PAAC y evaluación del PAI</t>
  </si>
  <si>
    <t>Durante septiembre se ejecutaron las siguientes actividades mas relevantes en el sistema de gestión de de calidad:
*Avance en el  documento final de contexto y actualzación de la politica de adminstración de riesgos.
* Retroalimentación de la necsidad de indentificar requistos para las SNC a los coordinadores de la SAF
*  Se aprobaron riesgos de corrupción de los procesos de direccionamiento y planeación, seguimiento de licencias ambientales, procesos disciplinarios, gestión financiera y control, evaluación y mejora.
* Se llevó a cabo la auditoria interna al sistema de calidad con 17 observaciones que actualmente se están gestionando a través de un plan de trabajo y 4 no conformidades que actualmente se estan formulando los planes de mejoramiento.
Aunque se evidencia un avance significativo, se presentan algunas actividades que no se han cuemplido y actualmente se están gestonando:
*. Formulación de acciones asociadas a los resultados de las encuestas de satisfacción de los usuarios de la entidad.
* Pendiente 4 actividades asociadas a la estrategia y plan 376 de gestión de cambiodel mes de agosto y 5 de septiembre.
* Inicio de actividades asociadas a la contratación de la auditoria de certificación, pues el comté directivo tomó la decisión de llevar a  aco la auditoria el I trimestre de 2021.</t>
  </si>
  <si>
    <t>Se evidencia un avance importante durante el mes de agosto, sin embargo, se identificó que no se cumplieron las siguientes actividades las cuales quedan re programadas para el siguiente periodo (septiembre):
1. Contexto incorporado en a política de administración de riesgos
2. SNC para la SAF
3. Formulación de acciones asociadas a los resultados de las encuestas de satisfacción de los usuarios de la entidad.
4. Pendiente 9 actividades asociadas a la estrategia y plan 376 de gestión de cambio
5. Inicio de actividades asociadas a la contratación de la auditoria de certificación.
Por otro lado se resalta el avance de actividades como documento final de contexto, retroalimentación de SNC, publicación de indicadores del SIG, monitoreo cuatrimestral de riesgos e  identificación de riesgos de corrupción.</t>
  </si>
  <si>
    <t>Durante el mes de julio se avanzó principalmente en las siguientes actividades:
1. Contexto: Se avanzó en la definición de directrices para el establecimiento y cruce de las estratégias en la matriz DOFA del contexto interno y externo de la entidad,asi como para la formulación del plan de trabajo para abordar dichas estratégias (estructura de redacción de las estratégias y consolidación en un documento con los subfactores del DOFA), asi mismo, se adelantaron reuniones internas con el equipo de calidad con el fin de revisar las estratégias pilotos relacionadas con dicho contexto. De igual manera a través de mesas de trabajo tanto internas como con las dependencias se han revisado tanto las propuestas de estratégias como el plan de trabajo que enviaron. Se tiene pendiente consolidar el documento final del contexto interno y externo de la entidad.
2. Riesgos de corrupción: Se participó de mesas de trabajo para identificación de riesgos de corrupción en los procesos de direccionamiento y planeación y gestión financiera, OCI, Participación ciudadana, OCDI y procesos tercerizados de SSLA.
3. Gestión de cambio: Es importante fortalecer la consistencia de las acividades principales, productos y evidencias de ejecución, así mismo es importante y se reitera la sugerencia de concertar las actividades que no dependan directamente de la profesional de gestión de cambio.
4. Control de cambios misonales: Se avanzó a través de mesas de trabajo tanto internas como con los procesos misionales en la definición del mecanismo para el control de cambios que surjan durante la prestación del servicio con el fin de asegurar la continuidad en la conformidad con los requisitos establecidos. Hace falta la consolidación de todos los procesos con fecha limite el 3 de agosto 2021. Está pendiente SELA.
5. SNC: se realizó seguimiento al reporte por parte de los procesos misionales referente SNC con corte al I semestre 2021. A la fecha se tiene el reporte de todas las dependencias y se tiene pendiente  la consolidación y reunión de retroalimentación de los resultados  con los facilitardores misionales. Asi mismo se llevaron a cabo mesas de trabajo internas con el equipo de calidad con el fin de establecer la propuesta de los requisitos  de posibles salidas no conformes para los procesos de la subdirección administrativa y financiera - SAF; se adelantó la identificación para los procesos gestión contractual y gestión financiera, quedando pendiente taento humano, administrativa y documental.
 6. Indicadores: Se solicitó a través de correo electrónico el reporte de las hojas de vida de los indicadores PAI que hacen parte del sistema de gestión de calidad correspondientes al II trimestre del 2021 con el fin de solicitar a comunicaciones la publicación en intranet. A la fecha se tienen en proceso de revisión los indicadores de los procesos de la SAF y OTI, OAJ, OAP, Instrumentos, una vez se tenga revisión del total de procesos se procederá a solicitar su publicación.
A la fecha se solicitó a comunicaciones la publicación de SELA, OCDI y la OCI.
7. Auditoria Interna: Se radicó la solicitud de contratación de la auditoria interna bajo los lineamientos de la ISO 9001:2015 al sistema de gestión de calidad , se realizaron los correspondientes ajustes y correcciones solicitadas por el grupo de contratos a los estudios previos, estudios de sector, mercado y ficha técnica, asi mismo se informó a los proponentes a través de correo electrónico la publicación de la invitación en el siguiente link de SECOP II: https://community.secop.gov.co/Public/Tendering/OpportunityDetail/Index?noticeUID=CO1.NTC.2126100&amp;isFromPublicArea.</t>
  </si>
  <si>
    <t xml:space="preserve">En el segundo corte de seguimiento al PIGD se obtuvo un 51% de calificación </t>
  </si>
  <si>
    <t>Cumplido el tercer trimestre de 2021 se tiene un avance del 78%, esto conforme al cumplimiento de 98 de las 125 acciones programadas.</t>
  </si>
  <si>
    <t>Se avanzó y culminó el diseño y desarrollo de la parte administrativa
Se creó el diseño y diccionario de datos asociados a la administración</t>
  </si>
  <si>
    <t>Se culminaron 4 manuales técnicos:
OELA
GESPRO
GESRIESGOS
SIRES</t>
  </si>
  <si>
    <t>Durante el mes de agosto no se tuvo avance en este indicador</t>
  </si>
  <si>
    <t>Durante el mes de septiembre no se tuvo avance para este indicador</t>
  </si>
  <si>
    <t>Durante el mes de agosto se trabajó en el manual de usuario de SPGI</t>
  </si>
  <si>
    <t xml:space="preserve">Durante el mes de septiembre se culminó el manual de OESA </t>
  </si>
  <si>
    <t>Durante el mes de julio se realizó el quinto seguimiento al PAI. A corte 31 de julio se tiene un acumulado de once seguimientos: 6 reportes de PAI, 2 reportes de estrategia de evaluación, mapa de riesgos, seguimiento al PAAC y evaluación del PAI</t>
  </si>
  <si>
    <t>A corte 30 de septiembre se realizó el tercer seguimiento al PIGD</t>
  </si>
  <si>
    <t>Al 31 de julio de 2021 se emitieron  320  AA  que acogieron la evaluación  de solicitudes de permisos, de éstas, 226 correspoden al trámite No Cites y corresponden al 70,63% de los AA, 54 AA de Diversidad Biológica  con el 16,88%, 35 de Permisos Fuera de Licencia con el  10,94% y   5 AA de Posconsumo.
NOTA: En cuanto a los certificados NCT, al 31 de julio se emitieron 226, sin embargo, en SILA se encuentran registrados 221, respecto a los 5 faltantes se presentan la siguiente aclaración  (una vez se finalice la gestión, estos certificados quedaran en SILA con fechas de julio) :
NCT Finalizados Julio pendientes en SILA	Observación
AIE0203-00-2021	En etapa de finalización en SILA
AIE0204-00-2022
AIE0205-00-2023
AIE0206-00-2024
AIE0180-00-2021</t>
  </si>
  <si>
    <t>Al 31 de agosto de 2021 se emitieron  377  AA  que acogieron la evaluación  de solicitudes de permisos, de éstas, 273 correspoden al trámite No Cites y representan el 72,41% de los AA, 63 AA de Diversidad Biológica  con el 16,71%, 35 de Permisos Fuera de Licencia con el  9,28% y   6 AA de Posconsumo</t>
  </si>
  <si>
    <t>Al 30 de septiembre de 2021 se emitieron 441 AA que acogieron la evaluación de solicitudes de permisos, de éstos, 321 correspoden al trámite No Cites y representan el 72,79% de los AA, 75 AA de Diversidad Biológica con el 17,01%, 39 de Permisos Fuera de Licencia con el 8,84% y 6 AA de Posconsumo.
Es importante mencionar que en las evidencias no se encuentran relacionados 7 certificados de NCT, estos están en etapa de ejecución y finalización en SILA, sin embargo, una vez se termine la gestión en el aplicativo, los certificados quedaran en SILA con fecha de septiembre, mes en el que fueron aprobados.
CERTIFICADO 	OBSERVACIÓN 
AIE0267-00-2021	Los  certificados NCT de  los expedientes relacionados, se encuentra en etapa de ejecución finalización en SILA, una vez  se cierre la actividad, el certificado de aprobación quedará  en SILA con fecha de septiiembre.
AIE0278-00-2021
AIE0280-00-2021
AIE0281-00-2021
AIE0282-00-2021
AIE0283-00-2021
AIE0285-00-2021</t>
  </si>
  <si>
    <t>Al 30 de septiembre se emitiron 712 actos administrativos para acoger los seguimientos realizados a permisos otorgados, 431 del grupo Posconsumo correspondientes al 60.5%, 199 de IDB con el 27.9% y 82 de PFL con el 11,5%.
Es importante mencionar que a partir de Mayo, se ajustó la meta de seguimiento, contemplado un nuevo grupo de profesionales para el trámite de Envases y Empaques, así las cosas la meta de AA de seguimiento de permisos pasa de 1021 a 1104.</t>
  </si>
  <si>
    <t>Al 31 de agosto se emitiron 567 actos administrativos para acoger los seguimientos realizados a  permisos otorgados, 325 del grupo Posconsumo  correspondientes al 57,32%,  179 de IDB con el  31.57%  y  63 de PFL con el 11,11%.
Es importante mencionar que a partir de Mayo, se ajustó la meta de seguimiento, contemplado un nuevo grupo de profesionales para el trámite de Envases y Empaques, así las cosas la meta de AA de seguimiento de permisos pasa de 1021 a 1104.</t>
  </si>
  <si>
    <t>Al 31 de julio se emitiron 439 actos administrativos para acoger los seguimientos realizados a  permisos otorgados, 238 del grupo Posconsumo  correspondientes al 54%,  154 de IDB con el  35%  y  47 de PFL con el 11%.
Es importante mencionar que a partir de Mayo, se ajustó la meta de seguimiento, contemplado un nuevo grupo de profesionales para el trámite de Envases y Empaques, así las cosas la meta de AA de seguimiento de permisos pasa de 1021 a 1104.</t>
  </si>
  <si>
    <t>Para el periodo de julio se registra un avance del 54.1% el cual corresponde al promedio de avance de cada uno de los hitos establecidos según la naturaleza de cada instrumento.</t>
  </si>
  <si>
    <t>Para el periodo de agosto  se registra un avance del 61.2% el cual corresponde al promedio de avance de cada uno de los hitos establecidos según la naturaleza de cada instrumento.</t>
  </si>
  <si>
    <t>Para el periodo de septiembre  se registran el instrumento  en un 85% Apoyo en la generación del Manual de seguimiento para su adopción por Minambiente y el instrumento de  Buenas prácticas de CC para Agroquímicos en un 100% y 15 de los instrumentos restantes con un avance del 63.2% el cual corresponde al promedio de avance de cada uno de los hitos establecidos según la naturaleza de cada instrumento danto como totalidad un 68.5% al porcentaje de gestión.</t>
  </si>
  <si>
    <t>Hasta el 30 de septiembre de 2021 se emitieron 17.179 AA de evaluación de certificaciones, de los cuales 16.081 corresponden a VUCE, trámite que aporta el 93.51% dentro de este avance, 740 fueron de Prueba Dinámica con una participación de 4.3% y por último Beneficios Tributarios con 376 actos administrativos.
Es importante mencionar que debido al comportamiento de los trámites de Certificaciones durante 2021, fue necesario modificar la meta de AA que acogen solicitudes de Certificaciones y Vistos Buenos, se amplió al 22.447 AA que se espera finalizar al 31 de diciembre de 2021.</t>
  </si>
  <si>
    <t>Hasta el  31 de agosto de 2021 se emitieron 15.289 AA de evaluación de certificaciones, de los cuales 14.303 corresponden a VUCE, trámite que aporta el 93.55% dentro de este avance, 661  fueron de Prueba Dinámica con una participación de 4.32% y por último Beneficios Tributarios con 325 actos administrativos.</t>
  </si>
  <si>
    <t>Hasta el  31 de julio de 2021 se emitieron 13.364 AA de evaluación de certificaciones, de los cuales 12.506 corresponden a VUCE, trámite que aporta el 93.58% dentro de este avance, 587 fueron de Prueba Dinámica con una participación de 4.39% y por último Beneficios Tributarios con 271 actos administrativos.</t>
  </si>
  <si>
    <t>1.1. Avance Reportes:
1.1.1. Reporte de Alertas Río Metica - Expediente REG0004-00-2016: 100% ejecutado. Se resalta que en este periodo el reporte se encuentra en fase de diagramación por parte de comunicaciones.
1.1.2. Reporte cuenca hidrográfica Río Sogamoso y afluentes directos al Lebrija medio - Expediente REG0007-00-2016: A 31 de julio 100% Ejecutado, soporte de remisión de memorandos internos a la OAJ, SELA y SSLA. Adicionalmente durante este mes se realizó la publicación de la cartografía en el geovisor AGIL.
1.1.3. Reporte Bahía de Cartagena y Canal del Dique - Expediente REG0012-00-2016: A 31 de julio se registra un avance del 63%, que corresponde a la elaboración del documento por componente e inicio del análisis de impactos acumulativos.
1.2. Avance Actualizaciones: No se reporta avance en actualizaciones para este período.
1.3. Avance Diagnósticos Estrategias:
1.3.1. Estrategia de Monitoreo del Acuífero Yopal-Casanare - Expediente REG0003-00-2016: 100% ejecutada.
1.3.2. Estrategia de Monitoreo de Hidroeléctricas - Expediente REG0011-00-2021: 100% ejecutada.
1.3.3. Estrategia de Monitoreo recurso hídrico superficial Putumayo  - REG0016-00-2016: A 31 de Julio, se reporta un avance del 97% en el diagnóstico y formulación de esta estrategia.
1.3.4. Estrategia de Biodiversidad Fase I - Expediente REG0011-00-2021: 
-Pasos de fauna región Caribe-Pacífico: A 31 de Julio, se mantiene en el 47% del diagnóstico y formulación de esta estrategia. En cuanto a la estrategia de Parcelas Permanentes (Flora), se mantiene en un 30% de  avance en el diagnóstico y formulación de esta estrategia, por lo tanto en promedio se mantiene un avance total del 38.5%.
-Pasos de fauna región Orinoquia-Amazonía: A 31 de Julio se registra avance del 97% en el diagnóstico y formulación de esta estrategia. En cuanto a la estrategia de Parcelas Permanentes (Flora), se registra un 50% de avance en el diagnóstico y formulación de esta estrategia, por lo tanto en  promedio  se reporta avance total del 73.5%.
1.3.5. Estrategia de Monitoreo de la Bahía Cartagena (Recurso Hídrico Superficial) -Expediente REG0012-00-2016: A 31 de Julio, se mantiene en un 97% de avance en el diagnóstico y formulación de la estrategia.
1.3.6. Estrategia de Monitoreo de la Bahía Cartagena (Componente Atmosférico) - Expediente REG0012-00-2016: A 31 de Julio, se mantiene en un 71% en el diagnóstico y formulación de la estrategia.</t>
  </si>
  <si>
    <t>1.1. Avance Reportes:
1.1.1. Reporte de Alertas Río Metica - Expediente REG0004-00-2016: 100% ejecutado. Se resalta que en este período el reporte se encuentra publicado.
1.1.2. Reporte cuenca hidrográfica Río Sogamoso y afluentes directos al Lebrija medio - Expediente REG0007-00-2016: A 30 de julio 100% Ejecutado, Durante este mes se envió para la respectiva diagramación y se realizó la socialización del reporte a la CAS.
1.1.3. Reporte Bahía de Cartagena y Canal del Dique - Expediente REG0012-00-2016: se reporta avance del 90%, se finalizó el documento, y se atendieron las observaciones producto de la revisión y retroalimentación por parte del equipo de Regionalización.
1.2. Avance Actualizaciones:
1.2.1.  Actualización reporte de alertas de la Zona Minera del Cesar: a 30 de septiembre se registra un avance del 55%, que corresponde a la finalización de las actividades de gestión documental de expedientes, la sistematización e inicio del documento por componente.
1.2.2. Actualización Alto San Jorge: No se reporta avance en actualizaciones para este período.
1.3. Avance Diagnósticos Estrategias:
1.3.1. Estrategia de Monitoreo del Acuífero Yopal-Casanare - Expediente REG0003-00-2016: 100% ejecutada.
1.3.2. Estrategia de Monitoreo de Hidroeléctricas - Expediente REG0011-00-2021: 100% ejecutada.
1.3.3. Estrategia de Monitoreo recurso hídrico superficial Putumayo  - REG0016-00-2016: A 30 de septiembre, se mantiene en el 97% en el diagnóstico y formulación de esta estrategia.
1.3.4. Estrategia de Biodiversidad Fase I - Expediente REG0011-00-2021: 
-Pasos de fauna región Caribe-Pacífico: Teniendo en cuenta la priorización de estrategias por parte del grupo de regionalización y centro de monitoreo, se replantea la culminación de este producto para el año 2022.
-Pasos de fauna región Orinoquia-Amazonía: Teniendo en cuenta la priorización de estrategias por parte del grupo de regionalización y centro de monitoreo, se replantea la culminación de este producto para el año 2022.
1.3.5. Estrategia de Monitoreo de la Bahía Cartagena (Recurso Hídrico Superficial) -Expediente REG0012-00-2016: A 30 de septiembre, se reporta 100% de culminación en el diagnóstico y formulación de la estrategia.
1.3.6. Estrategia de Monitoreo de la Bahía Cartagena (Componente Atmosférico) - Expediente REG0012-00-2016: Teniendo en cuenta la priorización de estrategias por parte del grupo de regionalización y centro de monitoreo, se replantea la culminación de este producto para el año 2022.</t>
  </si>
  <si>
    <t>Con corte al 31 de julio se realizaron 330 CT técnicos de evaluación de solicitudes de permisos, de las cuales 226 fueron sobre el trámite NCT y representan el 68.48% de los CT de evaluación de permisos realizados, seguido  de IDB con el 23,03%, 76 CT,  PFL  23 CT correspondientes al 6,79% y Posconsumo 5 CT con el 1.52%.</t>
  </si>
  <si>
    <t>Con corte al 31 de agosto se realizaron 393 CT técnicos de evaluación de solicitudes de permisos, de las cuales 273 fueron sobre el trámite NCT y representan el 69.47% de los CT de evaluación de permisos realizados, seguido de IDB con el 22,90%, 90 CT, PFL 24 CT correspondientes al 6,11% y Posconsumo 6 CT con el 1.52%.</t>
  </si>
  <si>
    <t>Con corte al 30 de septiembre se realizaron 457 CT técnicos de evaluación de solicitudes de permisos, de las cuales 321 fueron sobre el trámite NCT y representan el 70.24% de los CT de evaluación de permisos realizados, seguido  de IDB con el 21.88%, 100 CT,  PFL 30 CT correspondientes al 6,56% y Posconsumo 6 CT con el 1.31%.</t>
  </si>
  <si>
    <t>Al 30 de septiembre de 2021 se otorgaron 403 permisos solicitados, de los cuales 321 son del trámite NCT, 67 de Diversidad Biológica, 10 de PFL y 5 de Posconsumo.
Es importante mencionar que en las evidencias no se encuentran relacionados 7 certificados de NCT, estos están en etapa de ejecución y finalización en SILA, sin embargo, una vez se termine la gestión en el aplicativo, los certificados quedaran en SILA con fecha de septiembre, mes en el que fueron aprobados.
CERTIFICADO 	OBSERVACIÓN 
AIE0267-00-2021	Los  certificados NCT de  los expedientes relacionados, se encuentra en etapa de ejecución finalización en SILA, una vez  se cierre la actividad, el certificado de aprobación quedará  en SILA con fecha de septiiembre.
AIE0278-00-2021
AIE0280-00-2021
AIE0281-00-2021
AIE0282-00-2021
AIE0283-00-2021
AIE0285-00-2021</t>
  </si>
  <si>
    <t>Al 31 de agosto de 2021 se otorgaron 345 permisos solicitados, de las cuales 273 son del trámite NCT, 57 de Diversidad Biológica, 10 de PFL y 5 de Posconsumo.
NOTA: En cuanto a los certificados NCT, al 31 de agosto se emitieron 273, sin embargo, en SILA se encuentran registrados 272, respecto al certificado faltante se presenta la siguiente aclaración (una vez se finalice la gestión, este certificado quedara en SILA con fecha de agosto) :
NCT Finalizados agosto pendientes en SILA
Observación
AIE0229-00-2021
En etapa de finalización en SILA</t>
  </si>
  <si>
    <t>Al 31 de julio de 2021 se otorgaron 287 permisos solicitados, de las cuales 226 son del trámite NCT, 47 de Diversidad Biológica, 10 de PFL y 4 de Posconsumo.</t>
  </si>
  <si>
    <t>Al cierre de julio se realizaron 497 CT para hacer seguimiento a los permisos otorgados, el 56,1% de estos seguimientos corresponden a los trámites de Posconsumo, 279 CT; IDB realizó 164 CT, es decir el 37,1% de participación en el avance y 11,2% Permisos Fuera de Licencia con 54 CT.</t>
  </si>
  <si>
    <t>Al cierre de agosto se realizaron 641 CT para hacer seguimiento a los permisos otorgados, el 59% de estos seguimientos corresponden a los trámites de Posconsumo, 378 CT; IDB realizó 190 CT, es decir el 29,6% de participación en el avance y 11,4% Permisos Fuera de Licencia con 73 CT.</t>
  </si>
  <si>
    <t>Al cierre deseptiembre se realizaron 781 CT para hacer seguimiento a los permisos otorgados, el 61.6% de estos seguimientos corresponden a los trámites de Posconsumo, 481 CT; IDB realizó 213 CT, es decir el 27.3% de participación en el avance y 11,1% Permisos Fuera de Licencia con 87 CT.
Es importante mencionar que a partir de Mayo, se ajustó la meta de seguimiento, contemplado un nuevo grupo de profesionales para el trámite de Envases y Empaques, así las cosas la meta de CT de seguimiento de permisos pasó de 1021 a 1104.</t>
  </si>
  <si>
    <t>A corte 30 de septiembre se tiene un ponderado de 76.15% en indicadores de producto del PAI</t>
  </si>
  <si>
    <t xml:space="preserve">Para el periodo de julio  se mantiene un instrumento de Obligaciones mínimas Fase III  (Agroquímicos) culminado al 100%,  asi mismo se registra el  promedio de avance de gestion de los intrumentos en un 56% </t>
  </si>
  <si>
    <t>Parar el mes de julio  no se ha finalizado ninguna mejora adicional a la reportada para beneficios tributario por lo tanto el avance se mantiene en 158 de 441 .</t>
  </si>
  <si>
    <t>Parar el mes de agosto  no se ha finalizado ninguna mejora adicional a la reportada para beneficios tributario por lo tanto el avance se mantiene en 158 de 441 .</t>
  </si>
  <si>
    <t>Con corte al 31 de julio de 2021 se emitieron 1.144 CT de evaluación para certificaciones, de los cuales 776 CT corresponden al trámite de Prueba Dinámica y representan 67.83% del avance y Beneficios Tributarios aportó el  32,17% con 368 conceptos técnicos.</t>
  </si>
  <si>
    <t>El porcentaje de reproceso por verificación de documentos de inicio fue de 5,51%, así que, de un universo de 13.339 solicitudes recibidas a julio, se realizó requerimiento a 735 solicitudes.</t>
  </si>
  <si>
    <t>Al finalizar junio de  2021 se otorgaton 12.955 certificaciones, 12.184 de VUCE,  529 de Prueba Dinámica y 242 de Beneficios Tributarios.</t>
  </si>
  <si>
    <t>"2.1 Sentencias
2.1.1. Sentencia T-606/2015 Plan Maestro Tayrona: Reuniones y acompañamiento técnico interinstitucional: Reunión MADS – Socialización abordaje Indicador del Plan Maestro PNN Tayrona 14-07-2021. Reunión CORPOGUAJIRA - Socialización abordaje Indicador del Plan Maestro PNN Tayrona 28-07-2021. Correo CORPAMAG - Socialización abordaje Indicador del Plan Maestro PNN Tayrona 28-07-2021.
2.1.2. Sentencia Amazonas (T-4360/2018): Reuniones y acompañamientos técnicos interinstitucionales: presentación de los avances en el proceso de actualización del plan de acción, contexto de las rutas de participación y respuesta a inquietudes, consideraciones generales de las entidades e información referente al reporte de cumplimiento de la sentencia. Consejería Presidencial para las Regiones 26-07-2021.
2.1.3. Sentencia Bahia de Cartagena Acción Popular 2017-00987-1: Avance del 70% en el ajuste del documento Estrategia de monitoreo del recurso hídrico superficial en la Bahía de Cartagena y el Canal del Dique. Asistencia a capacitación Programa de Gobernanza Ambiental del proyecto Basic – Cartagena (14/07/2021).
2.1.4. Sentencia Guajira - Población Wayuú municipios Riohacha, Manaure y Uribia (T-302 de 2017): Acompañamiento técnico interinstitucional a IV Sesión Comité Intersectorial para el departamento de La Guajira. 
2.1.5. Sentencia Guajira - Provincial (T-614/2019): Documentos: Estudios previos del convenio interadministrativo ANLA- CORPOGUAJIRA No. 1289 de 2021 para traslado, instalación y puesta en operación de una estación automática de calidad del aire en el resguardo indígena Provincial; Avance del 90% en Estudios previos contratación mínima cuantía para monitoreo de calidad de agua en el resguardo indígena Provincial.  Memoria justificativa condiciones técnicas exigibles contrato mínima cuantía calidad del agua para monitoreo de calidad de agua en el resguardo indígena Provincial. Reuniones internas y acompañamiento técnico interinstitucional: Rueda de negocios ANLA - proceso de contratación campañas de calidad del agua en el proceso de cumplimiento de la orden sexta - Sentencia T-614 de 2019 (13/07/2021); Presentación rueda de negocios y concertación en aspectos técnicos y jurídicos del proceso de contratación campañas de calidad del agua en el proceso de cumplimiento de la orden sexta - Sentencia T-614 de 2019
2.1.6. Sentencia Cerromatoso (T-733/2017): Documentos técnicos y revisión de expedientes: Concepto Técnico 4387 del 28 de julio de2020, revisión del diseño del SVCA de LAV0002-00-2020. Gestión de apoyo a seguimiento LAV0002-00-2020 (actualización tablero de control de calidad del aire, story map modelación Alto San Jorge y entrega de documento Modelación Alto San Jorge), se adjuntan correos de entrega de solicitud y entrega de información como evidencia.  Reuniones internas: Socialización Tablero de Control Alto San Jorge 28-07-2021.
2.2. Avance Actos Administrativos de Evaluación 
A la fecha, se registra un total de 37 Actos Administrativos de 102 solicitudes de acompañamiento para el proceso de evaluación de LA, los cuales se detallan a continuación: 
35. LAM4221 Campo de Explotación de Hidrocarburos Ocelote – Guarrojo
36. LAV0041-00-2020 Atlántico Photovoltaic
37. LAM 0514 Central Hidroeléctrica Chivor
2.3. Avance Conceptos Técnicos de Seguimiento: 
A la fecha se registran 61 CT numerados de 111 solicitudes de acompañamiento para la toma de decisiones en el marco de Seguimiento de LA, los CT se detallan a continuación: 
57. LAM0683 Bloque Exploratorio Patillal Noreste - Rio Ranchería
58. LAM0609 Central Termoeléctrica las Flores
59. LAM2317 Campos Petroleros Cantagallo y Aledaños.
60. LAM2307 Campos Huila Norte
61. LAV0002-00-2020 Cerro Matoso
"
https://anla-my.sharepoint.com/:f:/g/personal/aromero_anla_gov_co/EqsjwJx_0pVJl8EPlIjtf8wB6XdC5tzjd7t-3BKybQgG9w?e=vKlKwP</t>
  </si>
  <si>
    <t>3.Diagnósticos Desarrollados:
3.1 Documento diagnóstico de Modelación del área regionalizada de Alto San Jorge: A 30 de abril se registró culminación 100% conforme con el plan de trabajo de modelación. El expediente asociado a este documento diagnóstico es REG0004-00-2017.
3.2 Documento diagnóstico de Modelación  del área regionalizada (Componente Atmósfera) de la Zona Minera del Cesar se encuentra actualmente en fase de Análisis y/o procesamiento de información: para este mes se reporta un avance del 97% conforme con el plan de trabajo de modelación. El expediente asociado a este documento diagnóstico es REG0011-00-2017.
3.3. Documento diagnóstico de Modelación (Ruido) Aeropuerto El Dorado se encuentra actualmente en fase de Preparación e implementación de modelo: se mantiene en un 49%  (tierra) y un 42% (aire) conforme con el plan de trabajo de modelación, lo cual da un promedio de porcentaje total de 45.5%. El expediente asociado a este documento diagnóstico es REG0002-00-2017.
3.4 Documento diagnóstico de Modelación SZH Río Sogamoso (recurso hídrico superficial, recurso hídrico subterráneo y medio biótico, presenta un avance del 83%. Expediente REG0002-00-2016.</t>
  </si>
  <si>
    <t>Con corte al 31 de agosto de 2021 se emitieron 1.326 CT de evaluación para certificaciones, de los cuales 890 CT corresponden al trámite de Prueba Dinámica y representan 67.12% del avance y Beneficios Tributarios aportó el  32,88% con 436 conceptos técnicos..</t>
  </si>
  <si>
    <t>Con corte al 30 de septiembre de 2021 se emitieron 1.491 CT de evaluación para certificaciones, de los cuales 994 CT corresponden al trámite de Prueba Dinámica y representan 66.67% del avance y Beneficios Tributarios aportó el 33,33% con 497 conceptos técnicos.</t>
  </si>
  <si>
    <t>Al finalizar agosto de  2021 se otorgaton 14819 certificaciones</t>
  </si>
  <si>
    <t>Al finalizar septiembre de 2021 se otorgaton 16.655 certificaciones, 15.665 de VUCE, 658 de Prueba Dinámica y 332 de Beneficios Tributarios.
Es importante mencionar que debido al comportamiento de los trámites de Certificaciones durante 2021, fue necesario modificar la meta de Certificaciones y Vistos Buenos otorgados, se amplió al 21.790 Certificaciones y Vistos que se espera otorgar al 31 de diciembre de 2021.</t>
  </si>
  <si>
    <t>El porcentaje de reproceso por verificación de documentos de inicio fue de 5,43%, así que, de un universo de 17.116 solicitudes recibidas a septiembre, se realizó requerimiento a 930 solicitudes. Teniendo en cuenta que durante lo corrido del año este porcentaje de reproceso se ha mantenido por abajo de 8.5, la meta del indicador se ajustó, quedando ubicada en 6.5.</t>
  </si>
  <si>
    <t>5,43%</t>
  </si>
  <si>
    <t>El porcentaje de reproceso por verificación de documentos de inicio fue de 5,46%, así que, de un universo de 15.257 solicitudes recibidas a julio, se realizó requerimiento a  833 solicitudes</t>
  </si>
  <si>
    <t>"2.1 Sentencias
2.1.1. Sentencia T-606/2015 Plan Maestro Tayrona: 1. Reuniones y acompañamientos técnicos interinstitucionales: Reunión con la coordinación de Plan con el objeto de plantear necesidad de Comité Técnico para revisar consideraciones de un segundo indicador (16-09-2021).
2.1.2. Sentencia Amazonas (T-4360/2018): 1. Documentos técnicos y revisión de expedientes:  se diligencia en la “Matriz deforestación”, compartida por Yesenia Vasquez, coordinadora del Grupo Valoración y Manejo de Impactos SSLA, información relacionada con las acciones de la Línea de Acción (LA) “Desarrollo Sectorial 3.4”, asociadas a los “soportes de los avances realizados en la Línea Base Regional Putumayo -LBRP”, en el marco de la consulta prioritaria 10DPE2998-00-2021.
2.1.3. Sentencia Bahia de Cartagena Acción Popular 2017-00987-1: Acciones internas: Aspectos orden 5.9 Sentencia bahía de Cartagena en el marco del Reporte de Alertas de la bahía de Cartagena y el canal del Dique (06-09-21). 
Plan de Restauración Ecológica bahía de Cartagena: Mesa técnica general Plan Maestro Bahía de Cartagena (17-09-21); Avance del 50% en la revisión y observaciones al Programa No. 1 del Plan. 
2.1.4. Sentencia Guajira - Población Wayuú municipios Riohacha, Manaure y Uribia (T-302 de 2017): Asistencia a capacitación construcción e indicadores Sistema de Información Sentencia T-302 de 2017. 
2.1.5. Sentencia Guajira - Provincial (T-614/2019): A corte 30 de septiembre se genera (1) documento: Informe sobre apoyo técnico del grupo de regionalización y centro de monitoreo al cumplimiento de la orden sexta. Este documento presenta de manera cronológica los documentos y/o acompañamientos técnicos que se han realizado desde el grupo de regionalización y centro de monitoreo. Convenio CORPOGUAJIRA: Visita técnica CORPOGUAJIRA para seguimiento del convenio (01-09-21). Contratación mínima cuantía monitoreo calidad del agua en Provincial: Observaciones invitación pública selección mínima cuantía – OAJ, SSLA, SIPTA, SAF (09-09-21); Mesa de evaluación técnica SSLA – SIPTA Sesión No. 1: Observaciones de los oferentes (23-09-21); Mesa de evaluación técnica SSLA – SIPTA Sesión No. 2: Informe de verificación requisitos habilitantes LAIMAQ S.A.S. (28-09-21); Mesa de evaluación técnica SSLA – SIPTA Sesión No. 3: Segundo Informe de verificación requisitos habilitantes SIAMA S.A.S (30-09-21). Documentos técnicos: Ajuste final Estudios Previos y documentación Invitación Pública Selección Mínima Cuantía No. 020-2021; Memorando Solicitud de Contratación- Proceso de Mínima cuantía 2021197096-3-000 del 14-09-21; Memorando de alcance y nombramiento equipo de evaluación técnica proceso mínima cuantía 2021200856-3-000 del 17-09-21; Memorando respuesta a observaciones al Proceso de Mínima Cuantía – Invitación Pública No. 020 de 2021; Memorando de remisión Primer Informe de verificación requisitos técnicos habilitantes proceso de mínima cuantía Invitación Pública No. 020-2021 2021209866-3-000 del 28-09-2021; Documento Informe de verificación requisitos técnicos habilitantes proceso de mínima cuantía Invitación Pública No. 020-2021; Memorando de remisión Segundo Informe de verificación requisitos técnicos habilitantes proceso de mínima cuantía Invitación Pública No. 020-2021 2021212125-3-000 del 30-09-2021. Documento segundo informe de verificación requisitos técnicos habilitantes proceso mínima cuantía #020-2021.
2.1.6. Sentencia Cerro Matoso (T-733/2017): para este mes no se realizaron actividades en cumplimiento de esta sentencia.
2.2. Avance Actos Administrativos de Evaluación 
A la fecha, se registra un total de 63 Actos Administrativos de 113 solicitudes de acompañamiento para el proceso de evaluación de LA, los cuales se detallan a continuación: 
50. LAV0014-00-2021 APE SN9
51. LAV0009-00-2021 APE VSM 3
52. LAV0005-00-2021 Área de desarrollo Boranda
53. LAV0056-00-2018 Generación Eólico Beta Mod.
54. LAV0002-00-2021 Línea Eléctrica Parque Eólico Windpeshi - SE Cuestecitas
55. LAV0006-00-2021 Llanos 78
56. LAM1447 Mejoramiento Carretera Tumaco-Esmeraldas-Sector Espriella-Mataje
57. LAM0725 Mod. PMA planta de producción de plaguicidas
58. LAV0007-00-2021 Parque Solar Portón del Sol
59. LAV0008-00-2021 Parque Solar Valledupar
60. LAM0761 Plan Maestro Desarrollo Refinería de Cartagena RR
61. LAM1568 RR Construcción Variante Pamplona UF-1
62. LAM0275 RR Termobarranquilla
63. LAV0060-00-2016 Ruta del Cacao
2.3. Avance Conceptos Técnicos de Seguimiento: 
A la fecha se registran 111 CT numerados de 129 solicitudes de acompañamiento para la toma de decisiones en el marco de Seguimiento de LA, los CT se detallan a continuación: 
90. LAM2981 APE Área Cóndor
91. LAV0023-00-2017 Área de Producción Fandango VIM5
92. LAV0105-00-2014 Campo de Explotación Acordionero
93. LAM4795 Campo Quifa</t>
  </si>
  <si>
    <t>"3.Diagnósticos Desarrollados:
3.1 Documento diagnóstico de Modelación del área regionalizada de Alto San Jorge: A 30 de abril se registró culminación 100% conforme con el plan de trabajo de modelación. El expediente asociado a este documento diagnóstico es REG0004-00-2017.
3.2 Documento diagnóstico de Modelación  del área regionalizada (Componente Atmósfera) de la Zona Minera del Cesar: A 31 de agosto se reportó culminación 100%. El expediente asociado a este documento diagnóstico es REG0011-00-2017.
3.3. Documento diagnóstico de Modelación (Ruido) Aeropuerto El Dorado se encuentra actualmente en fase de Preparación e implementación de modelo: se reporta avance del 80%  (tierra) y 88% (aire) conforme con el plan de trabajo de modelación, lo cual da un promedio total de avance del 84%. El expediente asociado a este documento diagnóstico es REG0002-00-2017.
3.4 Documento diagnóstico de Modelación SZH Río Sogamoso (recurso hídrico superficial, recurso hídrico subterráneo y medio biótico, se mantiene en el 97%. Expediente REG0002-00-2016."
https://anla-my.sharepoint.com/:f:/g/personal/aromero_anla_gov_co/EjPINnPUcEdBkPZaFngzY_EBMPg3NeZezfT4fuqgo4C2aQ?e=BN1cm3</t>
  </si>
  <si>
    <t>"2.1 Sentencias
2.1.1. Sentencia T-606/2015 Plan Maestro Tayrona: 1. Documento: Informe de avance primer semestre de 2021.
2.1.2. Sentencia Amazonas (T-4360/2018): para este mes no se realizaron actividades en cumplimiento de esta sentencia.
2.1.3. Sentencia Bahia de Cartagena Acción Popular 2017-00987-1: Aporte al documento de Bitácora Refinería de Cartagena - Capítulo No. 9 análisis de la Sentencia en la bahía e Cartagena. Memoria Sentencia bahía de Cartagena - acciones ANLA al 19/08/2021. Informe de cumplimiento Sentencia Bahía de Cartagena - acciones SIPTA - agosto 2021. Reuniones interinstitucionales: Mesa técnica Programas Plan de Restauración Bahía de Cartagena (02/08/2021). Mesa de trabajo 30/08/2021 – Programa No. 1 coordinación de los Programas del Plan. Reuniones internas: Seguimiento interno a la Sentencia por parte de la Oficina Asesora Jurídica (19-08-2021). Segundo Comité Extraordinario de la bahía de Cartagena y bahía de Barbacoas (31-08-2021).
2.1.4. Sentencia Guajira - Población Wayuú municipios Riohacha, Manaure y Uribia (T-302 de 2017): Participación en la mesa de estadísticas étnicas DANE y Consejería Presidencial para las regiones (11-08-2021). Diligenciamiento del instrumento de identificación indicadores principales para la mesa de estadísticas étnicas DANE y Consejería Presidencial. 
2.1.5. Sentencia Guajira - Provincial (T-614/2019): Convenio interadministrativo 1289/2021 CORPOGUAJIRA - ANLA: Suscripción del acta de inicio del convenio y cronograma inicial de actividades (02-08-2021); Reunión de resultados de la revisión del Plan de Inversión y Estudio de mercados - presentación a CORPOGUAJIRA (09-08-2021); Sexta Sesión Ordinaria Sentencia T-614/2019 Defensoría del Pueblo (10/08/2021); Reunión de acompañamiento técnico y jurídico a CORPOGUAJIRA en revisión de exclusividad K2 Ingeniería S.A.S. (11-08-2021) Informe de supervisión extraordinario - cambio de supervisión convenio. Proceso de contratación mínima cuantía - monitoreo de calidad del agua en Provincial: Insumos para primera radicación Estudios Previos para el proceso de contratación de mínima cuantía servicio de monitoreo de calidad de agua en Provincial 04-08-2021. Ajuste de insumos para segunda radicación Estudios Previos para el proceso de contratación de mínima cuantía servicio de monitoreo de calidad de agua en Provincial 25-08-2021.
2.1.6. Sentencia Cerro Matoso (T-733/2017): 1. Reuniones y acompañamientos técnicos interinstitucionales: Reunión Mesa de Trabajo (MADS, ANLA, CVS) - Auditoría de Cumplimiento T-733 de 2017 - Cerro Matoso. 
2.2. Avance Actos Administrativos de Evaluación 
A la fecha, se registra un total de 49 Actos Administrativos de 108 solicitudes de acompañamiento para el proceso de evaluación de LA, los cuales se detallan a continuación: 
38. LAM3491 Mina Caypa
39. LAM1224 Planta Formuladora Plaguicidas
40. LAM7750 RR Relleno Sanitario Parque Ecológico Praderas del Magdalena
41. LAM0368 PTAR Canoas
42. LAM6705-00  RR Construcción nueva vía Ibagué Armenia
43. LAM1758  Corredor Vial Mulaló - Loboguerrero
44. LAV0009-00-2018 Mod. Refuerzo Costa Caribe
45. LAM0232 Plan de Manejo Campo Palagua
46. LAM3563 Hidroeléctrico Alto Anchicayá
47. LAV0038-00-2020 Proyecto Eólico Guajira II
48. LAM5342 RR APE Bello
49. LAV0017-00-2019 RR Virginia-Nueva Esperanza
2.3. Avance Conceptos Técnicos de Seguimiento: 
A la fecha se registran 89 CT numerados de 123 solicitudes de acompañamiento para la toma de decisiones en el marco de Seguimiento de LA, los CT se detallan a continuación: 
62. LAM1582 Porce III
63. Aeropuerto Matecaña de Pereira
64. LAM6086 PMA explotación de caliza río Claro
65. LAM6115 RR Aeropuerto Camilo Daza
66. LAM0807 Termoeléctrica La Sierra
67. LAM1178 Transvase del río Guarino a La Miel
68. LAM1094 Bloque Central Cerrejón
69. LAM1203 Mina PLJ
70. LAV0060-00-2016 Ruta del Cacao - Santodomingo
71. LAM1091 TermoFlores - La Torre 20
72. LAV0002 Aclaraciones Cerromatoso
73. LAV0021-00-2018 Área Adicionada Bloque El Difícil - AABD
74. LAM2622 Calenturitas
75. LAM0093 Campo Purificación
76. LAM4416 Campo Tello
77. LAV0047-00-2017 Cañasgordas - Uramita
78. LAM4090 El Quimbo
79. LAM0626 Cantera El Pedregal
80. LAM5688 PMA Material de arrastre
81. LAM5579 Proyecto Vial Nacional Ruta del Sol Sector 1 (Tramos 1-3)
82. LAV0009-00-2018 Refuerzo Costa Caribe a 500kV
83. LAM1029Túnel de la línea
84. LAV0037-00-2019 Construcción doble calzada Pamplona - Cucutá UF 3,4 y 5 sector Pamplonita - Los Acacios LA
85. LAV0018-00-2015 Gramalote
86. LAM2941 LT Bolivar Copey Ocaña Primavera
87. LAV0034-00-2018 Unidad Funcional 2 Sector Pamplona Pamplonita
88. LAV0056-00-2018 Proyecto eólico Beta
89. LAV0074-00-2015 Nueva calzada Bogotá-Villavicencio, Tramo Bijagual - Fundadores Tunel 7"
https://anla-my.sharepoint.com/:f:/g/personal/aromero_anla_gov_co/EgzKkTHGlrlFimTAYioVTqUBkDl9XNCI07NBZtYHcYC4xA?e=WJ5BTV</t>
  </si>
  <si>
    <t>3.Diagnósticos Desarrollados:
3.1 Documento diagnóstico de Modelación del área regionalizada de Alto San Jorge: A 30 de abril se registró culminación 100% conforme con el plan de trabajo de modelación. El expediente asociado a este documento diagnóstico es REG0004-00-2017.
3.2 Documento diagnóstico de Modelación  del área regionalizada (Componente Atmósfera) de la Zona Minera del Cesar: para este mes se reporta culminación 100%. El expediente asociado a este documento diagnóstico es REG0011-00-2017.
3.3. Documento diagnóstico de Modelación (Ruido) Aeropuerto El Dorado se encuentra actualmente en fase de Preparación e implementación de modelo: se reporta avance del 55%  (tierra) y un 55% (aire) conforme con el plan de trabajo de modelación, lo cual da un promedio total de 55%. El expediente asociado a este documento diagnóstico es REG0002-00-2017.
3.4 Documento diagnóstico de Modelación SZH Río Sogamoso (recurso hídrico superficial, recurso hídrico subterráneo y medio biótico, presenta un avance del 97%. Expediente REG0002-00-2016.</t>
  </si>
  <si>
    <t>"
Se adelantaron 9 Herramientas o Acciones implmentadas de las cuales, 9 Herramientas o Acciones fueron aceptadas; avance 100%Ev001: Ajustar los scripts de cargue y eliminación de datos de la GDB Preliminar.
Ev002: Integrar el código único del Estudio General y el detalle de los estudios para saber la empresa que módulos van a cargar.
Ev003: Se tienen en cuenta las mejoras, observaciones y correcciones detectadas en las pruebas unitarias por los profesionales.
Ev004: Integrar en el reporte de cargue los resultados obtenidos por Cargue de Capas y Monitoreos.
Ev005: Pasar de JS a TypeScript el backend de NodeJs módulo de cargue de Capas.
Ev006: Agregar estado de cargue a la base de datos para consultar en monitoreo.
Ev007: Realización de videos de explicación del módulo de cargue MAG del portal.
Ev008: Capacitación ÁGIL nivel 1-Profesionales medio Socioeconómico grupo 3_07-07-2021.
Ev009: Capacitación ÁGIL nivel 1_26-07-2021.
"</t>
  </si>
  <si>
    <t>Se calcula el valor del indicador, teniendo en cuenta los % de avance y ponderaciones a cada indicador del índice, alcanzando el 96,39% por encima 7 puntos del cumplimiento esperado</t>
  </si>
  <si>
    <t>La dependencia ha avanzado en un 43,64% del plan de trabajo establecido para el cumplimiento de las apuestas del PETI en 2021</t>
  </si>
  <si>
    <t>No se presenta avance en el mes</t>
  </si>
  <si>
    <t>"9 solicitudes de actualización de tableros de control geoespacial atendidos / 9 solicitudes de actualización de  tableros de control geoespacial recibidas = 100%
Ev001: Reunión Tablero de Control Conectante
Ev002: CONCECTANTE C1-C1 actualizado
Ev003: Solicitud - cargue de información Tablero de Control proyecto Conectante C1-C2
Ev004: actualizar enlace  del dashboard Conectante C1-C2
Ev005: R Tablero de control
Ev006: Tabla Estandarizada Ruta del Cacao
Ev007: Tablas Tablero Control - Ruta Cacao
Ev008: Traslado de Tablero de ECOS en el portal
Ev009: Datos para el tablero METEOROLOGIA del proyecto Doña Juana
sin cambio en el mes de julio"</t>
  </si>
  <si>
    <t>"A corte de julio 27 acciones ejecutadas/50 acciones proyectadas= 54%
No se realizaron publicaciones de nuevas capas tematicas de consulta durante el periodo."</t>
  </si>
  <si>
    <t>Para el mes de junio, de un total de 27 contratos, se presenta un avance de 11 procesos adjudicados.</t>
  </si>
  <si>
    <t xml:space="preserve"> 1030  solicitudes resueltas en primera línea de 1090  solicitudes recibidas a través de Mesa de Ayuda acumulada en el periodo para un avance del 94.5</t>
  </si>
  <si>
    <t>Por cambios en la metodología, la meta de este indicador actualmente se plantea en 16 y se está adelantando el proceso de ajuste del mismo para que sea consistente con la nueva estrategia de la fábrica de software.</t>
  </si>
  <si>
    <t xml:space="preserve">Se priorizaron 34 proyectos, de los cuales el porcentaje de avance es de 47.54%, que corresponden al promedio de los avances individuales de los 19 proyectos en curso </t>
  </si>
  <si>
    <t>El avance del plan de seguridad de la información se toma de las actividades establecidas en el "Plan de seguridad digital" donde se evidencia un avance a corte de mayo de 48,54%</t>
  </si>
  <si>
    <t xml:space="preserve">El avance de las actividades del plan de tratamiento de riesgos plasmado en la tabla llamada "PLan tratamiento riesgos" 73% actividad que presenta avance "GESTIÓN DE RIESGOS DE SEGURIDAD Y LA PRIVACIDAD DE LA INFORMACIÓN </t>
  </si>
  <si>
    <t>Se registra un avance del 71% de avance del plan de trabajo del Plan de tecnologías emergentes</t>
  </si>
  <si>
    <t>"El día 5 de mayo en horas de la noche se presentó un ataque de denegación de servicios contra el protal web de la entidad, lo cual generó la indisponibilidad de la misma.
Nota: Se incluye el reporte del incidente y el acta de la reunión de revisión realizada antes de la presentación del incidente."</t>
  </si>
  <si>
    <t>"No se presenta avance durante el periodo ya que dirante el mes de julio se adjudicó únicamente el proceso de AIRE CENTRO DE MONITOREO que aún se encuentra en proceso de aprovisionamiento de las licencias adquiridas.
% de avance = 40 (sumatoria herramientas con licencias, soporte y/o garantia) / 108 (sumatoria todos las herramientas planeadas por adquirir) = 37.03%"</t>
  </si>
  <si>
    <t>"Total acumulado de 5 actualizaciones y/o ajustes a las herramientas existentes. Adicionalmente según las fechas de los despliegues realizados se tiene:
Febrero: 1
Marzo: 4
Abril: 0
Mayo: 0 
Junio: 0"</t>
  </si>
  <si>
    <t>"El cálculo se basa en el uso de los sitemas más utilizados en la entidad:
SILA: 951 / 1449 = 63.63 %
SIGPRO: 380 / 1449 = 26.22 %
GESPRO: 173 / 1449 = 11.94 %
SPGI: 71 / 94 = 75.53 %
GESRIESGOS: 23 / 74 = 31.08 %
OELA: 42/77 = 54.54 %
OESA: 20/49 = 40.82 %
Promedio = 43.39%"</t>
  </si>
  <si>
    <t>"A la fecha se han publicado 19 capas geográficas de referencia de entidades externas en AGIL de una proyección inicial de 30. 
Avance agosto = 19/30 = 63.33%
"</t>
  </si>
  <si>
    <t>Se calcula el valor del indicador, teniendo en cuenta los % de avance y ponderaciones a cada indicador del índice, alcanzando el 97,48% por encima 7 puntos del cumplimiento esperado</t>
  </si>
  <si>
    <t xml:space="preserve">La dependencia ha avanzado en un 64,16% del plan de trabajo establecido para el cumplimiento de las apuestas del PETI en 2021
</t>
  </si>
  <si>
    <t>"Durante el periodo se avanzó en la migración de los contenidos del gestor antiguo al nuevo, obteniendo un avance acumulado del 67%.
Avance acumulado agosto Número de Sistemas de Información implementados = 0.67"</t>
  </si>
  <si>
    <t>"9 solicitudes de actualización de tableros de control geoespacial atendidos / 9 solicitudes de actualización de  tableros de control geoespacial recibidas = 100%
Ev001: Reunión Tablero de Control Conectante
Ev002: CONCECTANTE C1-C1 actualizado
Ev003: Solicitud - cargue de información Tablero de Control proyecto Conectante C1-C2
Ev004: actualizar enlace  del dashboard Conectante C1-C2
Ev005: R Tablero de control
Ev006: Tabla Estandarizada Ruta del Cacao
Ev007: Tablas Tablero Control - Ruta Cacao
Ev008: Traslado de Tablero de ECOS en el portal
Ev009: Datos para el tablero METEOROLOGIA del proyecto Doña Juana
sin cambio en el mes de agosto"</t>
  </si>
  <si>
    <t>"A corte de agosto 31 capas publicadas. 	
Durante el periodo se publicaron 2 nuevas capas temáticas internas en AGIL. "</t>
  </si>
  <si>
    <t>INDICADOR ELIMINADO POR APROBACIÓN DEL COMITÉ DIRECTIVO, DADO QUE SE ESTABA REPORTANDO DUPLICADO</t>
  </si>
  <si>
    <t>A corte del mes de agosto,  se han adjudicado 12 procesos.</t>
  </si>
  <si>
    <t>8 despliegues de proyectos asociados a ajustes a funcionalidades existentes realizados.</t>
  </si>
  <si>
    <t>Por cambios en la metodología, aprobados, cambia avance de 8 a 10</t>
  </si>
  <si>
    <t>El avance del plan de seguridad de la información se toma de las actividades establecidas en el "Plan de seguridad digital" donde se evidencia un avance a corte de agosto de 53%</t>
  </si>
  <si>
    <t>El porcentaje de avance del Plan de Tratamiento de Riesgos de Seguridad y Privacidad de la Información es de 83%, lo que demuestra una adecuada implementación y desarrollo de las actividades planeadas</t>
  </si>
  <si>
    <t>"El día 5 de mayo en horas de la noche se presentó un ataque de denegación de servicios contra el protal web de la entidad, lo cual generó la indisponibilidad de la misma.
En total se han presentado 151 ataques importantes, de los cuales se ha materializado 1"</t>
  </si>
  <si>
    <t>"Durante el periodo no se presentaron indisponibilidades en los servicios de conectividad y datacenter
avance agosto = (porcentaje de disponibilidad del servicio de conectividad (ETB) + porcentaje de disponibilidad del servicio de datacenter (IFX) /) 2 = (100% + 100%) / 2 = 100%"</t>
  </si>
  <si>
    <t>"De un total de 1118 solicitudes se resolvieron 1063.
Avance agosto = 1063 / 1118 = 95.08%"</t>
  </si>
  <si>
    <t>"Durante el periodo, de un total de 1159 usuarios misionales habilitados para acceder a SILA, 1141 hicieron uso del sistema.
Avance agosto = Número de usuarios que utilizan los sistemas de información / Número de usuarios programados para utilizar los sistemas de información = 1141 / 1159 = 98%"</t>
  </si>
  <si>
    <t>Durante el mes de septiembre se publicron 3 capas geográficas de referencia de entidades externas en AGIL . A la fecha se han publicado 23 de una proyección inicial de 30. 
Avance septiembre = 23/30 = 76.66%</t>
  </si>
  <si>
    <t>Se calcula el valor del indicador, teniendo en cuenta los % de avance y ponderaciones a cada indicador del índice, alcanzando el 96,16% por encima 6 puntos del cumplimiento esperado</t>
  </si>
  <si>
    <t>Según el avance particular de cada componente transversar y estructural se presenta un avance acumulado de 73.87% en el mes de septiembre.</t>
  </si>
  <si>
    <t>Durante el periodo se avanzó en:
* Actualizaciones de Core, componentes, módulos y plugin.
* Ajustes de diseño, maquetación y configuración de header.
* Creación y configuración de categorías para organizar los artículos por temas.
* Creación y configuración de campos para carga de documentos desde artículos.
* Creación, diseño, maquetación y configuración de artículos.
* Diseño, maquetación y configuración de secciones.
Avance acumulado agosto Número de Sistemas de Información implementados = 0.71</t>
  </si>
  <si>
    <t xml:space="preserve">No se presentaron solicitudes de Tableros de control geoespaciales durante el periodo. A septiembre se han implementado 27 solicitudes de 27 allegadas.
</t>
  </si>
  <si>
    <t>Durante el periodo se publicaron 4 nuevas capas temáticas internas en AGIL. Del total de 50 se han publicado 35</t>
  </si>
  <si>
    <t>A corte del mes de septiembre,  se han adjudicado 16 procesos.</t>
  </si>
  <si>
    <t>El día 5 de mayo en horas de la noche se presentó un ataque de denegación de servicios contra el protal web de la entidad, lo cual generó la indisponibilidad de la misma.
En total se han presentado 1.547 ataques importantes, de los cuales se ha materializado 1</t>
  </si>
  <si>
    <t>Durante el periodo no se presentaron indisponibilidades en los servicios de conectividad y datacenter
Avance septiembre  = (porcentaje de disponibilidad del servicio de conectividad (ETB) + porcentaje de disponibilidad del servicio de datacenter (IFX) /) 2 = (100% + 100%) / 2 = 100%</t>
  </si>
  <si>
    <t>Durante el periodo se atendieron un total de 1016 solicitudes de un total de 1081.
% de avance septiembre = 93.98%</t>
  </si>
  <si>
    <t>9 despliegues de proyectos asociados a ajustes a funcionalidades existentes realizados.</t>
  </si>
  <si>
    <t>Por cambios en la metodología, aprobados, cambia avance de 8 a 10. Se mantiene avance reportado a corte de agosto, dado que en el mes de septiembre no se tuvo avance.</t>
  </si>
  <si>
    <t>El avance del plan de seguridad de la información se toma de las actividades establecidas en el "Plan de seguridad digital" donde se evidencia un avance a corte de septiembre 61,72%</t>
  </si>
  <si>
    <t>El porcentaje de avance del Plan de Tratamiento de Riesgos de Seguridad y Privacidad de la Información es de 90%, lo que demuestra una adecuada implementación y desarrollo de las actividades planeadas</t>
  </si>
  <si>
    <t>Después de hacer revisión a las actividades y al avance reportado, Se registra un avance del 68% del plan de trabajo del Plan de tecnologías emergentes a corte de septiembre</t>
  </si>
  <si>
    <t>Durante el periodo, de un total de 1159 usuarios misionales habilitados para acceder a SILA, 1153 hicieron uso del sistema.
Avance septiembre = Número de usuarios que utilizan los sistemas de información / Número de usuarios programados para utilizar los sistemas de información = 1153/1159 = 99%</t>
  </si>
  <si>
    <t>A la fecha se ha avanzado en:
- Se construyó la encuesta de Uso y Apropiación de los Sistemas de Información.
- Se validó con los líderes internos OTI
- Se está gestionando el envío masivo y focalizado para el mes de noviembre.</t>
  </si>
  <si>
    <t>Para el presente período se reporta un acumulado de 115 actos administrativos</t>
  </si>
  <si>
    <t>A corte 31 de julio se han expedido 180 actos administrativos, los cuales 173 corresponden a vigencia actual y 7 a rezagos vigencia 2020.</t>
  </si>
  <si>
    <t>Para el mes de julio la región de MMCC realizo 22 actas 7 autos y 2 resoluciones, el acumulado para el mes de julio es de 107 actos administrativos, (conformados por 71 actas, 25 autos y 11 resoluciones), de las 298 programadas como meta.
Es importante recordar que la región de MMCC no contempla rezagos 2020.</t>
  </si>
  <si>
    <t>A corte 31 de Julio del 2021, la Región Orinoquia Amazonas, expidió 151 actos administrativos que acogen el seguimiento a proyectos licenciados, de los cuales 18 actos administrativos corresponden a rezagos vigencia 2020 y 133 actos administrativos corresponden a vigencia actual.</t>
  </si>
  <si>
    <t>A corte de 31 de julio de 2021 el grupo (Seguimiento) de Agroquímicos y Proyectos Especiales ha expedido 143 actos administrativos, para un total de 934 actos administrativo-acumulados en el año 2021 de 1584 programados como meta.</t>
  </si>
  <si>
    <t>Al mes de julio de 2021 se emitieron 1487 actos administrativos, de los cuales  1453 son vigencia 2021 (1065 autos, 342 oralidades y 46 resolución) y 34 son rezagos (24 Autos y 10 Oralidades).</t>
  </si>
  <si>
    <t>A  julio se han realizado a 646  proyectos  seguimiento con aplicación de la metodología del Indice de Desempeño Ambiental</t>
  </si>
  <si>
    <t>A julio se ha analizado 646  proyectos a los cuales se les ha aplicado el Seguimiento Documental Espacial.</t>
  </si>
  <si>
    <t>A julio se han analizado Se generan 337 listas de chequeo producto de la VPI, para un acumulado de 2012  informes de cumplimiento ambiental verificados preliminarmente, frente a 2154  informes de cumplimiento ambiental radicados por los titulares de los proyectos. La verificación preliminar se realiza por medio de listas de chequeo generadas en la herramienta SIGWEB ÁGIL, las cuales son remitidas a los titulares de los proyectos mediante un oficio.</t>
  </si>
  <si>
    <t>Para el mes de Julio se aprobó 2328,4 Ha aprobadas para desarrollar acciones de conservación, preservación y restauración con cargo al 1% y la compensación ambiental en las áreas habilitadas por la estrategia para Compensación y 1%</t>
  </si>
  <si>
    <t>Durante el mes de julio se numeró 29  conceptos técnicos de seguimiento  con participación del equipo de valoración económica con un acumulado de 126 numerados  sobre  126  conceptos técnicos de seguimiento asignados. Se hizo el ajuste de los No. de conceptos repetidos señalados en la solicitud de ajuste del reporte</t>
  </si>
  <si>
    <t>A 30 de julio se han emitido 15  actos administrativos que acogen el seguimiento realizado a los expedientes priorizados de contingencias operacionales recurrentes</t>
  </si>
  <si>
    <t>Al mes de julio de 2021 se realizaron 507 visitas, de las cuales 270 fueron presenciales y 237 guiadas.</t>
  </si>
  <si>
    <t>Al mes de julio de 2021, se realizaron 1539 conceptos técnicos, los cuales fueron 1163 documentales y 376 con visita</t>
  </si>
  <si>
    <t>Durante el mes de julio de 2021 se tuvo un avance del 64% en las oralidades, dado que de los 553 actos administrativos generados por los grupos Alto Magdalena-Cauca, Caribe - Pacifico, Magdalena Medio - Cauca – Catatumbo y Orinoquia – Amazonas, 352 fueron por Oralidad.</t>
  </si>
  <si>
    <t xml:space="preserve">Al mes de julio de 2021, se realizó seguimiento a 485 expedientes en la vigencia 2021 de los grupos Alto Magdalena-Cauca, Caribe - Pacifico, Magdalena Medio - Cauca – Catatumbo y Orinoquia – Amazonas, de los 1358 expedientes activos objeto de seguimiento objeto de seguimiento en etapa de construcción, operación y desmantelamiento y/o abandono. </t>
  </si>
  <si>
    <t>Al mes de julio se realizó seguimiento a 49 proyectos en construcción de los 146 identificados en esta etapa.</t>
  </si>
  <si>
    <t xml:space="preserve">En el mes de julio se hicieron 20 visitas, 17 presenciales y 3 guiadas. </t>
  </si>
  <si>
    <t>En el mes de julio se hicieron 9 conceptos tecnicos con visita</t>
  </si>
  <si>
    <t>39 Conceptos técnicos de seguimiento documental de proyectos priorizados en la vigencia actual</t>
  </si>
  <si>
    <t>Al mes de julio se han efectuado 65 oralidades de los 115 A.A. expedidos</t>
  </si>
  <si>
    <t>A 30 de junio de 2021 el grupo de alto magdalena - Cauca, reporta 0% teniendo en cuenta que no se han implementado instrumentos porque no hay proyectos que hayan informado inicio de plan de desmantelamiento y abandono. Se acordó implementar la matriz de obligaciones únicamente para proyectos que apenas empiezan seguimiento.
 (REPORTE TRIMESTRAL)</t>
  </si>
  <si>
    <t>A corte 31 de julio de 2021 la Región realizó 110 visitas de seguimiento presencial y 52 visitas guiadas.</t>
  </si>
  <si>
    <t>A corte 31 de julio de 2021 la Región elaboró 135 CT con visita</t>
  </si>
  <si>
    <t xml:space="preserve">	
A corte 31 de julio de 2021 la Región elaboró 52 CT documental de seguimiento</t>
  </si>
  <si>
    <t>A corte del 31 de julio se tiene un avance en oralidades del 72%.</t>
  </si>
  <si>
    <t>Para el mes de junio a 5 conceptos técnicos se les aplicó instrumentos para un avance del 3%
 (REPORTE TRIMESTRAL)</t>
  </si>
  <si>
    <t>Para el mes de julio la región de MMCC realizo 26 visitas (14 presenciales y 12 guiadas), el acumulado para el mes de julio es de 127 visitas (45 presenciales, 82 guiadas), de las 212 programadas como meta.
Es importante recordar que la región de MMCC no contempla rezagos 2020.</t>
  </si>
  <si>
    <t>Para el mes de julio la región de MMCC realizo 19 conceptos técnicos con visita, el acumulado para el mes de julio es de 84 conceptos técnicos con visitas, de las 212 programadas como meta.
Es importante recordar que la región de MMCC no contempla rezagos 2020.</t>
  </si>
  <si>
    <t xml:space="preserve">Para el mes de julio la región de MMCC realizo 12 conceptos técnicos documentales, el cumulado para el mes de julio es de 41 conceptos técnicos documentales, de los 86 programados como meta.
</t>
  </si>
  <si>
    <t>Para el mes de julio la región de MMCC presidio 18 Actas, el acumulado al mes de mayo es de 71 Actas (Avance del 66%), los actos administrativos totales son 103 (conformados por 71 actas, 25 autos y 11 resoluciones). de los 298 Programados.</t>
  </si>
  <si>
    <t>Para el segundo trimestre la region MMCC no hizo uso del instrumento desmantelamiento y abandono, teniendo en cuenta que las empresas en seguimiento no han reportado el inicio de la etapa.
 (REPORTE TRIMESTRAL)</t>
  </si>
  <si>
    <t>A corte 31 de Julio del 2021, la Región Orinoquia Amazonas realizó 119 visitas, de los cuales 47 corresponden a visitas presenciales, y 72 corresponden a visitas Guiadas.</t>
  </si>
  <si>
    <t>A corte 31 de Julio del 2021, la Región Orinoquia Amazonas, expidió 84 CT con visita, de los cuales 52 corresponden a CT de visitas guiadas y 32 corresponde a CT de visita presencial.</t>
  </si>
  <si>
    <t xml:space="preserve">	
A corte 31 de Julio del 2021, la Región Orinoquia Amazonas, expidió 57 CT documental.</t>
  </si>
  <si>
    <t xml:space="preserve">	
A corte 31 de Julio del 2021, la Región Orinoquia Amazonas tuvo un avance de 57% en actas de oralidad.</t>
  </si>
  <si>
    <t>Para este Segundo trimestre el Grupo de Orinoquia tuvo un avance de 4% en el instrumento de matriz de obligaciones, que se les aplicaron a 5 proyectos del Grupo: (LAM1063, LAM0640, LAM1464, LAM0510, LAM0230)
 (REPORTE TRIMESTRAL)</t>
  </si>
  <si>
    <t>A corte de 31 de julio de 2021 el grupo (Seguimiento) de Agroquímicos y Proyectos Especiales ha realizado 152 conceptos técnicos, para un total de 974 conceptos técnicos acumulados en el año 2021 de 1584 programados como meta.</t>
  </si>
  <si>
    <t>Actualmente este indicador no aplica para el grupo Agroquímicos y Proyectos Especiales dado que a la fecha no se usan los aplicativos de SIPTA.
 (REPORTE TRIMESTRAL)</t>
  </si>
  <si>
    <t>A corte de Julio se han nuemrado 220  conceptos técnicos numerados que incluyen el componente de compensación e inversión del 1% en etapa de seguimiento sobre 231 conceptos técnicos revisados por profesionales del equipo de compensación e inversión del 1% en etapa de seguimiento.</t>
  </si>
  <si>
    <t>se mantiene reporte de avance en 91%</t>
  </si>
  <si>
    <t>Al mes de agosto de 2021 se emitieron 1726 actos administrativos, de los cuales 1692 son vigencia 2021 (1236 autos, 404 oralidades y 52 resolución) y 34 son rezagos (24 Autos y 10 Oralidades)</t>
  </si>
  <si>
    <t>Al mes de agosto de 2021 se realizaron 599 visitas, de las cuales 341 fueron presenciales y 258 guiadas.</t>
  </si>
  <si>
    <t>Al mes de agosto de 2021, se realizaron 1797 conceptos técnicos, los cuales fueron 1336 documentales y 461 con visita</t>
  </si>
  <si>
    <t>Durante el mes de agosto de 2021 se tuvo un avance del 64% en las oralidades, dado que de los 645 actos administrativos generados por los grupos Alto Magdalena-Cauca, Caribe - Pacifico, Magdalena Medio - Cauca – Catatumbo y Orinoquia – Amazonas, 414 fueron por Oralidad.</t>
  </si>
  <si>
    <t xml:space="preserve">Al mes de agosto de 2021, se realizó seguimiento a 565 expedientes en la vigencia 2021 de los grupos Alto Magdalena-Cauca, Caribe - Pacifico, Magdalena Medio - Cauca – Catatumbo y Orinoquia – Amazonas, de los 1358 expedientes activos objeto de seguimiento objeto de seguimiento en etapa de construcción, operación y desmantelamiento y/o abandono. </t>
  </si>
  <si>
    <t>Al mes de agosto se realizó seguimiento a 59 proyectos en construcción de los 128 identificados en esta etapa.</t>
  </si>
  <si>
    <t>Para el presente período se reporta un acumulado de 128 AA.</t>
  </si>
  <si>
    <t>A corte 31 de agosto se han expedido 209 actos administrativos, los cuales 202 corresponden a vigencia actual y 7 a rezagos vigencia 2020.</t>
  </si>
  <si>
    <t>Para el mes de agosto la región de MMCC realizo 12 actas 11 autos y 4 resoluciones, el acumulado para el mes de agosto es de 134 actos administrativos, (conformados por 83 actas, 36 autos y 15 resoluciones), de las 298 programadas como meta.
Es importante recordar que la región de MMCC no contempla rezagos 2020.</t>
  </si>
  <si>
    <t>A corte 31 de agosto del 2021, la Región Orinoquia Amazonas, expidió 174 actos administrativos que acogen el seguimiento a proyectos licenciados, de los cuales 18 actos administrativos corresponden a rezagos vigencia 2020 y 156 actos administrativos corresponden a vigencia actual.</t>
  </si>
  <si>
    <t>A corte de 31 de Agosto de 2021 el grupo (Seguimiento) de Agroquímicos y Proyectos Especiales ha expedido 147 actos administrativos, para un total de 1081 actos administrativo-acumulados en el año 2021 de 1584 programados como meta.</t>
  </si>
  <si>
    <t>A 31 de agosto se han gestinado 760  proyectos en seguimiento con aplicación de la metodología del Indice de Desempeño Ambiental</t>
  </si>
  <si>
    <t>A 31 de agosto se han gestinado 760  proyectos en seguimiento con aplicación del  Seguimiento Documental Espacial</t>
  </si>
  <si>
    <t>A 31 de agosto se han analizado a través de listas de chequeo 2431 informes de cumplimiento ambiental verificados preliminarmente, frente a 2537 los informes de cumplimiento ambiental radicados por los titulares de los proyectos.</t>
  </si>
  <si>
    <t>En el mes de agosto se aprobó  51,04 hectaréas para desarrollar acciones de conservación, preservación y restauración con cargo al 1% y la compensación ambiental acumulando 5518,66 hectáreas dentro de las áreas habilitadas por la estrategia para Compensación y 1%</t>
  </si>
  <si>
    <t>A 31 de agosto se han numerado 150  conceptos técnicos de seguimiento numerados, con participación del equipo de valoración económica sobre un  Total de  151  conceptos técnicos de seguimiento asignados al equipo de valoración económica</t>
  </si>
  <si>
    <t xml:space="preserve">A 31 de agosto se han emitido 18  actos administrativos que acogen el seguimiento realizado a los expedientes priorizados de contingencias operacionales recurrentes, 18 conceptos y 21 visitas </t>
  </si>
  <si>
    <t>Incluye el acumulado del año con corte al 31 de agosto de 2021 de visitas guiadas y presenciales.</t>
  </si>
  <si>
    <t>Se reporta el acumulado al 31 de agosto de 2021 de conceptos técnicos con visita.</t>
  </si>
  <si>
    <t>Para el presente período se reporta un acumulado de 45 conceptos técnicos documentales</t>
  </si>
  <si>
    <t>Para el presente período se reporta un acumulado de 77 oralidades / 128 AA para un 60% de avance.</t>
  </si>
  <si>
    <t>A corte 31 de agosto de 2021 la Región realizó 206 visitas de seguimiento entre presencial y guiadas.</t>
  </si>
  <si>
    <t>A corte 31 de agosto de 2021 la Región elaboró 161 CT con visita</t>
  </si>
  <si>
    <t xml:space="preserve">A corte 31 de agosto de 2021 la Región elaboró 54 CT documental de seguimiento   </t>
  </si>
  <si>
    <t>A corte del 31 de agosto se tiene un avance 72% en oralidades</t>
  </si>
  <si>
    <t>Para el mes de agosto la región de MMCC realizo 21 visitas (13 presenciales y 8 guiadas), el acumulado para el mes de agosto es de 148 visitas (57 presenciales, 91 guiadas), de las 212 programadas como meta.
Es importante recordar que la región de MMCC no contempla rezagos 2020.</t>
  </si>
  <si>
    <t>Para el mes de agosto la región de MMCC realizo 20 conceptos técnicos con visita, el acumulado para el mes de agosto es de 103 conceptos técnicos con visitas, de las 212 programadas como meta.</t>
  </si>
  <si>
    <t>Para el mes de agosto la región de MMCC realizo 9 conceptos técnicos documentales, el cumulado para el mes de agosto es de 50 conceptos técnicos documentales, de los 86 programados como meta.</t>
  </si>
  <si>
    <t>Para el mes de agosto la región de MMCC presidio 12 Actas, el acumulado al mes es de 83 Actas (Avance del 62%), los actos administrativos totales son 134 (conformados por 83 actas, 36 autos y 15 resoluciones). de los 298 Programados.</t>
  </si>
  <si>
    <t>A corte 31 de agosto del 2021, la Región Orinoquia Amazonas realizó 136 visitas, de los cuales 54 corresponden a visitas presenciales, y 82 corresponden a visitas Guiadas</t>
  </si>
  <si>
    <t>A corte 31 de agosto del 2021, la Región Orinoquia Amazonas, expidió 107 CT con visita, de los cuales 65 corresponden a CT de visitas guiadas y 42 corresponde a CT de visita presencial.</t>
  </si>
  <si>
    <t>A corte 31 de agosto del 2021, la Región Orinoquia Amazonas, expidió 64 CT documental.</t>
  </si>
  <si>
    <t>A corte 31 de agosto del 2021, la Región Orinoquia Amazonas tuvo un avance de 59% en actas de oralidad.</t>
  </si>
  <si>
    <t>A corte de 31 de agosto de 2021 el grupo (Seguimiento) de Agroquímicos y Proyectos Especiales ha realizado 149 conceptos técnicos, para un total de 1123 conceptos técnicos acumulados en el año 2021 de 1584 programados como meta.</t>
  </si>
  <si>
    <t>A 31 de agosto de 2021 se han emitido 253 conceptos técnicos numerados que incluyen el componente de compensación e inversión del 1% en etapa de seguimiento sobre un Total de 266  conceptos técnicos revisados por profesionales del equipo de compensación e inversión del 1% en etapa de seguimiento. Se hace corrección de numero de conceptos repetidos</t>
  </si>
  <si>
    <t xml:space="preserve">A 31 de agosto se han evaluado 310 conceptos técnicos de seguimiento numerados con participación del equipo de contingencias sobre  un total de 344 conceptos técnicos de seguimiento asignados al equipo de contingencias. Se hace corrección de los expedientes repetidos y de los numeros de algunos conceptos. </t>
  </si>
  <si>
    <t>Al mes de septiembre de 2021 se emitieron  1954 actos administrativos, de los cuales 1919 son vigencia 2021 y 35 son rezagos 2020.</t>
  </si>
  <si>
    <t>Para el presente período se reporta un total acumulado de 138 A.A.de los cuales para el presente reporte (septiembre) se adicionan 10 AA  a los 128 reportados para el mes de agosto de 2021.</t>
  </si>
  <si>
    <t>A corte 30 de septiembre se han expedido 243 actos administrativos, los cuales 236 corresponden a vigencia actual y 7 a rezagos vigencia 2020.</t>
  </si>
  <si>
    <t>Para el mes de SEPTIEMBRE la región de MMCC realizo 16 actas 9 autos y 3 resoluciones, el acumulado para el mes de SEPTIEMBRE es de 162 actos administrativos, (conformados por 99 actas, 45 autos y 18 resoluciones), de las 298 programadas como meta.
Es importante recordar que la región de MMCC no contempla rezagos 2020.</t>
  </si>
  <si>
    <t>A corte 30 de septiembre del 2021, la Región Orinoquia Amazonas, expidió 204 actos administrativos que acogen el seguimiento a proyectos licenciados, de los cuales 18 actos administrativos corresponden a rezagos vigencia 2020 y 186 actos administrativos corresponden a vigencia actual.</t>
  </si>
  <si>
    <t>A corte de 30 de septiembre de 2021 el grupo (Seguimiento) de Agroquímicos y Proyectos Especiales ha expedido 126 actos administrativos, para un total de 1207 actos administrativo-acumulados en el año 2021 de 1584 programados como meta.</t>
  </si>
  <si>
    <t>A la fecha se han adelantado 857  proyectos en seguimiento con aplicación de la metodología del Indice de Desempeño Ambiental es decir un avance del 68%</t>
  </si>
  <si>
    <t xml:space="preserve">	
A la fecha se han adelantado 857 proyectos Licenciados objeto de seguimiento con Seguimiento Documental Espacial es decir un avance del 68%</t>
  </si>
  <si>
    <t>A la fecha se han adelantado 2703 ICA verificados sobre un total de 2766 de ICA recibidos; es decir un avance del 98%</t>
  </si>
  <si>
    <t>A la fecha se han evaluado  5552.79   hectaréas aprobadas para desarrollar acciones de conservación, preservación y restauración con cargo al 1% y la compensación ambiental en las áreas habilitadas por la estrategia para Compensación y 1%</t>
  </si>
  <si>
    <t>A la fecha se han emitido 172 conceptos técnicos de seguimiento numerados, con participación del equipo de valoración económica sobre un Total de 172  conceptos técnicos de seguimiento asignados al equipo de valoración económica. Se hizo la corrección de digitación del Concepto Técnico  No.  5843 de sep 24 de 2021 - del expediente LAV0030-00-2018</t>
  </si>
  <si>
    <t xml:space="preserve">A la fecha se han emitdo 20  actos administrativos que acogen el seguimiento realizado a los expedientes priorizados de contingencias operacionales recurrentes </t>
  </si>
  <si>
    <t xml:space="preserve">	
Incluye el acumulado del año con corte al 30 de septiembre de 2021 de visitas guiadas y presenciales.</t>
  </si>
  <si>
    <t>Al mes de septiembre de 2021, se realizaron 2038 conceptos técnicos, los cuales fueron  1485 documentales y 553 con visita</t>
  </si>
  <si>
    <t>Durante el mes de septiembre de 2021 se tuvo un avance del 63,6% en las oralidades, dado que de los 747 actos administrativos generados por los grupos Alto Magdalena-Cauca, Caribe - Pacifico, Magdalena Medio - Cauca – Catatumbo y Orinoquia – Amazonas, 475 fueron por Oralidad.</t>
  </si>
  <si>
    <t>Al mes de Septiembre  de 2021, se realizó seguimiento a 655 expedientes en la vigencia 2021 de los grupos Alto Magdalena-Cauca, Caribe - Pacifico, Magdalena Medio - Cauca – Catatumbo y Orinoquia – Amazonas, de los 1358 expedientes activos objeto de seguimiento objeto de seguimiento en etapa de construcción, operación y desmantelamiento y/o abandono.</t>
  </si>
  <si>
    <t>Al mes de septiembre se realizó seguimiento a 75 proyectos en construcción  de los 128 identificados en esta etapa.</t>
  </si>
  <si>
    <t>Para el mes de  septiembre 34 proyectos fueron acogidos por  instrumentos de SIPTA teniendo encuenta los cuatro grupos Orinoquia amazonas, alto magdalena, medio magdalena y caribe pacifico. 
34 Instrumentos / CT de los grupos 784 = 4,3%</t>
  </si>
  <si>
    <t>Para el presente período se reporta un acumulado de 127 visitas, de las cuales 18  corresponden al mes de septiembre, 4 guiadas y 14 presenciales.</t>
  </si>
  <si>
    <t>Para el presente período se reporta un acumulado de 101 conceptos técnicos con visita, de los cuales 11 corresonden al mes de septiembre.</t>
  </si>
  <si>
    <t>Para el presente período se reporta un acumulado de 50 conceptos técnicos documentales, 5 corresponden al mes de septiembre.</t>
  </si>
  <si>
    <t xml:space="preserve">El avance corresponde al cálculo del total de acumulado de oralidades 85 sobre el total de actos administrativos 138
85/138 = 0.615*100 = 61.5% </t>
  </si>
  <si>
    <t>A la fecha se ha implementado instrumentos SIPTA a 10 seguimientos Ambientales, lo que según la formula corresponde a un 6,6% acumulado.
formula:
10/151=0,06..*100=6,6
 (REPORTE TRIMESTRAL)</t>
  </si>
  <si>
    <t>A corte 30 de septiembre de 2021 la Región realizó 253 visitas de seguimiento entre presencial y guiadas.</t>
  </si>
  <si>
    <t>A corte 30 de septiembre de 2021 la Región elaboró 202 CT con visita</t>
  </si>
  <si>
    <t xml:space="preserve">A corte 30 de septiembre de 2021 la Región elaboró 54 CT documental de seguimiento  </t>
  </si>
  <si>
    <t>A corte del 30 de septiembre de 2021, se tiene un avance del 73% en oralidades</t>
  </si>
  <si>
    <t>Se tiene avance de 2.74% a corte del 30 de septiembre de 2021. En total se ha aplicado a 7 seguimientos los instrumentos desarrollados 
 (REPORTE TRIMESTRAL)</t>
  </si>
  <si>
    <t>Para el mes de SEPTIEMBRE la región de MMCC realizo 23 visitas (17 presenciales y 6 guiadas), el acumulado para el mes de SEPTIEMBRE es de 174 visitas (76 presenciales, 98 guiadas), de las 212 programadas como meta.</t>
  </si>
  <si>
    <t>Para el mes de SEPTIEMBRE la región de MMCC realizo 16 conceptos técnicos con visita, el acumulado para el mes de SEPTIEMBRE es de 119 conceptos técnicos con visitas, de las 212 programadas como meta</t>
  </si>
  <si>
    <t>Para el mes de SEPTIEMBRE la región de MMCC realizo 9 conceptos técnicos documentales, el cumulado para el mes de SEPTIEMBRE es de 59 conceptos técnicos documentales, de los 86 programados como meta.</t>
  </si>
  <si>
    <t>Para el mes de SEPTIEMBRE la región de MMCC presidio 16 Actas, el acumulado al mes de mayo es de 99 Actas (Avance del 61%), los actos administrativos totales son 162 (conformados por 99 actas, 45 autos y 18 resoluciones). de los 298 Programados.</t>
  </si>
  <si>
    <t>Para el tercer trimestre se reportan 7 expedientes en los cuales se hizo uso de las herramientas SIPTA para un avance de 4.5 %, (se cuenta con un acumulado de 8 expedientes) las herramientas usadas fueron: IMPACTOS ESTANDARIZADOS - INDICADORES DE EFECTIVIDAD - OBLIGACIONES MINIMAS – DESMANTELAMMIENTO Y ABANDONO.
 (REPORTE TRIMESTRAL)</t>
  </si>
  <si>
    <t>A corte 30 de septiembre del 2021, la Región Orinoquia Amazonas realizó 160 visitas, de los cuales 71 corresponden a visitas presenciales, y 89 corresponden a visitas Guiadas.</t>
  </si>
  <si>
    <t>A corte 30 de septiembre del 2021, la Región Orinoquia Amazonas, expidió 131 CT con visita, de los cuales 80 corresponden a CT de visitas guiadas y 51 corresponde a CT de visita presencial.</t>
  </si>
  <si>
    <t xml:space="preserve">	
A corte 30 de septiembre del 2021, la Región Orinoquia Amazonas, expidió 68 CT documental.</t>
  </si>
  <si>
    <t>A corte 30 de septiembre del 2021, la Región Orinoquia Amazonas expidió 113 Actas de Oralidad de las cuales 6 actas corresponden a rezagos vigencia 2020 y 107 actas corresponden a vigencia actual.</t>
  </si>
  <si>
    <t>Para este tercer trimestre el Grupo de Orinoquia Amazonas tuvo un avance del 4.52% en el instrumento de la SIPTA.
 (REPORTE TRIMESTRAL)</t>
  </si>
  <si>
    <t>A corte de 30 de septiembre de 2021 el grupo (Seguimiento) de Agroquímicos y Proyectos Especiales ha realizado 132 conceptos técnicos, para un total de 1254 conceptos técnicos acumulados en el año 2021 de 1584 programados como meta.</t>
  </si>
  <si>
    <t>INDICADOR ELIMINADO POR APROBACIÓN DEL COMITÉ DIRECTIVO, DADO QUE NO APLICA AL GRUPO</t>
  </si>
  <si>
    <t>A la fecha se han apoyado  293  conceptos técnicos numerados que incluyen el componente de compensación e inversión del 1% en etapa de seguimiento sobre 305 conceptos técnicos revisados por profesionales del equipo de compensación e inversión del 1% en etapa de seguimiento</t>
  </si>
  <si>
    <t>A la fecha se han emitido se han emitido 378  conceptos técnicos de seguimiento numerados con participación del equipo de contingencias sobre un total de 409  conceptos técnicos de seguimiento asignados al equipo de contingencias. Se hizo ajuste de los conceptos repetidos</t>
  </si>
  <si>
    <t>En el periodo de abril a septiembre se generaron un total de 506 certificados, que sumado a los periodos anteriores suma un total de 1714 certificados emitidos, de un total de 1867 certificados por realizar en el año 2021, que corresponde al 92%.</t>
  </si>
  <si>
    <t>En el mes de Julio se suscribieron 27 Contratos de Prestación de Servicios Profesionales y/o Apoyo a la Gestión, de los cuales el 100% se realizó dentro de los términos del procedimiento.</t>
  </si>
  <si>
    <t>En el mes de agosto se suscribieron un total de 17 contratos de Prestación de servicios profesionales y/o apoyo a la gestión, de los cuales el 100% se firmaron dentro de los tiempos del procedimiento.</t>
  </si>
  <si>
    <t>En el mes de septiembre se suscribieron un total de 28 contratos por modalidad contratación directa de prestación de servicios y/o apoyo a la gestión, de los cuales el 100% fueron atendidos dentro de los tiempos establecidos en el procedimiento.</t>
  </si>
  <si>
    <t>En el periodo de julio a septiembre se realizaron 19 solicitudes, de las cuales 12 se encuentran a tiempo, de acuerdo con los términos del procedimiento, pues fueron radicadas en el mes de septiembre, 2 solicitudes fueron devueltas al área, 2 se encuentran en ajustes del área, 1 fue suscrita y cargada a Secop II por la entidad, pero el contratista no la suscribió en la plataforma y 2 fueron liquidadas de conformidad con lo requerido.</t>
  </si>
  <si>
    <t xml:space="preserve">	
Al cierre de julio se registra un recaudo de  $ 50,218,869,562 correspondiente al 48% de la meta  $ 105,533,877,773 esperada para la vigencia 2021.</t>
  </si>
  <si>
    <t>Al cierre de agosto/2021 se registra un recaudo $ 58.914.625.691 correspondiente al 56% de la meta  $105.533.877.773 esperada para la vigencia 2021.</t>
  </si>
  <si>
    <t>Al cierre de septiembre se registra recaudo por concepto de seguimiento y evlaaución de $71,072,855,767, lo cual coorresponde al 67% de la meta  $105,533,877,773 esperada para la vigencia 2021.</t>
  </si>
  <si>
    <t>Al cierre de julio se registra un recaudo de $ 39,190,490,453 correspondiente al 45% de la meta  $ 87,393,968,825 esperada para la vigencia 2021.</t>
  </si>
  <si>
    <t>Al cierre de agosto/2021 se registra un recaudo de $46.584.882.912 en servicio de seguimiento, correspondiente al 53% de la meta  $ 87.393.968.825 proyectada.</t>
  </si>
  <si>
    <t>Al cierre de septiembre se registra un recaudo por seguimiento de $57,254,948,054 correspondiente al 66% de la meta  $ 87,393,968,825 esperada para la vigencia 2021.</t>
  </si>
  <si>
    <t>Al cierre del mes de julio 2021se registran obligaciones acumulados del 55%, lo cual Incluye presupuesto asignado a la unidad ejecutora ANLA y la subunidad FONAM-ANLA.</t>
  </si>
  <si>
    <t>Al cierre del agosto/2021 se registran obligaciones acumuladas del 63%,lo cual incluye presupuesto asignado a la unidad ejecutora ANLA y la subunidad FONAM-ANLA.</t>
  </si>
  <si>
    <t>Al cierre de septiembre/2021 se registran obligaciones acumulados del 69% ($87.980.800.694,65), lo cual incluye presupuesto asignado a la unidad ejecutora ANLA y la subunidad FONAM-ANLA.</t>
  </si>
  <si>
    <t>Al cierre del mes de julio 2021, se registra un presupuesto ejecutado frente al asignado del 42%. Donde el presupuesto ejecutado es medido frente a obligaciones (Funcionamiento e inversion) para el mes de julio.</t>
  </si>
  <si>
    <t>Al cierre de agosto/2021 el presupuesto ejecutado frente al asignado corresponde al 49%; el presupuesto ejecutado es medido frente a obligaciones (Funcionamiento e inversion).</t>
  </si>
  <si>
    <t>El presupuesto ejecutado frente al asignado corresponde al 56%. Donde el presupuesto ejecutado es medido frente a obligaciones (Funcionamiento e inversion) para el mes de septiembre.</t>
  </si>
  <si>
    <t>Al cierre del mes de julio/2021 el prespuesto registra compromisos acumulados del 76%, lo cual incluye presupuesto asignado a la unidad ejecutora ANLA y la subunidad FONAM-ANLA.</t>
  </si>
  <si>
    <t xml:space="preserve">Al cierre de agosto/2021 se registran compromisos acumulados del 78%, lo cual incluye presupuesto asignado a la unidad ejecutora ANLA y la subunidad FONAM-ANLA.
</t>
  </si>
  <si>
    <t>Al cierre de septiembre/2021 se registran compromisos acumulados del 81%, lo cual incluye presupuesto asignado a la unidad ejecutora ANLA y la subunidad FONAM-ANLA.</t>
  </si>
  <si>
    <t xml:space="preserve">Al cierre de septiembre/2021 se registra ingresos de $88.580.046.397,oo y compromisos de $127.353.251.227,oo, lo cual arroja un indicador de 0.69 </t>
  </si>
  <si>
    <t>El avance del indicador de Sostenibilidad Financiera para el 3 trimestre es de 17.7%, para un avance consolidado del 56.2%, las evidencias de la gestión se encuentran en la carpeta  OneDrivehttps://anla-my.sharepoint.com/:f:/g/personal/wrodriguez_anla_gov_co1/Ei7o1bAT9w9Mjpr2ySxwLzwBWIfxj9a2uB4UCYNZt6cr3Q?e=1LHSg7</t>
  </si>
  <si>
    <t xml:space="preserve">	
En el mes de julio se firmo el contrato para la organización y digitalización de los documentos y a la vez se realizo listado de expedientes para inicio de intervención.</t>
  </si>
  <si>
    <t xml:space="preserve">	
En el mes de agosto se realizó entrega de 278 metros lineales para identificación, alistamiento y entrega de expedientes al proveedor del proceso de organización y digitalización.</t>
  </si>
  <si>
    <t>En el mes de septiembre se realizó 278 metros lineales de organización cronológica e incorporación de anexos. Se realizó la digitalización de 16 metros lineales y a la fecha la empresa Archivos del Estado tiene en custodia 414 metros lineales.</t>
  </si>
  <si>
    <t xml:space="preserve">	
Para el mes de julio se realiza avance de Inventarios documentales y actividad del Plan de Preservación (Informe Análisis de Documentos Electrónicos).</t>
  </si>
  <si>
    <t>Para el mes de agosto se realiza avance del Instructivo de Levantamiento de Inventarios documentales, actividad del Plan de Preservación (Informe Análisis de Documentos Electrónicos) y elaboración de FUID de expedientes de la ANLA.</t>
  </si>
  <si>
    <t>Para el mes de septiembre se realiza la publicación del Instructivo de Levantamiento de Inventarios documentales, actividad del Plan de Preservación (Informe Análisis de Documentos Electrónicos) y elaboración de FUID de expedientes de la ANLA.</t>
  </si>
  <si>
    <t xml:space="preserve">	
En el mes de julio de formaliza el contrato para la organización y digitalización de expedientes.</t>
  </si>
  <si>
    <t>En el mes de agosto se realizó entrega de 278 metros lineales para identificación, alistamiento y entrega de expedientes al proveedor del proceso de organización y digitalización.
Para este periodo se realizó la organización de 16 metros lineales.el cual consiste en: incorporación de anexos, organización cronológica, foliación,  limpieza documental, creación de hoja de control y FUID.</t>
  </si>
  <si>
    <t>Se ejecuta el Plan de Trabajo del PINAR para el mes de julio. Se adjunta evidencias tales como: avance en Tablas de Retención Documental, Plan de trabajo PGD, actualización de FUID, reporte de bodega, actividades del SGDEA, transferencias documentales.</t>
  </si>
  <si>
    <t>Se ejecuta el Plan de Trabajo del PINAR para el mes de Agosto. Se adjunta evidencias tales como: avance en Tablas de Retención Documental, Plan de trabajo PGD, actualización de FUID, reporte de bodega, actividades del SGDEA y avance de documentos.</t>
  </si>
  <si>
    <t>Se ejecuta el Plan de Trabajo del PINAR para el mes de Septiembre. Se adjunta evidencias tales como: avance en Tablas de Retención Documental, Plan de trabajo PGD, actualización de FUID, reporte de bodega, actividades del SGDEA y avance de documentos.</t>
  </si>
  <si>
    <t>Para el mes de Agosto se cumple con las actividades planificadas en el cronograma, el plan de trabajo se encuentra adjunto, se realizó Control de Calidad, actualización de inventarios, avance de actividades de planes de conservación  y capacitación con sus respectivas evidencias, entre otras.</t>
  </si>
  <si>
    <t>Para el mes de Septiembre se cumple con las actividades planificadas en el cronograma, el plan de trabajo se encuentra adjunto, se realizó Control de Calidad, actualización de inventarios, avance de actividades de planes de conservación  y capacitación con sus respectivas evidencias, entre otras.</t>
  </si>
  <si>
    <t>Para el mes de julio se tenía un total de 5 actividades programadas y se ejecutaron las 5 en su totalidad, para un porcentaje de cumplimiento en el periodo de 100%, y un acumulado de 52% con 41 actividades cumplidas de las 45 programadas hasta el mes en mención.</t>
  </si>
  <si>
    <t>Para el mes de agosto se tenía un total de 7 actividades programadas y se ejecutaron las 7 en su totalidad, para un porcentaje de cumplimiento en el periodo de 100%, y un acumulado de 61% con 48 actividades cumplidas de las 52 programadas hasta el mes en mención.</t>
  </si>
  <si>
    <t>Para el mes de septiembre se tenía un total de 7 actividades programadas y se ejecutaron las 7 en su totalidad, para un porcentaje de cumplimiento en el periodo de 100%, y un acumulado de 70% con 55 actividades cumplidas de las 79 actividades programadas para la vigencia 2021</t>
  </si>
  <si>
    <t>En el mes de julio, el consumo total fue de 50.430 número de hojas, para un ahorro del 57%, comparado con el promedio anual histórico que es de 117.844 número de hojas. (la meta se supera teniendo en cuenta la contingencia por el COVID-19 y la ausencia de usuarios internos en la entidad).
En el mes de julio, el consumo total fue de 100.859 número de páginas (No. de hojas por peso: 177 kg), para un ahorro del 57%, comparado con el promedio anual histórico de hoja de 117.844 (No. de hojas por peso: 574 kg), sin embargo, se determinó un porcentaje del 29% después de un cálculo que tiene en cuenta la contingencia por el COVID-19 que ocasiona la ausencia de la gran mayoría de colaboradores en las instalaciones de la entidad (implementado por la OAP).</t>
  </si>
  <si>
    <t>En el mes de agosto, el consumo total fue de 50.704 número de hojas, para un ahorro del 57%, comparado con el promedio anual histórico que es de 117.844 número de hojas. (la meta se supera teniendo en cuenta la contingencia por el COVID-19 y la ausencia de usuarios internos en la entidad).</t>
  </si>
  <si>
    <t>En el mes de septiembre, el consumo total fue de 44.036 número de hojas, para un ahorro del 63%, comparado con el promedio anual histórico que es de 117.844 número de hojas. (la meta se supera teniendo en cuenta la contingencia por el COVID-19 y la ausencia de usuarios internos en la entidad).
En el mes de septiembre, el consumo total fue de 88.071 número de páginas (No. de hojas por peso: 214 kg), para un ahorro del 63%, comparado con el promedio anual histórico de hoja de 117.844 (No. de hojas por peso: 574 kg), sin embargo, se determinó un porcentaje del 30% después de un cálculo que tiene en cuenta la contingencia por el COVID-19 que ocasiona la ausencia de la gran mayoría de colaboradores en las instalaciones de la entidad (implementado por la OAP) y que fua ajustado debido al retorno progresivo al trabajo presencial en la entidad.</t>
  </si>
  <si>
    <t>Para el mes de julio se recibió un total de 152 casos en la mesa de ayuda, de los cuales 151 fueron calificados como Excelente (100/100), 1 calificados como Bueno y 0 calificados como Regular, obteniendo de esta manera un avance del 99.80% de avance para el periodo (mes julio).</t>
  </si>
  <si>
    <t>Para el mes de agosto se recibió un total de 205 casos en la mesa de ayuda, de los cuales 203 fueron calificados como Excelente (100/100), 2 calificados como Bueno y 0 calificados como Regular, obteniendo de esta manera un avance del 99.71% de avance para el periodo (mes agosto).</t>
  </si>
  <si>
    <t>Para el mes de septiembre se recibió un total de 235 casos en la mesa de ayuda, de los cuales 232 fueron calificadas como Excelente (100/100), 2 calificadas como Bueno y 1 calificada como Regular, obteniendo de esta manera un avance del 99.45% de avance para el periodo (mes septiembre).</t>
  </si>
  <si>
    <t>El “Porcentaje de impacto de los eventos de bienestar” correspondiente al mes de JULIO en el cual se obtuvo una calificación del 93,8333333333333% de impacto de las actividades:
1    Clase deportiva 4 Rumba .    94,00%
2    Clase deportiva 5 Pilates.    95,00%
3    Clase de cocina Afrocolombiana .    97,00%
4    Taller de caricaturas enfoque en niños.    92,00%
5    Taller de líderes: Fortaleciendo nuestro CORE.    94,00%
6    Clase deportiva 6 Yoga .    97,00%
7    Webinar: Prácticas del buen trato familiar.    93,00%
8    Prevención del estrés – Taller de mandalas Grupo 1.    90,00%
9    Clase deportiva 7 Pilates .    96,00%
10    Prevención del estrés – Taller de mandalas Grupo 2.    93,00%
11    Clase deportiva 8 Yoga .    95,00%
12    Pasión por la ANLA.    90,00%</t>
  </si>
  <si>
    <t xml:space="preserve">El “Porcentaje de impacto de los eventos de bienestar” correspondiente al mes de AGOSTO en el cual se obtuvo una calificación del 96,1818181818182% de impacto de las actividades:
1.    Webinar: Solución de conflictos familiares.    93,00%
2.    Clase deportiva 9 Pilates .    97,00%
3.    Clase de cocina Afrocolombiana .    96,00%
4.    Webinar: Proyecto de vida.    92,00%
5.    Masterclass de Mindfulness.    97,00%
6.    Clase deportiva 10 Yoga     98,00%
7.    Clase de cocina Afrocolombiana .    100,00%
8.    Taller de artesanías: Muñequería en crochet.    93,00%
9.    Clase deportiva 11 Pilates     98,00%
10.    Clase de cocina Afrocolombiana .    97,00%
11.    Actividad recreativa para los abuelitos de la Familia ANLA.    97,00%
Adicionalmente se realiza la actividad Conferencia de lanzamiento de la medición de ambiente institucional. </t>
  </si>
  <si>
    <t>El “Porcentaje de impacto de los eventos de bienestar” correspondiente al mes de SEPTIEMBRE en el cual se obtuvo una calificación del 95,9166666666667% de impacto de las actividades:
1.    27-08 Clase deportiva 12: Yoga    95,00%
2.    27-08 Taller de artesanías: Muñequería en crochet - Grupo 2    97,00%
3.    03-09 Programa de Mindfulness Grupo 2 - Sesión 1    96,00%
4.    03-09 Webinar: Autogestión    93,00%
5.    06-09 Programa de Mindfulness Grupo 1 - Sesión 1    98,00%
6.    10-09 Programa de Mindfulness - Grupo 2 - Sesión 2    96,00%
7.    10-09 Webinar: Solución de conflictos laborales    95,00%
8.    13-09 Programa de Mindfulness Grupo 1- Sesión 2    99,00%
9.    17-09 Programa de Mindfulness Grupo 2 - Sesión 3    96,00%
10.    20-09 Programa de Mindfulness Grupo 1 - Sesión 3    98,00%
11.    21-09 Webinar: Gestión Eficaz del tiempo    93,00%
12.    24-09 Programa de Mindfulness - Grupo 2 Sesión 4    95,00%
Para el cierre del tercer trimestre se logra un porcentaje promedio de calificaciones de 93,030%, en total se han evaluado 56 eventos en toda la vigencia, de los cuales 35 eventos fueron evaluados en el trimestre.</t>
  </si>
  <si>
    <t>El “propuesta de la estrategia de calidad de vida” correspondiente al mes de JULIO en el cual se obtuvo una calificación del 94,3757254859526% de impacto de las actividades:
1    Clase deportiva 4 Rumba .    94,00%
2    Clase deportiva 5 Pilates.    95,00%
3    Clase de cocina Afrocolombiana .    97,00%
4    Taller de caricaturas enfoque en niños.    92,00%
5    Taller de líderes: Fortaleciendo nuestro CORE.    94,00%
6    Clase deportiva 6 Yoga .    97,00%
7    Webinar: Prácticas del buen trato familiar.    93,00%
8    Prevención del estrés – Taller de mandalas Grupo 1.    90,00%
9    Clase deportiva 7 Pilates .    96,00%
10    Prevención del estrés – Taller de mandalas Grupo 2.    93,00%
11    Clase deportiva 8 Yoga .    95,00%
12    Pasión por la ANLA.    90,00%
13    Día del Servidor Público JULIO    98,82%
14    106 ACTIVIDADES SGSST    96,44%
Nota: en el avance del mes de JULIO se reporta 106 actividades de SGSST que aportan a este indicador, estas actividades están evaluadas por la herramienta de evaluación de encuestas, para su mayor comprensión se envían los archivos de WORD que contiene el listado total de actividades, un archivo en Excel con las asistencias y calificaciones respectivas y otro archivo de Excel con la herramienta que evalúa cada evento, se envía de esta forma por la cantidad de información generada.</t>
  </si>
  <si>
    <t>El “propuesta de la estrategia de calidad de vida” correspondiente al mes de AGOSTO en el cual se obtuvo una calificación del 96,5190980355414% de impacto de las actividades:
Webinar: Solución de conflictos familiares.    93,00%
Clase deportiva 9 Pilates .    97,00%
Clase de cocina Afrocolombiana .    96,00%
Webinar: Proyecto de vida.    92,00%
Masterclass de Mindfulness.    97,00%
Clase deportiva 10 Yoga     98,00%
Clase de cocina Afrocolombiana .    100,00%
Taller de artesanías: Muñequería en crochet.    93,00%
Clase deportiva 11 Pilates     98,00%
Clase de cocina Afrocolombiana .    97,00%
Actividad recreativa para los abuelitos de la Familia ANLA.    97,00%
Taller comunicación y trabajo en equipo    99,58%
95 ACTIVIDADES DE SGSST    97,16%
Nota: en el avance del mes de AGOSTO se reporta 95 actividades de SGSST que aportan a este indicador, estas actividades están evaluadas por la herramienta de evaluación de encuestas, para su mayor comprensión se envían los archivos de WORD que contiene el listado total de actividades, un archivo en Excel con las asistencias y calificaciones respectivas y otro archivo de Excel con la herramienta que evalúa cada evento, se envía de esta forma por la cantidad de información generada.</t>
  </si>
  <si>
    <t>El “propuesta de la estrategia de calidad de vida” correspondiente al mes de SEPTIEMBRE en el cual se obtuvo una calificación del 96,5190980355414% de impacto de las actividades:
27-08 Clase deportiva 12: Yoga    95,00%
27-08 Taller de artesanías: Muñequería en crochet - Grupo 2    97,00%
03-09 Programa de Mindfulness Grupo 2 - Sesión 1    96,00%
03-09 Webinar: Autogestión    93,00%
06-09 Programa de Mindfulness Grupo 1 - Sesión 1    98,00%
10-09 Programa de Mindfulness - Grupo 2 - Sesión 2    96,00%
10-09 Webinar: Solución de conflictos laborales    95,00%
13-09 Programa de Mindfulness Grupo 1- Sesión 2    99,00%
17-09 Programa de Mindfulness Grupo 2 - Sesión 3    96,00%
20-09 Programa de Mindfulness Grupo 1 - Sesión 3    98,00%
21-09 Webinar: Gestión Eficaz del tiempo    93,00%
24-09 Programa de Mindfulness - Grupo 2 Sesión 4    95,00%
 Mentoring SEPTIEMBRE    98,73%
153 ACTIVIDADES DE SGSST    96,26%
Nota: en el avance del mes de SEPTIEMBRE se reporta 153 actividades de SGSST que aportan a este indicador, estas actividades están evaluadas por la herramienta de evaluación de encuestas, para su mayor comprensión se envían los archivos de WORD que contiene el listado total de actividades, un archivo en Excel con las asistencias y calificaciones respectivas y otro archivo de Excel con la herramienta que evalúa cada evento, se envía de esta forma por la cantidad de información generada.
Para el cierre del tercer trimestre se logra un porcentaje promedio de calificaciones de 93,669%, en total se han evaluado 510 eventos en toda la vigencia, de los cuales 393 eventos fueron evaluados en el trimestre.</t>
  </si>
  <si>
    <t>En el mes de JULIO se realizaron 9 actividades de las 109 propuestas para la vigencia, representadas en un 8,25688073394495% de avance a la meta, a continuación, se relacionan estas actividades:
1.    Yacimientos No Convencionales YNC
2.    Presentaciones efectivas 
3.    Jornada conociendo la ANLA
4.    SILA
5.    SIGPRO
6.    Supervisión Contractual - Fundamentos Generales 
7.    Día del servidor
8.    AGIL
9.    Delitos ambientales</t>
  </si>
  <si>
    <t>En el mes de AGOSTO se realizaron 12 actividades de las 109 propuestas para la vigencia, representadas en un 11,0091743119266% de avance a la meta, a continuación, se relacionan estas actividades:
1.    SILA
2.    AGIL 
3.    Taller redacción y estilo en evaluación de proyectos ambientales
4.    Agilidad Organizacional
5.    Profundización en supervisión contractual
6.    EXCEL INTERMEDIO -AVANZADO
7.    Manejo de recursos de regalías
8.    Gestión documental 
9.    SIGPRO y seguridad de la información
10.    Conociendo la ANLA 
11.    Control social 
12.    Taller comunicación y trabajo en equipo</t>
  </si>
  <si>
    <t>En el mes de SEPTIEMBRE se realizaron 7 actividades de las 109 propuestas para la vigencia, representadas en un 6,42201834862385% de avance a la meta, a continuación, se relacionan estas actividades:
1.    La mejor argumentación durante oralidades
2.    Diplomado misional 
3.    Aplicación del análisis multicriterio en evaluación de Diagnostico Ambiental de Alternativas DAA
4.    Manejo de GDB
5.    AGIL 
6.    Gestión documental 
7.    Programa mentoring para 30 servidores, 3 sesiones cada uno
Para el cierre del tercer trimestre se logra un avance de 80,73%, en total se han realizado 88 eventos en toda la vigencia, de los cuales 28 eventos fueron realizados en el trimestre.</t>
  </si>
  <si>
    <t>En JULIO se registra un avance del 0,0% pero se trabaja un avance cualitativo realizando así las siguientes actividades:
* Ejecución de talleres de réplica de conocimiento por parte de los facilitadores: (Correo) Envío de encuesta para levantamiento de temas que compartirán los facilitadores.</t>
  </si>
  <si>
    <t>En AGOSTO se registra un avance del 0,0% pero se trabaja un avance cualitativo realizando así las siguientes actividades:
No se adjuntan soportes ya que continua en un 60% de ejecución, lo anterior debido que los facilitadores se encuentran haciendo réplica de sus conocimientos.</t>
  </si>
  <si>
    <t>Durante el mes de SEPTIEMBRE se logra un avance del 16,6666666666667% el cual se detalla por porcentaje a continuación
* Ejecución de talleres de réplica de conocimiento por parte de los facilitadores
Aporta 8,33333333333333% Se adjuntan evidencias de 4 eventos realizados de 6:
* Asistencia 
* Evaluación
* Documento o presentación soporte del facilitador 
Los temas fueron:
1. Reinducción en seguridad y salud en el trabajo. (2 eventos)
2.  Sentencia T-42220 de la corte constitucional sobre consulta previa 
3. Desarrollo bajo carbono y resiliente al clima en el seguimiento de proyectos 
4. Gestión de comisiones por viáticos - SIIF y SPGR
Quedan solo 2 eventos por realizar.
* Elaboración de un documento escrito o presentación por parte de los facilitadores que repose a manera de consulta 8,33333333333333% se realizan los documentos y productos solicitados por los facilitadores.
Al finalizar el tercer trimestre se evidencia un porcentaje de cumplimiento de las actividades del 76,6666666666667% realizando en si 8.4 actividades hasta el momento de 10 programadas para la vigencia, se debe tener en cuenta los pesos porcentuales de cada actividad.</t>
  </si>
  <si>
    <t>Durante el mes de JULIO se logró un avance del 7,51295336787565% correspondiente a las actividades que a continuación se describen:
1.    Seguimiento actas reuniones Comité de Seguridad Vial 
2.    Realización de comunicaciones masiva sobre prevención de accidentes o incidentes viales
3.    Acompañamiento reuniones mensuales y revisión acta de COPASST
4.    Revisión con COPASST del cronograma de Inspecciones y definir distribución de acompañamientos en las inspecciones.
5.    Análisis estadístico de Ausentismo.
6.    Intervención en promoción y prevención -personal asintomático y riesgo bajo - Pausas Activas
7.    Seguimiento a resultados de encuesta de autorreporte de condiciones de salud en consecuencia del COVID 19
8.    Intervención población en riesgo medio y alto - Escuela terapéutica 
9.    Retroalimentación  Individual a trabajadores que puntuaron  niveles  alto y muy alto en la medición subjetiva de Factores de riesgo psicosocial.
10.    Acompañamiento en la planificación y Aplicación de la batería riesgo psicosocial Cumplimiento de Resolución 26460819 y Ley 1616 Salud Mental Art 9.
11.    Jornadas de manejo de fatiga y carga mental (pausas cognitivas)  
12.    Talleres lúdicos para  generar habilidades en la gestión de manejo de estrés (Reestructuración Cognitiva Inteligencia Emocional, Técnicas de Auto regulación y Autocuidado)
13.    Realización de envío de comunicados masivos sobre TIPs de prevención de riesgo cardiovascular.
14.    Programación y realización de actividades físicas para colaboradores - Hábitos de Vida Saludable- Talleres de Nutrición-Acompañamiento Individual.
15.    Pausas visuales
16.    Entrega de Informe deTapabocas / Kit de Bioseguridad para comisiones. / Kit de Bioseguridad para personal fuera de Bogotá
17.    Simulacro de escritorio COE (Guión e informe)- Charla COE 
18.    Simulacro de emergencia medica Brigada de emergencias (Guión e informe)
19.    Capacitación de Primeros Auxilios 
20.    Seguimientos y retroalimentación de MEDEVACs
21.    Acompañamientos por parte del Ingeniero Asesor de la ARL a los programas de seguridad industrial
22.    Supervisión SST en Campo / Realización de Charlas de Seguridad en Campo
23.    Implementación del Programa SBC. Capacitaciones y Observaciones
24.    Realización de Inspecciones de EPPs - Proveedores
25.    Realización de Inspecciones de EPPs - Contratistas (En campo y/o revisión de informes post comisión)
26.    Seguimientos a hallazgos encontrados en inspecciones
27.    Seguimiento a los reportes de actos y condiciones recibidos
28.    Inicio Proceso de contratación adquisición de elementos emergencias (botiquines / extintores)
29.    Seguimiento a Indicadores y planes de acción establecidos en los diferentes Programas del SG-SST</t>
  </si>
  <si>
    <t>Durante el mes de AGOSTO se logró un avance del 9,84455958549223% correspondiente a las actividades que a continuación se describen:
1.    Recolección de información para rendición de Cuentas 
2.    Revisión y Actualización  Matriz de Identificación de peligros, valoración de riesgos y determinación de controles 
3.    Realización de Reinducción en SST a toda la entidad
4.    Solicitud soportes reuniones trimestrales Comité de Convivencia Laboral 
5.    Programación y Seguimiento de Asesorías con la ARL para Seguridad Vial
6.    Acompañamiento reuniones mensuales y revisión acta de COPASST
7.    Análisis estadístico de Ausentismo.
8.    Intervención en promoción y prevención -personal asintomático y riesgo bajo - Pausas Activas
9.    Seguimiento a resultados de encuesta de autorreporte de condiciones de salud en consecuencia del COVID 19
10.    Intervención población en riesgo medio y alto - Escuela terapéutica 
11.     Envío masivo de TIPs de prevención y promoción de DME- En casa-COVID 19
12.    Retroalimentación  Individual a trabajadores que puntuaron  niveles  alto y muy alto en la medición subjetiva de Factores de riesgo psicosocial.
13.    Intervensión grupal derivada de aplicación de Batería de Riesgo Psisocial (Liderazgo-Comunicación y Trabajo en Equipo- Inteligencia Emiocional y Felicidad- Manejo de Cambio) 
14.    Jornadas de manejo de fatiga y carga mental (pausas cognitivas)  
15.    Programación y realización de actividades físicas para colaboradores - Hábitos de Vida Saludable- Talleres de Nutrición-Acompañamiento Individual.
16.    Reto Saludable
17.    Pausas visuales
18.    Revisión y Actualización del documento de Programa de Prevención de Riesgo Publico
19.    Entrega de Informe deTapabocas / Kit de Bioseguridad para comisiones. / Kit de Bioseguridad para personal fuera de Bogotá
20.    Solicitar campaña de expectativa para la Semana SST (programación, actividades, etc.)
21.    Contactar a Proveedores para programación de actividades (feria saludable, donación de sangre, entre otras actividades)
22.    Revisión y ajuste al Plan de Emergencias de las sedes de la entidad (sede nueva y Bodega) 
23.    Simulacro de emergencia medica Brigada de emergencias (Guión e informe)
24.    Pruebas de radios punto a punto (informe y correo) 
25.    Capacitación de Primeros Auxilios 
26.    Seguimientos y retroalimentación de MEDEVACs
27.    Acompañamientos por parte del Ingeniero Asesor de la ARL a los programas de seguridad industrial
28.    Supervisión SST en Campo / Realización de Charlas de Seguridad en Campo
29.    Implementación del Programa SBC. Capacitaciones y Observaciones
30.    Realización de Inspecciones de EPPs - Contratistas (En campo y/o revisión de informes post comisión)
31.    Realización de Inspecciones de Botiquines y Camillas
32.    Seguimientos a hallazgos encontrados en inspecciones
33.    Gestionar con comunicaciones medios impresos o espacios virtuales para facilitar acceso a la herramienta ANLARMA
34.    Comunicado masivo sobre herramienta ANLARMA Reporte de Actos y Condiciones Inseguros
35.    Seguimiento a los reportes de actos y condiciones recibidos
36.    Solicitar comunicaciones masivas sobre seguridad indicando la importancia de la familia
37.    Seguimiento al programa de mantenimiento de instalaciones y maquinaria
38.    Seguimiento a Indicadores y planes de acción establecidos en los diferentes Programas del SG-SST</t>
  </si>
  <si>
    <t>Durante el mes de SEPTIEMBRE se logró un avance del 7,7720207253886% correspondiente a las actividades que a continuación se describen:
1.    Rendición de Cuentas 
2.    Realización de Inducción en SST a Proveedores
3.    Realización de comunicaciones masiva sobre prevención de accidentes o incidentes viales
4.    Acompañamiento reuniones mensuales y revisión acta de COPASST
5.    Análisis estadístico de Ausentismo.
6.    Intervención en promoción y prevención -personal asintomático y riesgo bajo - Pausas Activas
7.    Seguimiento a resultados de encuesta de autorreporte de condiciones de salud en consecuencia del COVID 19
8.    Intervención población en riesgo medio y alto - Escuela terapéutica 
9.    Retroalimentación  Individual a trabajadores que puntuaron  niveles  alto y muy alto en la medición subjetiva de Factores de riesgo psicosocial.
10.    Jornadas de manejo de fatiga y carga mental (pausas cognitivas)  
11.    Talleres lúdicos para  generar habilidades en la gestión de manejo de estrés (Reestructuración Cognitiva Inteligencia Emocional, Técnicas de Auto regulación y Autocuidado)
12.    Programación y realización de actividades físicas para colaboradores - Hábitos de Vida Saludable- Talleres de Nutrición-Acompañamiento Individual.
13.    Reto Saludable
14.    Pausas visuales
15.    Entrega de Informe deTapabocas / Kit de Bioseguridad para comisiones. / Kit de Bioseguridad para personal fuera de Bogotá
16.    Realización de la Semana de la Salud
17.    Divulgación del Plan de Emergencias y Análisis de Vulnerabilidad (Sede Nueva - Bodega)
18.    Realización de Simulacros de Evacuación (Guión e Informe (SIMULACRO DISTRITAL)
19.    Capacitación de Primeros Auxilios 
20.    Seguimientos y retroalimentación de MEDEVACs
21.    Acompañamientos por parte del Ingeniero Asesor de la ARL a los programas de seguridad industrial
22.    Supervisión SST en Campo / Realización de Charlas de Seguridad en Campo
23.    Implementación del Programa SBC. Capacitaciones y Observaciones
24.    Realización de Inspecciones SSTA
25.    Realización de Inspecciones de EPPs - Proveedores
26.    Realización de Inspecciones de EPPs - Contratistas (En campo y/o revisión de informes post comisión)
27.    Seguimientos a hallazgos encontrados en inspecciones
28.    Seguimiento a los reportes de actos y condiciones recibidos
29.    Cierre de los planes de acción resultantes de los programas y planes existentes en el SG-SST
30.    Seguimiento a Indicadores y planes de acción establecidos en los diferentes Programas del SG-SST
Al finalizar el tercer trimestre se encuentra un avance acumulado del 75,9067357512953% en total se han realizado 293 actividades durante la vigencia y en este trimestre se realizaron 97 de estas.</t>
  </si>
  <si>
    <t>Durante el mes de JULIO no se presentaron accidentes en la entidad, el porcentaje de este indicador del mes de JULIO fue 0,0% y en promedio de la vigencia es de 0, 0,0230229077932543%, por tal motivo se cumple con el indicador al 100% en este mes ya que la estadística se encuentra en un valor menor al 1% máximo de accidentes por mes propuesto.</t>
  </si>
  <si>
    <t>Durante el mes de AGOSTO tuvo lugar 1 accidente en la entidad, el porcentaje de este indicador del mes de AGOSTO fue 0,0689655172413793% y en promedio de la vigencia es de 0,0287657339742699 por tal motivo se cumple con el indicador al 100% en este mes ya que la estadística se encuentra en un valor menor al 1% máximo de accidentes por mes propuesto.</t>
  </si>
  <si>
    <t>Durante el mes de SEPTIEMBRE no se presentaron accidentes en la entidad, el porcentaje de este indicador del mes de SEPTIEMBRE fue 0,0% y en promedio de la vigencia es de 0,0255695413104621%, por tal motivo se cumple con el indicador al 100% en este mes ya que la estadística se encuentra en un valor menor al 1% máximo de accidentes por mes propuesto.
Al finalizar el trimestre si bien se generaron en el mismo accidente se sigue cumpliendo con la meta al 100%, en la métrica de toda la vigencia en total han tenido lugar 3 accidentes que representan el 0,0255695413104621% frente a los colaboradores que se han utilizado para la medición.</t>
  </si>
  <si>
    <t>En el mes de JULIO se realiza un avance de 6,25% producto de las diferentes actividades gestionadas que se describen a continuación:
1.    Desarrollar actividades sensibilización y formación para la apropiación de la Política de Integridad: Se desarrollo la actividad de Conociendo la ANLA con el fin de dar a conocer la información de la política de Integridad (Código de Integridad y la Estrategia de Conflicto de Intereses). Así mismo se asistió a la reunión de Líderes con la Subdirección de Seguimiento de Licencias Ambientales reforzando la Política de Integridad. (1 actividades realizadas)
Adicionales
•    Seguimiento y monitoreo al registro de conflictos de intereses que han surtido trámite: Se encuentra en revisión la matriz y el procedimiento para el seguimiento y monitoreo de conflicto de intereses por parte del Grupo de Gestión Contractual para posterior publicación.</t>
  </si>
  <si>
    <t>En el mes de AGOSTO se realiza un avance de 12,5% producto de las diferentes actividades gestionadas que se describen a continuación:
1.    Desarrollar actividades sensibilización y formación para la apropiación de la Política de Integridad: Se desarrollo la actividad de Conociendo la ANLA con el fin de dar a conocer la información de la política de Integridad (Código de Integridad y la Estrategia de Conflicto de Intereses). Así mismo se realizó el primer grupo focal con unos integrantes del Equipo de Gestores de Integridad Adicionales
•    Seguimiento y monitoreo al registro de conflictos de intereses que han surtido trámite: Se encuentra en ajuste la matriz y el procedimiento para el seguimiento y monitoreo de conflicto de intereses de acuerdo con las observaciones del Grupo de Gestión Contractual para posterior publicación. No obstante, no se han reportado conflictos de intereses</t>
  </si>
  <si>
    <t>En el mes de SEPTIEMBRE se realiza un avance de 6,25% producto de las diferentes actividades gestionadas que se describen a continuación:
•    Seguimiento y monitoreo al registro de conflictos de intereses que han surtido trámite: El procedimiento de conflicto de intereses y la matriz de seguimiento y monitoreo de conflicto de intereses se encuentra en publicación. Así mismo, no se ha reportado ningún conflicto de interés de acuerdo con el seguimiento y monitoreo realizado.
Al cierre del tercer trimestre se encuentran un total de 15 actividades realizadas representadas en 93,75% de estas, queda por realizar 1 actividad que por cronograma esta para el ultimo trimestre del año.</t>
  </si>
  <si>
    <t>Para la presente vigencia 2021 se registra un avance acumulado del 98.9%, para el mes de Julio el Grupo de Gestión de Notificaciones realizó el proceso de publicidad para 1625 usuarios, de los cuales se inició en termino a 1621, quedando 4 fuera de término, así:
Dos (2) reinicios de proceso de publicidad mediante constancia, de acuerdo a lo acordado en reunión con el Grupo de Actuaciones Sancionatorias de OAJ, el día 17 de junio de 2021 de 14:00 – 14:30.
Un (1) acto administrativo que no ingresó al Módulo de Notificaciones y se solicitó ajuste a la OTI ([SILA 0016544] [SILA 0011674) y por ello se notificó hasta el 16/07/21.
Un (1) reinicio de proceso de publicidad, de acuerdo a un avance que se registró de forma errónea en el Módulo de Notificaciones y requirió ajuste de la OTI.</t>
  </si>
  <si>
    <t>Para la presente vigencia 2021 se registra un avance acumulado del 99.0%, para el mes de Agosto el Grupo de Gestión de Notificaciones realizó el proceso de publicidad para 1639 usuarios, de los cuales se inició en termino a 1634, quedando 5 fuera de término, así:
Dos (2) reinicios de proceso de publicidad, de acuerdo con dos autos de cobro de 2020 (12104 y 12105) en los que se evidenció que el oficio de notificación presentaba un error en su apertura por lo que se consideró necesario volver a notificar, dado que el usuario a la fecha aún no ha realizado el pago.
Un (1) reinicio de proceso de publicidad, en un auto de cobro de 2020 (11992) que se notificó al establecimiento de comercio y no al propietario del mismo.
Un (1) reinicio de proceso de publicidad(2252), según lo evaluado en reunión con OAJ el lunes 23 de agosto de 2021.
Un (1) acto administrativo de cobro coactivo (1278) que se generó el oficio de citación para notificación el 4 de agosto de 2021 pero por error en la generación del oficio en SIGPRO, este se envío por el área de correspondencia el día 20 de agosto de 2021.</t>
  </si>
  <si>
    <t>Para la presente vigencia 2021 se registra un avance acumulado del 99.1%, para el mes de Septiembre el Grupo de Gestión de Notificaciones realizó el proceso de publicidad para 1677 usuarios, de los cuales se inició en termino a 1670, quedando 7 fuera de término, así:
Un (1) reinicio de proceso de publicidad del Auto 00264 del 29 de enero de 2021 proferido en el expediente SAN0260-00-2020, de acuerdo con lo solicitado en memorando No 2021202708-3-000 por el Grupo de Actuaciones Sancionatorias – OAJ.
Seis (6) actos administrativos de procesos de cobro coactivo que se remitieron al Grupo de Gestión de Notificaciones en memorando No. 2021198985-3-000, fuera del termino establecido para iniciar el proceso de publicidad.</t>
  </si>
  <si>
    <t>Para julio se registro un total de 57 noticias de las cuales 33 son positivas, lo que corresponde a un 58%</t>
  </si>
  <si>
    <t>Para agosto se registro un total de 119 noticias de las cuales 67 son positivas, lo que corresponde a un 56%</t>
  </si>
  <si>
    <t>Para septiembre se registro un total de 110 noticias de las cuales 81 son positivas, lo que corresponde a un 74%</t>
  </si>
  <si>
    <t>Para el mes de julio se gestionaron 27 notas periodísticas a los medios de comunicación.</t>
  </si>
  <si>
    <t>Para el mes de agosto se gestionaron 57 notas periodísticas a los medios de comunicación.</t>
  </si>
  <si>
    <t>Para el mes de septiembre se gestionaron 77 notas periodísticas a los medios de comunicación.</t>
  </si>
  <si>
    <t>Gestión del conocimiento y la innovación</t>
  </si>
  <si>
    <t>Política de Gestión del conocimiento y la innovación</t>
  </si>
  <si>
    <t>La encuestas a usuarios internos se realizará en el mes de septiembre, a partir de este instrumento se obtiene la medición del indicador.</t>
  </si>
  <si>
    <t>De 853 personas que respondieron la encuesta, 765 se encuentran satisfechas con los contenidos de comunicación interna, equivalente al 90% de la muestra.</t>
  </si>
  <si>
    <t>Para julio se realizaron (2) campañas:
 1. 1000 Días ANLA por la Biodiversidad
 2. Primer Simposio ANLA</t>
  </si>
  <si>
    <t>Para agosto se realizaron (2) campañas: 
1. Eureka, de la Oficina Asesora Juríca. 
2. Rendición de cuentas</t>
  </si>
  <si>
    <t>Para julio se realizaron 62 publicaciones en la página web de la entidad y se reportaron 408 publicaciones en redes sociales.</t>
  </si>
  <si>
    <t>Para agosto se realizaron 71 publicaciones en la página web de la entidad y se reportaron 334 publicaciones en redes sociales.</t>
  </si>
  <si>
    <t>Para septiembre se realizaron 48 publicaciones en la página web de la entidad y se reportaron 353 publicaciones en redes sociales.</t>
  </si>
  <si>
    <t>Para julio se enviaron 46 correos internos y se realizaron 62 publicaciones en la intranet de la entidad, fondos de escritorio: 2, videos internos: 13 y ediciones de la Ronda Semanal: 5, para un total de 128 contenidos publicados.</t>
  </si>
  <si>
    <t>Para agosto se enviaron 46 correos internos y se realizaron 81 publicaciones en la intranet de la entidad, fondos de escritorio: 2, videos internos: 5 y ediciones de la Ronda Semanal: 4, para un total de 140 contenidos publicados.</t>
  </si>
  <si>
    <t>Para septiembre se enviaron 29 correos internos y se realizaron 57 publicaciones en la intranet de la entidad, fondos de escritorio: 1, videos internos: 4 y ediciones de la Ronda Semanal: 4, para un total de 95 contenidos publicados.</t>
  </si>
  <si>
    <t>Para julio se publicaron contenidos en los 10 canales de comunicación interna y externa.</t>
  </si>
  <si>
    <t>Para agosto se publicaron contenidos en los 10 canales de comunicación interna y externa.</t>
  </si>
  <si>
    <t>Para septiembre se publicaron contenidos en los 10 canales de comunicación interna y externa.</t>
  </si>
  <si>
    <t>Durante el periodo comprendido entre el 01 y 31 de julio de 2021, la Oficina de Control Disciplinario Interno, capacitó a 49 colaboradores del ANLA en total en dos sesiones</t>
  </si>
  <si>
    <t>Durante el periodo comprendido entre el 01 y 31 de agosto de 2021, la Oficina de Control Disciplinario Interno, capacitó a 97 colaboradores del ANLA en total en tres sesiones, que promediadas arrojan un 99,567% de satisfación.</t>
  </si>
  <si>
    <t>Durante el periodo comprendido entre el 01 y 30 de septiembre de 2021, la Oficina de Control Disciplinario Interno, capacitó a 79 colaboradores del ANLA en total en dos sesiones.</t>
  </si>
  <si>
    <t>Durante el periodo comprendido entre el 1 y 31 de julio de 2021, la Oficina de Control Disciplinario Interno emitió 17 actos administrativos</t>
  </si>
  <si>
    <t>Durante el periodo comprendido entre el 1 y 31 de agosto de 2021, la Oficina de Control Disciplinario Interno emitió 28 actos administrativos dentro de los terminos de ley.</t>
  </si>
  <si>
    <t>Durante el periodo comprendido entre el 1 y 30 de septiembre de 2021, la Oficina de Control Disciplinario Interno emitió 33 actos administrativos los cuales fueron tramitados dentro del término de Ley.</t>
  </si>
  <si>
    <t>Durante el tercer trimestre, con el fin de dar cumplimiento al plan de trabajo definido para el indicador “Documento sobre política de prevención de faltas disciplinarias para la entidad”, se realizaron tres mesas de relacionamiento con usuarios externo, quedando pendiente a la fecha una sesión.
De igual manera, se revisó el documento de la política en conjunto con la OAP en el mes de agosto y en el septiembre se realizó una ultima revisión con el equipo de abogados OCDI en pleno, contando a la fecha con el documento listo para la aprobación por parte del Comité Directivo.           
Finalmente, se definió el primer borrador del plan de trabajo para el 2022 de la política, en el cual se definieron las siguientes actividades generales:
- Generar espacios de socialización que propicien la divulgación y prevención de actos de corrupción y conductas recurrentes con incidencia disciplinaria a los usuarios internos y externos
- Realizar seguimiento y divulgación de la línea de ética.</t>
  </si>
  <si>
    <t>En cumplimiento al plan de trabajo definido para el indicador “Implementación y divulgación de la Línea de ética”, una vez realizada la divulgación de los canales de atención de Quejas Disciplinarias y Denuncias por Actos de Corrupción (link de denuncias en la página de la ANLA y la línea de ética), se realiza el segundo reporte de seguimiento de las quejas recibidas.
A la fecha, la Oficina de Control Disciplinario Interno recibido 5 quejas o denuncias adicionales.</t>
  </si>
  <si>
    <t>Durante el periodo comprendido entre el 01 y 31 de julio de 2021, en la Oficina de Control Disciplinario Interno se realizaron dos mesas de relacionamiento los días 22 y 30 de julio con la Contraloría General de la República y Ecopetrol respectivamente.</t>
  </si>
  <si>
    <t>Durante el periodo comprendido entre el 01 y 31 de agosto de 2021, en la Oficina de Control Disciplinario Interno se realizó la mesa de relacionamiento el 20 de agosto con Ecopetrol.</t>
  </si>
  <si>
    <t>Durante el periodo comprendido entre el 01 y 30 de septiembre de 2021, la Oficina de Control Disciplinario Interno no realizó mesas de relacionamiento, durante este periodo se realizó el contacto con el Director de Vigilancia Fiscal de la Contraloría Delegada para el Medio Ambiente a través del oficio radicado bajo el número 2021196669 y mediante correo electrónico del 28 de septiembre el Director de Vigilancia Fiscal manifiesta que está pendiente la definición de fecha y hora por su regreso de las vacaciones.</t>
  </si>
  <si>
    <t>Se emitieron 67 actos administrativos para el mes de julio vigencia 2021, distribuidos en los tres indicadores de la siguiente manera: Indicador 1, se emitieron 6 actos administrativos acogiendo CT de inicio, indicador 2, se emitieron 7 decisiones de fondo y para el indicador 3 se emitieron 54 actos administrativos de gestión entre las etapas del proceso sancionatorio.
E1_SANCIONATORIO_ACTOS ADMINISTRATIVOS FIRMADOS_JULIO_2021</t>
  </si>
  <si>
    <t>Se emitieron 69 actos administrativos para el mes de agosto vigencia 2021, distribuidos en los tres indicadores de la siguiente manera: Indicador 1, se emitieron 12 actos administrativos acogiendo CT de inicio, indicador 2, se emitieron 6 decisiones de fondo y para el indicador 3 se emitieron 51 actos administrativos de gestión entre las etapas del proceso sancionatorio.
E1_SANCIONATORIO_ACTOS ADMINISTRATIVOS FIRMADOS_AGOSTO_2021
E1_SANCIONATORIO_ACTOS ADMINISTRATIVOS FIRMADOS_MAYO_2021</t>
  </si>
  <si>
    <t>Se emitieron 87 actos administrativos para el mes de septiembre vigencia 2021, distribuidos en los tres indicadores de la siguiente manera: Indicador 1, se emitieron 9 actos administrativos acogiendo CT de inicio, indicador 2, se emitieron 8 decisiones de fondo y para el indicador 3 se emitieron 70 actos administrativos de gestión entre las etapas del proceso sancionatorio.
E1_SANCIONATORIO_ACTOS ADMINISTRATIVOS FIRMADOS_SEPTIEMBRE_2021
E1_SANCIONATORIO_ACTOS ADMINISTRATIVOS FIRMADOS_JUNIO_2021</t>
  </si>
  <si>
    <t>Para el primer indicador se emitieron 5 autos de apertura de investigación y 1 resolución que impone medida preventiva.
E1_SANCIONATORIO_INDICADOR 1_JULIO_2021</t>
  </si>
  <si>
    <t>Para el primer indicador se emitieron 12 autos de apertura de investigación.
E1_SANCIONATORIO_INDICADOR 1_AGOSTO_2021</t>
  </si>
  <si>
    <t>Para el primer indicador se emitieron 9 autos de apertura de investigación.
E1_SANCIONATORIO_INDICADOR 1_SEPTIEMBRE_2021</t>
  </si>
  <si>
    <t>Para el segundo indicador se emitieron 4 resoluciones de cesación, 2 resoluciones que declaran la caducidad y 1 resolución que resuelve recurso.
E1_SANCIONATORIO_INDICADOR 2_JULIO_2021</t>
  </si>
  <si>
    <t>Para el segundo indicador se emitieron 2 resoluciones de cesación, 2 resoluciones que exoneran de responsabilidad y 2 resoluciones que resuelven recurso de reposición contra sanción.
E1_SANCIONATORIO_INDICADOR 2_AGOSTO_2021</t>
  </si>
  <si>
    <t xml:space="preserve"> Para el segundo indicador se emitieron 4 resoluciones de cesación y 4 resoluciones que imponen sanción.
E1_SANCIONATORIO_INDICADOR 2_SEPTIEMBRE_2021</t>
  </si>
  <si>
    <t>Para el tercer indicador se emitieron 25 autos que ordenan diligencia dentro de investigación, 10 autos que decreta, rechaza o niega pruebas, 8 autos de formulación de cargos, 6 autos de archivo de proceso sancionatorio, 2 autos de aclaración, 1 resolución que niega levantamiento medida preventiva, 1 resolución que levanta medida y 1 auto que reconoce tercer interviniente.
E1_SANCIONATORIO_INDICADOR 3_JULIO_2021</t>
  </si>
  <si>
    <t>Para el tercer indicador se emitieron 15 autos que ordenan diligencia dentro de investigación, 11 autos de formulación de cargos, 6 autos que decreta, rechaza o niega pruebas,  9 autos de archivo de proceso sancionatorio, 3 autos que vinculan persona a investigación, 2 resoluciones que levantan medida, 1 auto de aclaración, 1 auto de traslado por competencia, 1 resolución que niega levantamiento medida preventiva, 1 resolución que aclara  y 1 auto que reconoce tercer interviniente.
E1_SANCIONATORIO_INDICADOR 3_AGOSTO_2021</t>
  </si>
  <si>
    <t>Para el tercer indicador se emitieron 32 autos que ordenan diligencia dentro de investigación, 15 autos que decreta, rechaza o niega pruebas, 5 autos de formulación de cargos, 4 autos de archivo de proceso sancionatorio, 4 auto de aclaración, 3 resoluciones que levantan medida, 3 autos que resuleven recurso, 1 auto de traslado por competencia, 1 resolución que niega levantamiento medida preventiva, 1 auto de acumulación  y 1 auto que reconoce tercer interviniente.
E1_SANCIONATORIO_INDICADOR 3_SEPTIEMBRE_2021</t>
  </si>
  <si>
    <t>Durante el mes de julio, el Grupo de Actuaciones Sancionatorias Ambientales recibió 17 solicitudes de apoyo para responder dentro de este período y 1 de junio que fue resuelta dentro del término en julio, para un total de 18 solicitudes realizadas por parte de otros grupos o dependencias de la ANLA, así:
6 Solicitudes realizadas por parte del Grupo de Defensa Judídica.
7 Solicitudes del Grupo RASP.
1 Solicitud realizada por la Oficina Asesora Jurídica.
2  Subdirección de Evaluación de Licencias Ambientales
2  Subdirección de Seguimiento de Licencias Ambientales 
E2_Identificación de solicitudes de apoyo Julio_2021</t>
  </si>
  <si>
    <t>Durante el mes de agosto, el Grupo de Actuaciones Sancionatorias Ambientales recibió 20 solicitudes de apoyo para responder dentro de este período y 2 de julio que fueron resueltas dentro del término, en agosto, para un total de 22 solicitudes realizadas por parte de otros grupos o dependencias de la ANLA, así:
6 Solicitudes realizadas por parte del Grupo de Defensa Jurídica.
2 Solicitudes realizadas por el Grupo de Participación Ciudadana y Atención al ciudadano.
8  Solicitudes del Grupo RASP.
1 Solicitud de la Subdirección de Instrumentos, Permisos y Trámites Ambientales - SIPTA.
5 Subdirección de Seguimiento de Licencias Ambientales 
E2_Identificación de solicitudes de apoyo Agosto_2021</t>
  </si>
  <si>
    <t>Durante el mes de septiembre, el Grupo de Actuaciones Sancionatorias Ambientales recibió 19 solicitudes de apoyo para responder dentro de este período y 3 de agosto que fueron resueltas dentro del término, en septiembre, para un total de 22 solicitudes realizadas por parte de otros grupos o dependencias de la ANLA, así:
4 Solicitudes realizadas por parte del Grupo de Defensa Jurídica.
1 Solicitud de la Oficia Asesora Jurídica.
2 Solicitudes realizadas por la Subdirección de Mecanismos de Participación Ciudadana Ambiental.
10  Solicitudes del Grupo RASP.
1 Solicitud de la Subdirección de Instrumentos, Permisos y Trámites Ambientales - SIPTA.
4 Subdirección de Seguimiento de Licencias Ambientales.
E2_IDENTIFICACIÓN DE SOLICITUDES DE APOYO SEPTIEMBRE_2021</t>
  </si>
  <si>
    <t>En Julio el Grupo de Gestión Administrativa y Financiera reportó al Grupo de Cobro Coactivo el recaudo de $226,690,684, correspondientes al pago total o parcial de obligaciones. 
E1_Cuadro de seguimiento Cobro Coactivo Julio_2021
E2_COACTIVO_Recaudo Julio_2021</t>
  </si>
  <si>
    <t>En Agosto el Grupo de Gestión Administrativa y Financiera reportó al Grupo de Cobro Coactivo el recaudo de $1.027.727.735, correspondientes al pago total o parcial de obligaciones. 
E1_Cuadro de seguimiento Cobro Coactivo Agosto_2021
E2_COACTIVO_Recaudo Agosto_2021</t>
  </si>
  <si>
    <t>En Septiembre el Grupo de Gestión Administrativa y Financiera reportó al Grupo de Cobro Coactivo el recaudo de $1.172.558.311, correspondientes al pago total o parcial de obligaciones, el recaudo total a septiembre asciende a $5.766.627.711 que correspondel al 69% de la meta.
E1_Cuadro de seguimiento Cobro Coactivo Septiembre_2021
E2_COACTIVO_Recaudo Septiembre_2021</t>
  </si>
  <si>
    <t>En Julio se recaudaron $81.227.754 que corresponden al pago total o parcial de obligaciones en cobro coactivo.
Se ordenó la apertura de 27 procesos; cambio de etapa de cartera persuasiva a coactiva por $185.654.150; se incrementa la meta de recaudo en coactivo en $55.696.245
E3_COACTIVO_Recaudo Coactivo Julio_2021
E4_COACTIVO_Procesos de CP a CC Julio_2021</t>
  </si>
  <si>
    <t>En Agosto se recaudaron $516.428.388 que corresponden al pago total o parcial de obligaciones en cobro coactivo.
E3_COACTIVO_Recaudo Coactivo Agosto_2021</t>
  </si>
  <si>
    <t>En Septiembre se recaudaron $1.063.930.868 que corresponden al pago total o parcial de obligaciones en cobro coactivo. En total a la fecha se han recaudado $2.801.533.132  que correponde al 64% de la meta establecida de acuerdo a la cartera que se encuentra en etapa coactiva. 
Se ordenó la apertura de 150 procesos; cambio de etapa de cartera persuasiva a coactiva por $1.675.188.510.
E3_COACTIVO_Recaudo Coactivo Septiembre_2021</t>
  </si>
  <si>
    <t>En Julio se recaudaron $145.462.930 que corresponden al pago total o parcial de obligaciones en etapa persuasiva de cobro.
Mediante memorando 2021078069-3-000 el Grupo de Gestión Financiera y Presupuestal remitió a la OAJ cartera para cobro coactivo: 224 autos de cobro .
Por solicitud del GGFyP se devolvieron 7 autos con obligaciones por valor de 343.671.000, por lo que la cartera efectivamente remitida asciende a 2.717.006.465
E5_COACTIVO_Recaudo Persuasivo Julio_2021</t>
  </si>
  <si>
    <t>En Agosto se recaudaron $511.299.347 que corresponden al pago total o parcial de obligaciones en etapa persuasiva de cobro.
Mediante memorando 2021146465-3-000 el Grupo de Gestión Financiera y Presupuestal remitió a la OAJ cartera para cobro coactivo por 2.802.564.253: 107 autos de cobro  y 3 resoluciones sancionatorias.
Es importante aclarar que, mediante correo electrónico se informó al GGFyP la no creación de  3 expedientes para las obligaciones contenidas en el memorando relacionado anteriormente por valor de 143.987.000, asimismo, por solicitud del GGFyP se devolvieron 4 autos con obligaciones por valor de 45.382.000 por lo que la cartera efectivamente remitida asciende a 2.613.195.253
E4_COACTIVO_Recaudo Persuasivo Agosto_2021</t>
  </si>
  <si>
    <t>En Septiembre se recaudaron $108.627.443 que corresponden al pago total o parcial de obligaciones en etapa persuasiva de cobro. En total a la fecha se han recaudado $2.965.094.579 que corresponden al 73% de la meta establecida con este corte de la cartera que se encuentra en etapa persuasiva.
E4_COACTIVO_Recaudo Persuasivo Septiembre_2021</t>
  </si>
  <si>
    <t xml:space="preserve"> Para el mes de julio de 2021, se emitieron 2 fallos ejecutoriados los cuales fueron favorables para la Entidad, para un total de 21 fallos favorables de 21 fallos ejecutoriados en el 2021.
E1_JUDICIALES_FALLOS JULIO 2021</t>
  </si>
  <si>
    <t>Para el mes de agosto de 2021, se emitieron 3 fallos ejecutoriados los cuales fueron favorables para la Entidad, para un total de 24 fallos favorables de 24 fallos ejecutoriados en el 2021.
E1_JUDICIALES_FALLOS AGOSTO 2021</t>
  </si>
  <si>
    <t>Para el mes de septiembre de 2021, se emitió  1 fallo ejecutoriado el cual fue favorable para la Entidad, para un total de 25 fallos favorables de 25 fallos ejecutoriados en el 2021.
E1_JUDICIALES_FALLOS SEPTIEMBRE 2021</t>
  </si>
  <si>
    <t>El indicador tiene una periodicidad semestral</t>
  </si>
  <si>
    <t>En el mes de julio de 2021 ingresaron 30 solicitudes para ser atendidas por el grupo, de las cuales se atendieron 30, entre las que destacamos: Instrumento Ambiental línea de transferencia de Nafta Apiay - Chichimene, Solicitud de Apoyo Jurídico Obligaciones Reiteradas Imposibles de Cumplir Vs. Sancionatorio Ambiental, Consulta instrumento para cooperación con entidad canadiense, Instrucción jurídica, apoyo Jurídico Obligaciones Reiteradas Imposibles de Cumplir Vs. Sancionatorio Ambiental, Solicitud de lineamiento frente a la exigibilidad de autorización no CITES _semillas forestales, Comentarios, Proyecto decreto sustracción de área de las reservas forestales nacionales y regionales, propuesta de “Buenas prácticas de cambio climático del sector de agroquímicos”; Exposición de motivos PL Inversión Social, Proyecto de Ley Inversión Social - Articulado
E1_BASE DE ASIGNACIÓN DE TAREAS JULIO 2021</t>
  </si>
  <si>
    <t>En el mes de agosto de 2021 el grupo de Conceptos jurídicos atendió 33 solicitudes de las 35 que ingresaron al grupo, entre las que se destacan: Consulta sobre exigibilidad de Programa de Uso Eficiente y Ahorro de Agua-PUEAA en solicitudes de licencia ambiental y concesiones de aguas;  Solicitud apoyo para definir concepto y alcance del concepto Ríos Amazónicos y/o Cuenca Amazónica; revisión Proyecto de resolución “Por la cual se sustituye la Resolución 1207 de 2014 y se adoptan otras disposiciones”; Solicitud de apoyo jurídico contratación inspectores regionales; publicación de contenidos sobre presupuestos participativos en Menú participa de la Autoridad Nacional de Licencias Ambientales; REQUERIMIENTO OCID - Apoyo respuesta memorando 2021168758-3-000 Oficina de Control Disciplinario interno;  Suscripción de Acuerdo de confidencialidad; Proyecto de decreto "Por el cual se modifican artículos del Título 2 de la Parte 2 del Libro 2, del Decreto 1076 de 2015 Único Reglamentario del Sector Ambiente y Desarrollo Sostenible, y se corrige un yerro contenido en el Título 1 de la Parte 2".
E1_BASE DE ASIGNACIÓN DE TAREAS AGOSTO 2021</t>
  </si>
  <si>
    <t>En el mes de septiembre el grupo de Conceptos jurídicos atendido 46 solicitudes, entre las que destacamos Proyecto de Resolución que acepta el Programa de Trabajo Individualización de acciones del PAR Hatillo, Remision instrucción jurídica Seguimiento a las obligaciones previstas en los instrumentos de manejo y control ambientales. Requerimiento de la autoridad en los eventos de incumplimiento. Reiteración de requerimiento por incumplimiento, Sustitución de licencia ambiental zoocriadero Tayrona sas, 2021159429 Reporte de análisis regional de la cuenca del río Sogamoso y cuenca Afluentes directos río Lebrija Medio (mi) - NSS entre otras.
En total se han recibido 266 solicitudes de las cuales 255 se han atendido en términos.
E1_BASE DE ASIGNACIÓN DE TAREAS SEPTIEMBRE 2021</t>
  </si>
  <si>
    <t xml:space="preserve">En el mes de julio se evaluaron en total 72 acciones de las cuales 66 se cerraron (91.6%). El acumulado resulta de la evaluación de 494 acciones de las cuales se cerraron 464, es decir el 93.9%. </t>
  </si>
  <si>
    <t xml:space="preserve">En el mes de agosto se evaluaron 43 acciones de las cuales se cerraron 41. El acumulado corresponde a 537 evaluadas y 505 cerradas. </t>
  </si>
  <si>
    <t>En el mes de septiembre se realizó la evaluación de 28 acciones de las cuales se cerraron 27. El acumulado es el total de 565 acciones evaluadas frente a 532 con cierre positivo.</t>
  </si>
  <si>
    <t>En el mes de julio se evaluaron 40 acciones de las cuales se cerraron 36. El acumulado resulta de la evaluación en la vigencia de 402 acciones de las cuales se han cerrado 382, es decir el 95%.</t>
  </si>
  <si>
    <t xml:space="preserve">En el mes de agosto se realizó la evaluación de efectividad de 27 acciones las cuales se cerraron en su totalidad. El indicador se calcula teniendo en cuenta el avance de la vigencia que corresponde a 429 acciones evaluadas de las cuales se han cerrado 409. </t>
  </si>
  <si>
    <t>En el mes de septiembre se realizó la evaluación de 20 acciones de las cuales se cerraron 20. El acumulado es el total de 449 acciones evaluadas frente a 429 con cierre positivo.</t>
  </si>
  <si>
    <t>En julio de 2021 se evaluaron 32 acciones de las cuales se cerraron 30, es decir el 93.7%. El acumulado es 92 acciones evaluadas en la vigencia de las cuales se han cerrado 82, que equivale al 89.1%.</t>
  </si>
  <si>
    <t xml:space="preserve">En el mes de agosto se adelantó la evaluación de efectividad de 16 acciones de las cuales se cerraron 14. El avance acumulado corresponde a la evaluacion de 108 acciones en la vigencia, de las cuales se han cerrado 96. </t>
  </si>
  <si>
    <t>En el mes de septiembre se realizó la evaluación de 8 acciones de las cuales se cerraron 7. El acumulado es el total de 116 acciones evaluadas frente a 103 con cierre positivo.</t>
  </si>
  <si>
    <t>Se adelantó la evaluación del Sistema de Control Interno, la cual fue presentada en el Comité de Cooridnación Institucional de Control Interno el día 29 de julio de 2021 y publicada en la página web de la ANLA el día 30 de julio de 2021, de acuerdo con la normativa vigente.</t>
  </si>
  <si>
    <t>El indicador es de periodicidad semestral</t>
  </si>
  <si>
    <t>SMPCA</t>
  </si>
  <si>
    <t>Grupo de Participación Ciudadana</t>
  </si>
  <si>
    <t>Documentos de lineamientos técnicos realizados</t>
  </si>
  <si>
    <t>No de Documentos de lineamientos técnicos realizados</t>
  </si>
  <si>
    <t>No aplica porque el indicador es semestral</t>
  </si>
  <si>
    <t xml:space="preserve">Se presenta el siguiente avance en relación con los documentos de lineamientos técnicos 
Indicadores  peso N° avance corte junio avance ponderado junio Avance indicador PI
Estrategias de Relacionamiento 25% 1 55% 14% 2,275
Ejercicios de Participación 25% 1 23% 6%
Reducción de quejas y reclamos 25% 1 100% 25%
Satisfacción grupos de interés 25% 1 50% 13%
  100% 4   57%
</t>
  </si>
  <si>
    <t>Estrategia de relacionamiento con grupos de interés implementada</t>
  </si>
  <si>
    <t>Número de estrategias de relacionamiento con grupos de interés implementada</t>
  </si>
  <si>
    <t>Durante el trimestre se llevaron a cabo las siguientes actividades:&lt;/p&gt;&lt;ul&gt;	&lt;li&gt;Autoridades Ambientales: Se presentó propuesta de concertación de estrategia de relacionamiento a la SIPTA, en donde se dieron a conocer los resultados de la caracterización de las autoridades ambientales de la vigencia 2020, con el fin de que se tengan en cuenta en la formulación del documento técnico y el plan de trabajo (17/02/2021). Se firmó la Agenda ambiental Sectorial 2021-2022 entre la ANLA y ASOCARS (02 de marzo), la cual comprende una serie de objetivos que se desarrollarán de manera conjunta durante esta vigencia y la próxima. Igualmente, se elaboró y acordó con ASOCARS el cronograma de capacitaciones con base en líneas estratégicas y temas de interés para las Corporaciones Autónomas Regionales, la cual comprende 14 sesiones entre los meses de marzo a septiembre. De estas sesiones, se han llevado a cabo dos (18 y 25 de marzo). (7%).&lt;/li&gt;	&lt;li&gt;Congreso: Se llevó a cabo reunión de contextualización del indicador para el caso de ECOS y Congreso, en el cual se les dio a conocer a los responsables el requerimiento de formular el documento técnico y el plan de trabajo (10/02/2021). Se adelantó la revisión de la estrategia de relacionamiento 2020, con el fin de solicitar la actualización del documento técnico para la presente vigencia (3%).&lt;/li&gt;	&lt;li&gt;ECOS: Se actualizó documento técnico de la estrategia para la vigencia 2021 y se elaboró propuesta de plan de trabajo de la estrategia de relacionamiento con Entes de Control (13%)</t>
  </si>
  <si>
    <t>No se presenta avance porque el indicador es trimestral</t>
  </si>
  <si>
    <t>Durante el semestre se llevaron a cabo las siguientes actividades:
Autoridades Ambientales: Se realizaron catorce (14) capacitaciones de acuerdo con el cronograma acordado en el marco de la agenda con ASOCARS, el cual corresponde a un 63%. Sin embargo, está pendiente la elaboración del documento técnico y el plan de trabajo.
Congreso: Se llevó a cabo la actualización del Documento de Estrategia de Relacionamiento con el Congreso, e igualmente se elaboró el plan de trabajo para la vigencia, el cual contiene actividades concretas en cuatro (4) líneas estratégicas. De este plan de trabajo se reporta un avance de 49%.
ECOS: Se aprobó el Documento técnico de la Estrategia para la vigencia 2021. Del plan de trabajo de la Estrategia de relacionamiento con Entes de Control se reporta un porcentaje de avance de 49%.</t>
  </si>
  <si>
    <t>Durante el periodo se llevaron a cabo las siguientes actividades:
Autoridades Ambientales: Se elaboró una propuesta de documento técnico el cual esta pendiente de aprobación por parte del Subdirector de Instrumentos, Permisos y Trámites Ambientales, por lo cual se reporta un 87% de avance. Así mismo, teniendo en cuenta que la agenda firmada con ASOCARS cuenta con 4 líneas en su implementación, de las cuales se priorizaron a través del cronograma para el 2021 los numerales 3 y 4. Se reporta la realización en el trimestre de nueve (9) sesiones, (4) capacitaciones con ASOCARS y cinco (5) mesas técnicas con corporaciones específicas, dando un cumplimiento del 100% a lo programado. 
Congreso: Se aprobó el Documento de Estrategia de Relacionamiento con el Congreso. Del plan de trabajo se reporta un porcentaje de avance de 77% en el tercer trimestre.
ECOS: Se aprobó el Documento técnico de la Estrategia para la vigencia 2021. Del plan de trabajo de la Estrategia de relacionamiento con Entes de Control se reporta un porcentaje de avance de 72%.</t>
  </si>
  <si>
    <t>Política de Servicio al ciudadano</t>
  </si>
  <si>
    <t>Porcentaje de acciones de participación ciudadana, lineamientos técnicos socioeconómicos y fortalecimiento de capacidades en grupos de interés realizados</t>
  </si>
  <si>
    <t>Numero de acciones de Participación Ciudadana, lineamientos técnicos socioeconómicos y fortalecimiento de capacidades en grupos de interés realizados/Número de Acciones de participación Ciudadana, lineamientos técnicos socioeconómicos y fortalecimiento de capacidades en grupos de interés programados</t>
  </si>
  <si>
    <t>Se presenta el siguiente porcentaje de avance en las acciones de participación ciudadana, lineamientos técnicos socioeconómicos y de fortalecimiento de capacidades:
Indicadores  peso N° avance corte junio avance ponderado junio Avance indicador PAI
Acciones de Participación Ciudadana 33,33% 1 59% 20% 53%
Lineamientos Técnicos Socioeconómicos 33,33% 1 50% 17%
Fortalecimiento de capacidades en grupos de interés 33,33% 1 50% 17%
  100,00% 3   53%
VI. ACCIONES A TOMAR EN CASO DE NO CUMPLIR LA META
VII. ALINEACIÓN ESTRATÉGICA
Estrategia transversal PND -</t>
  </si>
  <si>
    <t>Ejercicios de Participación</t>
  </si>
  <si>
    <t>Número de ejercicios de participación realizados y acompañados</t>
  </si>
  <si>
    <t>No se presenta avance, los ejercicios de participación se tienen previstos para el segundo semestre del año. La estrategia de rendición de cuentas para el 2021, aprobada a través del Plan Anticorrupción y de Atención al Ciudadano contempla seis (6) espacios de diálogo así:
*cuatro (4) espacios de diálogo focalizados con abogados y ambientalistas denominados ENLACE, dos por cada semestre, programados para los meses de julio y noviembre.
* una (1) Audiencia Pública Sectorial de Rendición de Cuentas liderada por el MADS, programada para el mes de octubre. 
* un (1) espacio de diálogo territorial de rendición de cuentas programado para el segundo semestre del año.
No obstante, para el Encuentro y Diálogo sobre Licenciamiento Ambiental -ENLACE- que se llevará a cabo en el mes de julio con Abogados y Ambientalistas, se realizaron las siguientes actividades durante el semestre, en cumplimiento a lo establecido en el Manual Único de Rendición de Cuentas:
Consulta de encuesta de temas de interés para la rendición de cuentas
Tabulación de resultados
Elaboración del Informe de rendición de cuentas para el espacio de diálogo
Definición de la metodología y agenda para el espacio
Remisión de invitaciones para la participación del evento.
Por otra parte, se tienen previstos dos (2) ejercicios piloto de control social (Boyacá -Antioquia). El primer Plan Piloto de Control Social se inició con la Veeduría Ciudadana para la gestión ambiental del municipio de Nobsa y con el acompañamiento de la Personería Municipal de Nobsa, la oficina de Cambio Climático de la Administración Municipal de Nobsa y CORPOBOYACÁ. Se han adelantado 3 encuentros así: presencial (22 participantes-25/03/2021), virtual (12 participantes - 22/04/2021) y virtual (6 participantes - 26/05/2021), se continuará con los encuentros del primer piloto en el segundo semestre de 2021. Porcentaje de avance 30%.</t>
  </si>
  <si>
    <t>No se presenta avence porque el indicador es semestral</t>
  </si>
  <si>
    <t>Caracterización de los conflictos de competencia de la Autoridad Nacional de Licencias Ambiental</t>
  </si>
  <si>
    <t>Número de actividades elaboradas/Número de actividades programadas</t>
  </si>
  <si>
    <t xml:space="preserve"> 
Se elaboraron las fichas de conflictividad para los municipios de Nobsa - Corrales (Boyacá), Chía - Guaduas (Cundinamarca) y Floridablanca (Santander), con un porcentaje de avance del 15%. Así mismo, se construyó la matriz de identificación de conflictos la cual cuenta con información de la región, el nombre del conflicto, el recurso afectado, el año de aparición del conflicto, tipo de conflicto, expediente, localización, actores, acciones realizadas, entre otros, con un porcentaje de avance del 15%. 
Por su parte el monitoreo de opinión realizado en el marco del paro nacional presenta un porcentaje de avance del 35%.</t>
  </si>
  <si>
    <t>Porcentaje de acciones de promoción de mecanismos de participación ciudadana y competencias institucionales en territorios con comunidades vulnerables (grupos étnicos, comunidad del área rural y otros grupos de interés) realizados.</t>
  </si>
  <si>
    <t>No de acciones pedagógicas realizadas/No acciones pedagógicas programadas</t>
  </si>
  <si>
    <t>Durante el mes de enero de 2021 se llevaron a cabo 22 acciones de pedagogía institucional en territorio</t>
  </si>
  <si>
    <t>Durante el mes de febrero de 2021 se llevaron a cabo 81 acciones de pedagogía institucional en territorio.</t>
  </si>
  <si>
    <t>En el mes de marzo de 2021 se llevaron a cabo 90 acciones de pedagogía institucional en territorio. Durante el trimestre, en total se han llevado a cabo 193 acciones de pedagogía</t>
  </si>
  <si>
    <t>En el mes de abril de 2021 se llevaron a cabo 96 acciones de pedagogía institucional en territorio. Durante el cuatrimestre, se han llevado a cabo 289 acciones.
Nota: el número de acciones de pedagogía del mes de febrero cambió de 81 a 82, teniendo en cuenta que se había identificado una (1) como reunión interinstitucional. Por lo tanto, el acumulado corresponde a 290.</t>
  </si>
  <si>
    <t>En el mes de mayo de 2021 se llevaron a cabo 103 acciones de pedagogía institucional en territorio. Durante los primeros cinco (5) meses del año, se han llevado a cabo 393 acciones de pedagogía.</t>
  </si>
  <si>
    <t>En el mes de junio de 2021 se llevaron a cabo 76 acciones de pedagogía institucional en territorio. Durante el primer semestre del año, se han llevado a cabo 469 acciones de pedagogía.</t>
  </si>
  <si>
    <t>En el mes de julio de 2021 se llevaron a cabo 83 acciones de pedagogía institucional en territorio. Entre los meses de enero y julio de la presente vigencia, se han llevado a cabo 549 acciones de pedagogía.
Nota: el número de acciones de pedagogía institucinal reportadas en los meses de marzo (90), abril (96) y mayo (103) se modificaron así: marzo (91), abril (94) y mayo (101), en razón a la actualización realizada a la base de datos. Por lo tanto, el acumulado corresponde a 549; situación que no afecta el porcentaje de cumplimiento acumulado.</t>
  </si>
  <si>
    <t>En el mes de agosto de 2021 se llevaron a cabo 109 acciones de pedagogía institucional en territorio. Entre los meses de enero y agosto de la presente vigencia, se han llevado a cabo 658 acciones de pedagogía.</t>
  </si>
  <si>
    <t>En el mes de septiembre de 2021 se llevaron a cabo 122 acciones de pedagogía institucional en territorio. Entre los meses de enero y septiembre de la presente vigencia, se han llevado a cabo 781 acciones de pedagogía.
Nota: De acuerdo con la matriz de acciones territoriales, se actualizaron las pedagogías de los meses de marzo, abril, mayo y agosto las cuales quedaron de la siguiente manera: marzo: 89; abril: 97; mayo: 99; agosto: 111. Lo anterior, no afecta el porcentaje de cumplimiento acumulado.</t>
  </si>
  <si>
    <t>Programas de formación, capacitación y sensibilización de grupos de interés</t>
  </si>
  <si>
    <t>Acciones realizadas/ acciones planeadas programa formación</t>
  </si>
  <si>
    <t>Se llevó a cabo el primer curso de licenciamiento ambiental de la vigencia 2021 (tercera cohorte) con una duración de tres (3) meses, el cual contó con 998 inscritos, de los cuales 586 aprobaron el curso.
A continuación se listan los módulos temáticos desarrollados durante el curso:
1. Generalidades
2. Evaluación de Licencias Ambientales
3. Seguimiento a Instrumentos de Manejo y Control Ambiental
4. Plan de Gestión del Riesgo y eventos de contingencia en los procesos de evaluación y seguimiento
5. Inversión forzosa de no menos del 1%
6. Mecanismos de Participación Ciudadana Ambiental</t>
  </si>
  <si>
    <t>Elaboración y socialización de los Lineamientos del medio socioeconómico</t>
  </si>
  <si>
    <t>Documento elaborado y socializado</t>
  </si>
  <si>
    <t>Se encuentra en actualización el protocolo de LINEAMIENTOS Y ACCIONES PARA LA PARTICIPACIÓN DE LA ANLA EN PROCESOS DE CONSULTA PREVIA y en elaboración el documento LINEAMIENTOS PARA LA INCLUSIÓN DE LA INFORMACIÓN RESULTADO DE LA AUDIENCIA PÚBLICA AMBIENTAL EN LOS CONCEPTOS TÉCNICOS Y ACTOS ADMINISTRATIVOS DE EVALUACIÓN Y SEGUIMIENTO, una vez se aprueben las versiones finales se publicarán en el Sistema de Gestión y se llevará a cabo la socialización. </t>
  </si>
  <si>
    <t>Se actualizó el protocolo de LINEAMIENTOS Y ACCIONES PARA LA PARTICIPACIÓN DE LA ANLA EN PROCESOS DE CONSULTA PREVIA y se elaboró el documento LINEAMIENTOS PARA LA INCLUSIÓN DE LA INFORMACIÓN RESULTADO DE LA AUDIENCIA PÚBLICA AMBIENTAL EN LOS CONCEPTOS TÉCNICOS Y ACTOS ADMINISTRATIVOS DE EVALUACIÓN Y SEGUIMIENTO, se encuentran en  proceso de adopción en el sistema integrado de gestión.</t>
  </si>
  <si>
    <t>No se presenta avence porque el indicador es trimestral</t>
  </si>
  <si>
    <t>De los cinco (5) documentos de lineamientos del medio socioeconómico programados, se elaboraron y socializaron dos (2): protocolo de LINEAMIENTOS Y ACCIONES PARA LA PARTICIPACIÓN DE LA ANLA EN PROCESOS DE CONSULTA PREVIA y el Manual de LINEAMIENTOS PARA LA INCLUSIÓN DE LA INFORMACIÓN RESULTADO DE LA AUDIENCIA PÚBLICA AMBIENTAL EN LOS CONCEPTOS TÉCNICOS Y ACTOS ADMINISTRATIVOS DE EVALUACIÓN Y SEGUIMIENTO, los cuales se publicaron en GESPRO a través de los códigos PC-PT-01 versión 4 del 26 de julio de 2021 y PC-MN-01 versión 1 del 13 de agosto de 2021, respectivamente. La socialización de los documentos se llevó a cabo el 24 de septiembre de 2021; y se encuentran en proceso de elaboración tres (3) documentos:
- LINEAMIENTOS PARA EL ESTABLECIMIENTO DE PLANES DE REASENTAMIENTO POR EL TRASLADO INVOLUNTARIO DE POBLACIÓN EN EL MARCO DEL LICENCIAMIENTO AMBIENTAL Y SU RESPECTIVO SEGUIMIENTO.
- LINEAMIENTOS PARA EL ABORDAJE DE LOS RESULTADOS DE LOS PROCESOS DE CONSULTA PREVIA DURANTE LA EVALUACIÓN Y EL SEGUIMIENTO
- LINEAMIENTOS PARA LAS VISITAS DE EVALUACIÓN Y SEGUIMIENTO</t>
  </si>
  <si>
    <t>Grupo de Respuestas a Solicitudes y Peticiones</t>
  </si>
  <si>
    <t>Porcentaje de Derechos de petición a solicitudes prioritarias finalizados oportunamente</t>
  </si>
  <si>
    <t>(Numero de DPE finalizados en términos / Total DPE con vencimiento de terminos)*100</t>
  </si>
  <si>
    <t>Durante el mes de Enero de 2021 se ejecutaron un total de 90 actividades (DPE).  Del total de estas actividades, 89 actividades fueron finalizadas dentro de los términos establecidos y 1 fue finalizada vencida.  Esto arroja un porcentaje de oportunidad del 98,9% para el mes de Enero  de 2020.</t>
  </si>
  <si>
    <t>Durante el mes de Febrero de 2021 se presentaron un total de 128 actividades (DPE).  Del total de estas actividades, el 100% fueron finalizadas dentro de los términos establecidos; esto arroja un porcentaje de oportunidad del 100% para el año 2021. Se revisaron todas las respuestas dadas a los DPE en año 2021, validando los tiempos con establecidos con el Decreto 491 del 28 de marzo de 2020 encontrando que todas fueron respondidos en los tiempos establecidos en este decreto.</t>
  </si>
  <si>
    <t>Hasta el mes de Marzo de 2021 se tramitaron un total de 446 actividades (DPE).  Del total de estas actividades, el 100% fueron finalizadas dentro de los términos establecidos; esto arroja un porcentaje de oportunidad del 100% hasta el mes de Marzo de 2020.</t>
  </si>
  <si>
    <t xml:space="preserve"> 
Hasta el mes de Abril de 2021 se finalizado un total de 688 actividades (DPE).  Del total de estas actividades, el 100% fueron finalizadas dentro de los términos establecidos; esto arroja un porcentaje de oportunidad del 100% para el mes de Abril de 2021. </t>
  </si>
  <si>
    <t>Durante el mes de Mayo de 2021 se finalizaron un total de 209 actividades (DPE).  Del total de estas actividades, 208 fueron finalizadas dentro de los términos establecidos. En total acumulado al mes de Mayo de 2021 se han recibido un total de 897 solicitudes, de las cuales todas las 896 han sido gestionadas dentro de los términos establecidos, lo que arroja un porcentaje de oportunidad acumulado del 99,9%.</t>
  </si>
  <si>
    <t xml:space="preserve"> 
En total acumulado al mes de Junio de 2021 se han recibido un total de 1095 solicitudes, de las cuales todas las 1094 han sido gestionadas dentro de los términos establecidos, lo que arroja un porcentaje de oportunidad acumulado del 99,9%.</t>
  </si>
  <si>
    <t xml:space="preserve">	
Respecto al indicador de DPE para el mes de julio se finalizaron 289 actividades, todas desarrolladas a tiempo, obteniendo al finalizar el mes de julio un total de 1383 actividades finalizadas con 1382 a tiempo lo que como resultado que indicador de DPE es de 99.9</t>
  </si>
  <si>
    <t>Durante el mes de Agosto de 2021 se presentaron un total de 290 actividades (DPE).  Del total de estas actividades, 289 fueron finalizadas dentro de los términos establecidos; esto arroja un porcentaje de oportunidad del 99,9% para el mes de Agosto de 2021. 
Adicionalmente el mes de Agosto se cerró con un total de 379 actividades (DPE) activas dentro de términos para ser finalizadas en el mes de Agosto de 2021; .
En total acumulado al mes de Agosto de 2021 se han recibido un total de 1676 solicitudes, de las cuales 1675 han sido gestionadas dentro de los términos establecidos, lo que arroja un porcentaje de oportunidad acumulado del 99,9%.</t>
  </si>
  <si>
    <t>Durante el mes de Septiembre de 2021 se atendieron un total de 567 actividades (DPE), cuyo vencimiento se cumplía este mes.  Del total de estas actividades, 567 fueron finalizadas dentro de los términos establecidos; esto arroja un porcentaje de oportunidad del 100% para el mes de Septiembre de 2021.
En total acumulado al mes de Septiembre de 2021 se han atendido un total de 2243 solicitudes, de las cuales 2242 han sido gestionadas dentro de los términos establecidos, lo que arroja un porcentaje de oportunidad acumulado del 99,96%.</t>
  </si>
  <si>
    <t>Porcentaje de Solicitudes prioritarias de entes de control (ECOS) finalizados oportunamente</t>
  </si>
  <si>
    <t>(Número de ECO finalizados en términos / número de ECO con vencimiento de términos)*100</t>
  </si>
  <si>
    <t>Durante el mes de Enero de 2021 se ejecutaron un total de 41 actividades (ECO).  Del total de estas actividades, 41 actividades fueron finalizadas dentro de los términos establecidos, esto arroja un porcentaje de oportunidad de 100% para el mes de Enero de 2021</t>
  </si>
  <si>
    <t>Hasta el mes de Febrero de 2021 se respndieron un total de 132 actividades (ECO).  Del total de estas actividades, el 100% fueron finalizadas dentro de los términos establecidos; esto arroja un porcentaje de oportunidad del 100% hasta elmes de Enero  de 2020.</t>
  </si>
  <si>
    <t>Se resolvieron un total de 229 actividades (ECO) hasta el mes de Marzo de 2021.  Del total de estas actividades, el 100% fueron finalizadas dentro de los términos establecidos; esto arroja un porcentaje de oportunidad del 100%hasta el mes de Marzo de 2020. </t>
  </si>
  <si>
    <t>Hasta el  mes de abril se finalizaron un total de 323 actividades (ECO). Del total de estas actividades, el 100% fueron finalizadas dentro de los terminos establecidos, esto arroja un porcentaje de oportunidad del 100% hasta el mes de abril de 2021</t>
  </si>
  <si>
    <t>Para el reporte del mes de mayo se realizo el ajuste y se presenta totalidad de ecos tramitados por al entidad. Durante el mes de Mayo de 2021 se presentaron un total de 135 actividades (ECO).  Del total de estas actividades, 120 fueron finalizadas dentro de los términos establecidos; esto arroja un porcentaje de oportunidad del 100% para el mes de Mayo. En total acumulado al mes de Mayo de 2021 se han recibido un total de 694 solicitudes, de las cuales todas las 643 han sido gestionadas dentro de los términos establecidos, lo que arroja un porcentaje de oportunidad acumulado del 100%.</t>
  </si>
  <si>
    <t>En el mes de Junio se recibieron 136 solicitudes por parte de los Entes de Control, para tener un acumulado en el presente año de 836 solicitudes y se contestaron por parte de toda la entidad en lo que va del presente año un total de 780. El reporte de oportunidad se mantiene en 100%</t>
  </si>
  <si>
    <t xml:space="preserve">	
En el mes de Julio 2021 se contestaron por parte de toda la entidad 116 solicitudes a los Entes de Control cumpliendo los términos de ley, lo que dada como resultado un acumulado de solicitudes contestadas en el presente año de 919 por toda la entidad y el indicador de ECOS mantiene en 100%.</t>
  </si>
  <si>
    <t>Durante el mes de Agosto de 2021 se presentaron un total de 109 actividades (ECO).  Del total de estas actividades, el 100% fueron finalizadas dentro de los términos establecidos; esto arroja un porcentaje de oportunidad del 100% para el mes de Agosto de 2021. 
Adicionalmente el mes de Julio de 2021 se cerró con un total de 56 actividades (ECO) activas dentro de términos para ser finalizadas en el mes de Agosto de 2021.
En total acumulado al mes de Agosto de 2021 se han recibido un total de 1028 solicitudes, de las cuales todas las 1028 han sido gestionadas dentro de los términos establecidos, lo que arroja un porcentaje de oportunidad acumulado del 100%.</t>
  </si>
  <si>
    <t>Para el mes de Septiembre de 2021 se han finalizaron un total de 145 actividades (ECO) con tiempos de vencimiento en este mes.  Del total de estas actividades, el 100% fueron finalizadas dentro de los términos establecidos; esto arroja un porcentaje de oportunidad del 100% para el mes de Septiembre de 2021.
En total acumulado al mes de Septiembre de 2021 se han atendido un total de 1173 solicitudes, de las cuales todas las 1173 han sido gestionadas dentro de los términos establecidos, lo que arroja un porcentaje de oportunidad acumulado del 100%.</t>
  </si>
  <si>
    <t>Subdirección de Mecanismos de Participación Ciudadana Ambiental</t>
  </si>
  <si>
    <t>Programas o proyectos de cooperación internacional vigentes que benefician a la ANLA.</t>
  </si>
  <si>
    <t>Numero de programas o proyectos de cooperación internacional vigentes que benefician a la ANLA</t>
  </si>
  <si>
    <t>Sobre el indicador  Programas o proyectos de cooperación internacional vigentes que benefician a la ANLA  (ver archivo adjunto Hoja de Vida Ind…) a continuación adjunto la evidencia de los siguientes proyectos:  			 Apoyo técnico para la construcción de la estrategia para la transformación positiva de conflictos en los procesos de licenciamiento ambiental de la ANLA;		Cooperación para el fortalecimiento en asuntos de participación ciudadana en el marco del Acuerdo de Escazú y en lineamientos de Cambio Climático 			Apoyo para el fortalecimiento de capacidades técnicas de la ANLA a través de GQSP Colombia - Programa de Calidad para la Cadena de Químicos	Desarrollo de competencias para el fortalecimiento de los Sistemas de Evaluación de Impacto Ambiental (SEIA) en Perú y Colombia			Formato Cooperación Sur-Sur APC Colombia</t>
  </si>
  <si>
    <t xml:space="preserve"> 
A la fecha, la entidad cuenta con 5 proyectos o programas vigentes de cooperación internacional.  Durante el segundo trimestre se ha firmado el “PACTO PARA LA EJECUCIÓN DEL PROGRAMA PETRÓLEO PARA EL DESARROLLO”, se adjunta evidencia.</t>
  </si>
  <si>
    <t xml:space="preserve">Con corte a 30 de septiembre la entidad cuenta con 6 proyectos o programas vigentes de cooperación internacional.  Durante el tercer trimestre se firmó el memorando de entendimiento entre la ANLA y Sustenable Institute. Se adjunta evidencia. Se modificó la meta a 6. </t>
  </si>
  <si>
    <t>Grupo de Atención al Ciudadano</t>
  </si>
  <si>
    <t>Porcentajes de peticiones, quejas, reclamos y sugerencias (PQRS) atendidas de manera oportuna</t>
  </si>
  <si>
    <t>N° de PQRS respondidos por la entidad en los términos legales durante el periodo / N° de PQRS recibidos por la entidad</t>
  </si>
  <si>
    <t>Con corte al 31 de enero del 2021 la Entidad respondió 643 peticiones, quejas, reclamos y sugerencias Ordinarias, de las cuales se atendieron dentro de término 639, es decir, se respondieron fuera de término 4 PQRS. Representando un porcentaje de cumplimiento del 99,4%. &lt;/p&gt;&lt;p&gt;Téngase en cuenta que por disposición del artículo 5° del Decreto Legislativo 491 del 28 de marzo de 2020, se ampliaron los términos de respuesta para atender los derechos de petición.</t>
  </si>
  <si>
    <t>Con corte al 28 de febrero del 2021 la Entidad respondió 1150 peticiones, quejas, reclamos y sugerencias ordinarias, de las cuales se atendieron dentro del término 1145, es decir, se respondieron fuera del término 5 PQRS; representando un porcentaje de cumplimiento del 99,6%. &lt;/p&gt;&lt;p&gt;Téngase en cuenta que por disposición del artículo 5° del Decreto Legislativo 491 del 28 de marzo de 2020, se ampliaron los términos de respuesta para atender los derechos de petición.</t>
  </si>
  <si>
    <t>Para el mes de marzo la Entidad respondió 1124 peticiones, quejas, reclamos y sugerencias ordinarias, todas dentro de los terminos legales, es decir, un porcentaje de cumplimiento del 100%. Las peticiones ordinarias atendidas dentro de los términos, con corte a 31 de marzo fueron 3209, de un total de 3214, representando un porcentaje de cumplimiento acumulado del 99,8%, en razón, al vencimiento de 5 peticiones ( Enero: 4 y Febrero: 1).&lt;/p&gt;&lt;p&gt;Para el reporte del mes de febrero no se presentó de manera acumulada el indicador, subsanandosé para el reporte del presente mes.&lt;/p&gt;&lt;p&gt;Téngase en cuenta que por disposición del artículo 5° del Decreto Legislativo 491 del 28 de marzo de 2020, se ampliaron los términos de respuesta para atender los derechos de petición.</t>
  </si>
  <si>
    <t>Para el mes de abril la Entidad respondió 983  peticiones, quejas, reclamos y sugerencias ordinarias, todas dentro de los terminos legales, es decir, un porcentaje de cumplimiento del 100%. Las peticiones ordinarias atendidas dentro de los términos, con corte a 30 de abril fueron 4241, de un total de 4246, representando un porcentaje de cumplimiento acumulado del 99,9%, en razón, al vencimiento de 5 peticiones ( Enero: 2 y Febrero: 3).
Téngase en cuenta que por disposición del artículo 5° del Decreto Legislativo 491 del 28 de marzo de 2020, se ampliaron los términos de respuesta para atender los derechos de petición.</t>
  </si>
  <si>
    <t xml:space="preserve"> 
Para el mes de mayo la Entidad respondió 1031 peticiones, quejas, reclamos y sugerencias ordinarias, de las cuales tuvo un (1) vencimiento, es decir, un porcentaje de cumplimiento del 99,9%. Las peticiones ordinarias atendidas dentro de los términos, con corte a 31 de mayo fueron 5288, de un total de 5294, representando un porcentaje de cumplimiento acumulado del 99,9%, en razón, al vencimiento de 6 peticiones ( Enero: 2; Febrero: 3 y Mayo:1).
Téngase en cuenta que por disposición del artículo 5° del Decreto Legislativo 491 del 28 de marzo de 2020, se ampliaron los términos de respuesta para atender los derechos de petición.</t>
  </si>
  <si>
    <t>Para el mes de junio la Entidad respondió 966 peticiones, quejas, reclamos y sugerencias ordinarias, de las cuales cinco (5) se respondieron fuera de término, es decir, un porcentaje de cumplimiento del 99,5%.
Las peticiones ordinarias atendidas dentro de los términos, en el primer semestre de la vigencia fueron 6263, de un total de 6274, representando un porcentaje de cumplimiento acumulado del 99,8%, en razón, a la respuesta fuera de término de 11 peticiones ( Enero: 2; Febrero: 3; Mayo:1; Junio: 5).
Nota: Se actualiza la información reportada durante el primer semestre, el cuál arrojó una variación de treinta y un (31) registros adicionales que no fueron reportados en los meses de marzo, abril y mayo, en razón a reasignaciones y respuestas no asociadas al radicado inicial; situación que no afectó el porcentaje de cumplimiento reportado en los meses anteriores.
Téngase en cuenta que por disposición del artículo 5° del Decreto Legislativo 491 del 28 de marzo de 2020, se ampliaron los términos de respuesta para atender los derechos de petición.</t>
  </si>
  <si>
    <t>Para el mes de julio la Entidad respondió 958 peticiones, quejas, reclamos y sugerencias ordinarias, de las cuales dos (2) se respondieron fuera de término, es decir, un porcentaje de cumplimiento del 99,8%.
Las peticiones ordinarias atendidas dentro de los términos, entre el 1° de enero y el 31 de julio de la vigencia fueron 7261, de un total de 7274, representando un porcentaje de cumplimiento acumulado del 99,8%, en razón, a la respuesta fuera de término de trece (13) peticiones (Enero: 2; Febrero: 3; Mayo:1; Junio: 5; Julio: (2).
Téngase en cuenta que por disposición del artículo 5° del Decreto Legislativo 491 del 28 de marzo de 2020, se ampliaron los términos de respuesta para atender los derechos de petición</t>
  </si>
  <si>
    <t>Para el mes de agosto la Entidad respondió 1013 peticiones, quejas, reclamos y sugerencias ordinarias, de las cuales dos (2) se respondieron fuera de término, es decir, un porcentaje de cumplimiento del 99,8%.
Las peticiones ordinarias atendidas dentro de los términos, entre el 1° de enero y el 31 de agosto de la vigencia fueron 8307, de un total de 8322, representando un porcentaje de cumplimiento acumulado del 99,8%, en razón, a la respuesta fuera de término de quince (15) peticiones (Enero: 2; Febrero: 3; Mayo:1; Junio: 5; Julio: (2), agosto: (2).
Nota: Se aclara que se incluyeron treinta y cinco (35) peticiones, en el total general, en razón al seguimiento realizado en el periodo de estabilización de la herramienta de gestión de PQRS, por cambios de estado frente al seguimiento manual y parametrización de las actividades.
Téngase en cuenta que por disposición del artículo 5° del Decreto Legislativo 491 del 28 de marzo de 2020, se ampliaron los términos de respuesta para atender los derechos de petición.</t>
  </si>
  <si>
    <t xml:space="preserve">	
Para el mes de septiembre la Entidad respondió 1151 peticiones, quejas, reclamos y sugerencias ordinarias, de las cuales dos (2) se respondieron fuera de término, es decir, un porcentaje de cumplimiento del 99,8%.
Las peticiones ordinarias atendidas dentro de los términos, entre el 1° de enero y el 30 de septiembre de la vigencia fueron 9481, de un total de 9498, representando un porcentaje de cumplimiento acumulado del 99,8%, en razón, a la respuesta fuera de término de diecisiete (17) peticiones (Enero: 2; Febrero: 3; Mayo:1; Junio:5; Julio:2), agosto:2), septiembre:2).
Nota: Se aclara que se incluyeron veinticinco (25) peticiones, en el total general, en razón a que para el mes de agosto se realizó un filtro adicional que afectó el reporte para ese mes.
Téngase en cuenta que por disposición del artículo 5° del Decreto Legislativo 491 del 28 de marzo de 2020, se ampliaron los términos de respuesta para atender los derechos de petición.</t>
  </si>
  <si>
    <t>Satisfacción en la atención del centro de orientación</t>
  </si>
  <si>
    <t>Numero de personas que manifestaron estar satisfechas con los servicios recibidos en el centro de orientación/total de personas que respondieron la encuesta de satisfacción.\n\n</t>
  </si>
  <si>
    <t>No aplica porque el indicador es bimestral</t>
  </si>
  <si>
    <t>Los usuarios que calificaron la atención en el canal chat como BUENA correspondió a 740 mientras que 102 calificaron como MALA la atención recibida, lo que corresponde a un porcentaje de satisfacción del 88%</t>
  </si>
  <si>
    <t>No se presenta reporte porque el indicador es bimestral</t>
  </si>
  <si>
    <t xml:space="preserve"> 
1183 usuarios calificaron la atención brindada a travé del canal chat como BUENA , entre tanto 31 calificaron como MALA la atención recibida, lo que corresponde a un porcentaje de satisfacción del 97%</t>
  </si>
  <si>
    <t xml:space="preserve"> 
1738 usuarios calificaron la atención brindada a traves de los canales telefónico, chat, chatbot y presencial como BUENA, entre tanto 50 calificaron como MALA la atención recibida, lo que corresponde a un porcentaje de satisfacción del 97,2%.</t>
  </si>
  <si>
    <t>1846 usuarios calificaron la atención brindada a través de los canales telefónico, chat, chatbot y presencial como BUENA, entre tanto 64 calificaron como MALA la atención recibida, lo que corresponde a un porcentaje de satisfacción del 96,65%</t>
  </si>
  <si>
    <t>Porcentaje de reducción de PQRSD</t>
  </si>
  <si>
    <t>Número de PQRSD (Quejas y Reclamos) del año vigente / Número de PQRSD (Quejas y Reclamos) del año anterior</t>
  </si>
  <si>
    <t>Durante el mes de enero de la presente vigencia la Entidad recibió 3 reclamos.</t>
  </si>
  <si>
    <t>En el mes de febrero se recibieron 7 reclamos, para un consolidado de 10</t>
  </si>
  <si>
    <t>En el mes de marzo se recibieron 2 reclamos, para un consolidado de 12 durante el I trimestre.</t>
  </si>
  <si>
    <t xml:space="preserve"> 
En el mes de abril se recibió 1 reclamo, para un consolidado de 13 en el cuatrimestre, lo que corresponde a que se han reducido el 92% de las Quejas y Reclamos con respecto al total del 2020.</t>
  </si>
  <si>
    <t xml:space="preserve">En el mes de mayo se recibieron 4 reclamos, para un consolidado de 17 entre el 1° de enero y 31 de mayo, lo que corresponde a que se ha reducido en un 90% las Quejas y Reclamos con respecto al total del 2020. Se da alcance teniendo en cuenta que se contó una (1) sugerencia, que no se debe reportar en el indicador. </t>
  </si>
  <si>
    <t>En el mes de junio se recibieron 3 reclamos, para un consolidado de 20 entre el 1° de enero y el 30 de junio de 2021, lo que corresponde a que se ha reducido en un 88,1% las Quejas y Reclamos con respecto al total reibidos en la vigencia 2020.</t>
  </si>
  <si>
    <t xml:space="preserve">	
En el mes de julio se recibió un (1) reclamo, para un consolidado de veintiún (21) reclamos entre el 1° de enero y el 31 de julio del 2021, lo que corresponde a que se ha reducido en un 87,5% las Quejas y Reclamos con respecto al total de las recibidas en el 2020.</t>
  </si>
  <si>
    <t>En el mes de agosto se recibieron cinco (5) reclamos, para un consolidado de veintiséis (26) reclamos entre el 1° de enero y el 31 de agosto del 2021, lo que corresponde a que se ha reducido en un 84,5% las Quejas y Reclamos con respecto al total de las recibidas en el 2020.</t>
  </si>
  <si>
    <t>En el mes de septiembre se recibieron diez (10) reclamos, para un consolidado de treinta y seis (36) reclamos entre el 1° de enero y el 30 de septiembre del 2021, lo que corresponde a que se ha reducido en un 78,6% las Quejas y Reclamos con respecto al total de las recibidas en el 2020.</t>
  </si>
  <si>
    <t>Satisfacción de los Grupos de Interés</t>
  </si>
  <si>
    <t>Incrementar en 5 puntos el grado de satisfacción de los usuarios externos frente a los trámites y Servicios</t>
  </si>
  <si>
    <t>Los resultados de la satisfacción de los usuarios frente a los trámites y servicios que adelantan en la Entidad, arrojaron un 85,6% de satisfacción general.</t>
  </si>
  <si>
    <t>DICIEMBRE</t>
  </si>
  <si>
    <t>Para octubre se registro un total de 159 noticias de las cuales 100 son positivas, lo que corresponde a un 63%. El incremento en la cifra de noticias positivas en el mes de octubre se dio por notas relacionadas como: licencia ambiental aeropuerto, viabilidad carrera septima, la ANLA archiva tramite de Quebradona, ANLA lanza tablero de control de reporte</t>
  </si>
  <si>
    <t>Para noviembre se registro un total de 62 noticias de las cuales 40 son positivas, lo que corresponde a un 65%. El incremento en la cifra de noticias positivas en el mes de noviembre se dio por notas relacionadas como: ANLA enajena bienes muebles, La ANLA realizará encuentro con entidades ambientales de América Latina para dialogar sobre cambio climático en el licenciamiento ambiental, La ANLA lanza su plataforma de educación y formación virtual gratuita</t>
  </si>
  <si>
    <t>En diciembre se presetaron un total de 74 noticias de las cuales 48 fueron positivas, en aspectos como: La Anla entrega licencia a proyecto solar fotovoltaico en La Guajira, Anla fue catalogada como la entidad más íntegra y transparente del país, ANLA: Otorga licencia a proyecto vial Popayán-Santander de Quilichao</t>
  </si>
  <si>
    <t>Para octubre se realizaron 66 publicaciones en la página web de la entidad y se reportaron 345 publicaciones en las redes sociales. </t>
  </si>
  <si>
    <t>Para noviembre se realizaron 33 publicaciones en la página web de la entidad y se reportaron 304 publicaciones en las redes sociales.</t>
  </si>
  <si>
    <t>En diciembre se realizaron los siguientes contenidos en canales externos: 
Página web: 44
Facebook: 122
Linkedin: 38
Twitter: 128
YouTube: 4</t>
  </si>
  <si>
    <t>Para octubre se enviaron 30 correos internos y se realizaron 66 publicaciones en la intranet de la entidad, fondos de escritorio: 1, videos internos: 4 y ediciones de la Ronda Semanal: 5, para un total de 106 contenidos publicados.</t>
  </si>
  <si>
    <t>Para Noviembre se enviaron 21 correos internos y se realizaron 34 publicaciones en la intranet de la entidad, fondos de escritorio: 1, videos internos: 5 y ediciones de la Ronda Semanal: 4, para un total de 65 contenidos publicados.</t>
  </si>
  <si>
    <t>En diciembre se realizaron contenidos de comunicación interna de acuerdo a lo siguiente: 5 videos, 4 Rondas, 23 correos internos, 20 publicaciones intranet, 1 Fondo de pantalla</t>
  </si>
  <si>
    <t>Para octubre se gestionaron 59 notas periodísticas a los medios de comunicación.</t>
  </si>
  <si>
    <t>Para noviembre se gestionaron 23 notas periodísticas a los medios de comunicación.</t>
  </si>
  <si>
    <t>En diciembre se gestionaron 30 noticias en medios de comunicación.</t>
  </si>
  <si>
    <t>Para septiembre se realizaron (2) campañas: 1. Feria ANLA cuida de ti. 2. Protocolos de Bioseguridad.</t>
  </si>
  <si>
    <t>Para octubre se realizo una campaña: Great Place to Work, se socializo en los siguientes canales: Protector de pantalla, Ronda, Correo interno, actividad dummies</t>
  </si>
  <si>
    <t>Para noviembre se realizo una campaña: Apadrina un niño en Navidad y regala una sonrisa (Correo interno, Entérese y publicación en la Ronda)</t>
  </si>
  <si>
    <t>Para diciembre se realizo una campaña relacionada con Navidad ANLA.</t>
  </si>
  <si>
    <t>Para octubre se publicaron contenidos en los 10 canales de comunicación interna y externa.</t>
  </si>
  <si>
    <t>Para noviembre se publicaron contenidos en los 10 canales de comunicación interna y externa.</t>
  </si>
  <si>
    <t>Para diciembre se publicaron contenidos en los 10 canales de comunicación interna y externa.</t>
  </si>
  <si>
    <t>A cprte 31 de diciembre este indicador presentó un avance del 98%</t>
  </si>
  <si>
    <t>A corte 31 de octubre  el avance de los módulos es de un 65%</t>
  </si>
  <si>
    <t>A corte 30 de noviembre  el avance de los módulos es de un 85%</t>
  </si>
  <si>
    <t>A 31 de diciembre se logró el 100% en este indicador (2 módulos diseñados en SPGI)</t>
  </si>
  <si>
    <t>A corte 31 de octubre se reporta 80% de avance del indicador</t>
  </si>
  <si>
    <t>A corte 30 de noviembre se reporta 80% de avance del indicador</t>
  </si>
  <si>
    <t>A corte 31 de diciembre se reporta 80% de avance del indicador</t>
  </si>
  <si>
    <t>En octubre no se reporta avance para este indicador</t>
  </si>
  <si>
    <t>Durante el mes de noviembre se finalizó la documentación de las herramientas</t>
  </si>
  <si>
    <t>A corte 31 de octubre se tiene un ponderado de 83.44% en indicadores de producto del PAI</t>
  </si>
  <si>
    <t>A corte 30 de noviembre se tiene un ponderado de 89.44% en indicadores de producto del PAI</t>
  </si>
  <si>
    <t>A 31 de diciembre se tiene un ponderado de 98.99% en indicadores de producto del PAI</t>
  </si>
  <si>
    <t>Durante el mes de octubre se realizó el noveno  seguimiento al PAI y el informe de seguimiento del PEI. A corte 31 de octubre se tiene un acumulado de 18 seguimientos: 9 reportes de PAI, 3 reportes de estrategia de evaluación, 2 mapa de riesgos, 2 seguimiento al PAAC , evaluación del PAI y seguimiento al PEI</t>
  </si>
  <si>
    <t>Durante el mes de noviembre se realizó el décimo  seguimiento al PAI . A corte 30 de noviembre se tiene un acumulado de 19 seguimientos: 10 reportes de PAI, 3 reportes de estrategia de evaluación, 2 mapa de riesgos, 2 seguimiento al PAAC , evaluación del PAI y seguimiento al PEI</t>
  </si>
  <si>
    <t>A corte 31 de diciembre de 2021 se realizó el seguimiento de los 7 documentos programados para la vigencia: Mapa de riesgos, estrategia de evaluación, estrategia de seguimiento, PEI, PAI, PAAC y la evaluación del PAI.</t>
  </si>
  <si>
    <t>A corte 31 de diciembre se realizaron 25 seguimientos a documentos de planeación distribuidos de la siguiente forma: 11 reportes PAI, 3 reportes de mapa de riesgos, 4 reportes de la estrategia de evaluación, 3 reportes del PAAC,  1 reporte de la estrategia de seguimiento, 1 reporte del PEI,  1 evaluación del PAI y 1 reporte de seguimiento del PIGD</t>
  </si>
  <si>
    <t>Durante octubre se destacan las siguientes actividades s en el sistema de gestión de de calidad:
* Se avanzó en el  documento definitivo de contexto, dicho documento incluye los siguientes items: metodología implemementada, factores identificados en en el ejercicio de la matriz DOFA, estratégias formuladas, plan de trabajo, seguimiento previsto, las conclusiones y los resultados relevantes del ejercicio de contexto interno y externo de la entidad.
* Se identificaron requisitos para las salidas no conformes al proceso de gestión administrativa, asi mismo, se llevaron a cabo mesas de trabajo con los equipos de los procesos de la SAF con el fin de socializar el ejercicio propuesto.
* Se trabajó en conjunto con el equipo PAI en la revisión y ajuste del instructivo con el fin de aestandarizar  la definición de acciones y PM de los indicadores de calidad y PAI, así mismo, se incluyó lineamientos para mejorar el análisis cualitativo mensual de acuerdo con los resultados comparados con la meta. Está pendiente la publicación en GESPRO.
* Se revisaron en conjunto con el equipo de plan de acción institucional -PAI las hojas de vida de los indicadores que hacen parte del sistema de gestión de calidad, así mismo, se solicitó a comunicaciones la publicación de dichas hojas de vida en el micrositio del SIG en la intranet. A la fecha se tiene pendiente por publicar un indicador de la OCI correspondiente a Porcentaje de efectividad de las acciones de mejoramie y el asociado al gestión de cambio, sin embargo, el de cambio está en proceso de revisión vs el plan de trabajo, una vez se verifique esté será publicado.
* Se realizaron los correspondientes reportes con el seguimiento trimestral con corte a 30-09-2021 de la politica de gestión dl conocimeinto y la innovación.
Se presentan algunas actividades que no se han cumplido y actualmente se están gestionando:
*. Formulación de acciones asociadas a los resultados de las encuestas de satisfacción de los usuarios de la entidad.(hace parte de un PMI que adelanta la SMPCA).
* Pendiente validar evidencias y avance a la estrategia de gestión de cambio y el plan 376  con el fin de asegurar su cumplimiento y cierre.
* No se ejecutará la acción asociada a a la contratación de la auditoria de certificación, pues el comté directivo tomó la decisión de llevar a  aco la auditoria el I trimestre de 2021.</t>
  </si>
  <si>
    <t>Durante Noviembre se destacan las siguientes actividades  en el sistema de gestión de de calidad:
* Se consolidó el documento final del contexto interno y externo, el cual contiene la metodología implemementada, factores identificados en en el ejercicio de la matriz DOFA y el establecimiento de estratégias por dependencia. Así mismo, se definieron los lineamientos y el mecanismo para realizar el primer seguimiento de las acciones allí establecidas.
* Se dio acompañamiento a través de mesas de trabajo a todos los procesos  en la actualización de riesgos de corrupción, a la fecha se tienen actualizados en GESRIESGOS un total de 19 riesgos los cuales será publicados para observaciones de la ciudadania.
* Se realizaron mesas de trabajo con los lideres y facilitadores de calidad de los 5 procesos de la subdirección administrativa y financiera - SAF con el fin de socializar las directrices para la identificación de requistos de las salidas no conformes, de igual forma se explicó la propuesta y/o guía de requistos por cada proceso. Está pendiente la actualización y publicación del procedimiento en GESPRO.
* Se presentó un avance con corte a 30-09-2021 en el comité institucional de gestión y desempeño del 19-11-2021 de la revisión por la dirección del Sistema de Gestión de Calidad y del Sistema de Gestión de Seguridad de la Información ISO/IEC 27001:2013 del periodo noviembre 2020 al 30-10-2021-
A continuación se relacionan las actividades que no presentan avance: 
* Cierre de evidencias de estratégia de gestión de cambio,  plan 376 y publicación indicador gestión de cambio. (se tiene previsto mesa de trabajo para revisión).
* Formulación de acciones asociadas a los resultados de las encuestas de satisfacción de los usuarios de la entidad. (se encuentra PMI el cual tiene fecha de cierre 2022).</t>
  </si>
  <si>
    <t>Para el mes de diciembre se obtuvo un avance del 2.8% lo que equivale a un  cumplimiento acumulado de cierre de la vigencia 2021 del 95.9%;las principales actividades que se cerraron en este mes fueron: actualización y publicación de procedimiento de salidas no conformes, seguimiento a las acciones del contexto interno y externo, reporte de indicadores, monitoreo de riesgos del III cuatrimestre y reporte del estado de los PMI.
 La diferencia en la brecha corresponde a las siguientes actividades que no se jecutaron en la presente vigencia y serán reprogramadas en el plan de trabajo 2022:
* Acciones generadas en los resultados de las evaluaciones de satsfacción del cliente
* Auditoria de certificación en ISO 9001:2015.
* Pendiente culminación de actividades del plan de cambio 376 el cual cerró con un avance total para la vigencia de 91.55% , el 8.45% restante, correponde a  actividades que serán reprogramadas para la próxima vigencia: Reto 376, Alineación de las políticas del MIPG y Actualización del directorio activo.</t>
  </si>
  <si>
    <t>Este indicador tiene frecuencia de medición trimestral, sin embargo el reporte se obtendrá en octubre</t>
  </si>
  <si>
    <t>Se realizó el tercer seguimiento al PIGD con corte a 30 de septiembre, reportando un 73,6 de avance acumulado, lo cual representa un rango de cumplimiento alto de acuerdo con la semaforización establecida para la vigencia. La política con mayor avance fue la de gestión documental, seguida por la de servicio al ciudadano y fortalecimiento organizacional y simplificación de procesos. Por su parte, las políticas con menor desempeño fueron las de gestión estratégica del talento humano, control interno y defensa jurídica.</t>
  </si>
  <si>
    <t xml:space="preserve">Este indicador es de reporte trimestral, en el tercer corte de seguimiento al PIGD se obtuvo un 73.6% de calificación </t>
  </si>
  <si>
    <t>En la consolidación de la información reportada en la matriz de seguimiento al Plan Institucional de Gestión y Desempeño 2021, se evidencia un cumplimiento del 99.4%, que corresponde al cumplimiento de los planes de acción de las políticas de gestión que le aplican a la entidad</t>
  </si>
  <si>
    <t>A corte 31 de diciembre se realizaron los 4 seguimientos programados al PIGD</t>
  </si>
  <si>
    <t>El tablero de acciones para mitigar la fuga de conocimieno finalizo con un avance del 94,4%, producto de 118 acciones cumplidas sobre un total de 125 programadas.</t>
  </si>
  <si>
    <t>Al 31 de octubre de 2021 se emitieron  484  AA  que acogieron la evaluación  de solicitudes de permisos, de éstas, 352 correspoden al trámite No Cites y representan el 72,73% de los AA, 82 AA de Diversidad Biológica  con el 16,94%, 44 de Permisos Fuera de Licencia con el  9,09% y 6 AA de Posconsumo.
Es importante mencionar que en las evidencias no se encuentran relacionadas 4 certificaciones de NCT, éstas están en etapa de ejecución y finalización en SILA, sin embargo, una vez se termine la gestión en el aplicativo, los certificados quedaran en SILA con fecha de octubre, mes en el que fueron aprobados.
CERTIFICADO 	OBSERVACIÓN 
AIE0306-00-2021	Los  certificados NCT de  los expedientes relacionados, se encuentra en etapa de ejecución finalización en SILA, una vez se cierre la actividad, el certificado de aprobación quedará  en SILA con fecha de octubre
AIE0307-00-2021
NCT0043-00-2021
NCT0047-00-2021</t>
  </si>
  <si>
    <t>Al 30 de noviembre de 2021 se emitieron  546  AA  que acogieron la evaluación  de solicitudes de permisos, de éstas, 401  correspoden al trámite No Cites y representan el 73,44% de los AA, 88 AA de Diversidad Biológica  con el 16,12%, 49 de Permisos Fuera de Licencia con el  8,97% y 8 AA de Posconsumo.Es importante mencionar que en las evidencias no se encuentran relacionadas 9 certificaciones de NCT, estás están en etapa de ejecución y finalización en SILA, sin embargo, una vez se termine la gestión en el aplicativo, los certificados quedaran en SILA con fecha de noviembre, mes en el que fueron aprobados.</t>
  </si>
  <si>
    <t>Al 31 diciembre de 2021 se emitieron  595  AA  que acogieron la evaluación  de solicitudes de permisos, de éstas, 433  correspoden al trámite No Cites y representan el 72,77% de los AA, 99 AA de Diversidad Biológica  con el 16,64%, 55 de Permisos Fuera de Licencia con el  9,24% y 8 AA de Posconsumo.
Es importante mencionar que en las evidencias no se encuentra relacionado un certificado de NCT, éste está en etapa de ejecución y finalización en SILA, sin embargo, una vez se termine la gestión en el aplicativo, el certificado quedaran en SILA con fecha de diciembre, mes en el que fue aprobado.</t>
  </si>
  <si>
    <t>Con corte al 31 de octubre se realizaron 502 CT técnicos de evaluación de solicitudes de permisos, de las cuales 352 fueron sobre el trámite NCT y representan el 70.12% de los CT de evaluación de permisos realizados, seguido  de IDB con el 21.5%, 108 CT,  PFL 34 CT correspondientes al 6,77% y Posconsumo 8 CT con el 1.59%.</t>
  </si>
  <si>
    <t>Con corte al 30 de noviembre  se realizaron 569 CT técnicos de evaluación de solicitudes de permisos, de las cuales 401  fueron sobre el trámite NCT y representan el 70.47% de los CT de evaluación de permisos realizados, seguido  de IDB con el 21.09%, 120 CT,  PFL 40 CT correspondientes al 7,03% y Posconsumo 8 CT con el 1.41%.</t>
  </si>
  <si>
    <t>Con corte al 31 de diciembre se realizaron 626 Conceptos técnicos de evaluación de solicitudes de permisos, de las cuales 438  fueron sobre el trámite NCT y representan el 69,97% de los CT de evaluación de permisos realizados, seguido  de IDB con el 21.41%, 134 CT,  PFL 46 CT correspondientes al 7,35% y Posconsumo 8 CT con el 1.28%.</t>
  </si>
  <si>
    <t>Al 31 de octubre de 2021 se otorgaron 441 permisos solicitados, de los cuales 352  son del trámite NCT, 73 de Diversidad Biológica, 11 de PFL y 5 de Posconsumo.
Es importante mencionar que en las evidencias no se encuentran relacionados 4 certificados de NCT, estos están en etapa de ejecución y finalización en SILA, sin embargo, una vez se termine la gestión en el aplicativo, los certificados quedaran en SILA con fecha de octubre, mes en el que fueron aprobados.
CERTIFICADO 	OBSERVACIÓN 
AIE0306-00-2021	Los  certificados NCT de  los expedientes relacionados, se encuentra en etapa de ejecución finalización en SILA, una vez se cierre la actividad, el certificado de aprobación quedará  en SILA con fecha de octubre
AIE0307-00-2021
NCT0043-00-2021
NCT0047-00-2021</t>
  </si>
  <si>
    <t>Al 30 de noviembre de 2021 se otorgaron 499 permisos solicitados, de los cuales 401  son del trámite NCT, 80 de Diversidad Biológica, 11 de PFL y 7 de Posconsumo.&lt;/p&gt;&lt;p&gt;Es importante mencionar que en las evidencias no se encuentran relacionados 9 certificados de NCT, estos están en etapa de ejecución y finalización en SILA, sin embargo, una vez se termine la gestión en el aplicativo, los certificados quedaran en SILA con fecha de octubre, mes en el que fueron aprobados.</t>
  </si>
  <si>
    <t>Al 31 de diciembre de 2021 se otorgaron 546 permisos solicitados, de los cuales 433  son del trámite NCT, 91 de Diversidad Biológica, 15 de PFL y 7 de Posconsumo.
Es importante mencionar que en las evidencias no se encuentra relacionado un certificado de NCT, éste está en etapa de ejecución y finalización en SILA, sin embargo, una vez se termine la gestión en el aplicativo, el certificado quedaran en SILA con fecha de diciembre, mes en el que fue aprobado.
CERTIFICADO 	OBSERVACIÓN 
AIE0366-00-2021	El certificados NCT del   expediente relacionado, se encuentra en etapa de ejecución y finalización en SILA, una vez se cierre la actividad, el certificado de aprobación quedará  en SILA con fecha de diciembre.</t>
  </si>
  <si>
    <t>Al 31 de octubre se emitiron 831 actos administrativos para acoger los seguimientos realizados a permisos otorgados, 513 del grupo Posconsumo  correspondientes al 61,7%, 226 de IDB con el  27,2% y 92 de PFL con el 11,1%.
Es importante mencionar que a partir de Mayo, se ajustó la meta de seguimiento, contemplado un nuevo grupo de profesionales para el trámite de Envases y Empaques, así las cosas la meta de AA de seguimiento de permisos pasa de 1021 a 1104."</t>
  </si>
  <si>
    <t>&lt;p&gt;Al 30 de noviembre se emitiron 1007 actos administrativos para acoger los seguimientos realizados a permisos otorgados, 642 del grupo Posconsumo  correspondientes al 63,8%, 259 de IDB con el  25,7% y 106 de PFL con el 10,5%.Es importante mencionar que a partir de Mayo, se ajustó la meta de seguimiento, contemplado un nuevo grupo de profesionales para el trámite de Envases y Empaques, así las cosas la meta de AA de seguimiento de permisos pasa de 1021 a 1104."</t>
  </si>
  <si>
    <t>Al 31 de diciembre se emitiron 1147 actos administrativos para acoger los seguimientos realizados a permisos otorgados, 732 del grupo Posconsumo  correspondientes al 63,8%, 295 de IDB con el  25,7% y 120 de PFL con el 10,5%.
Es importante mencionar que a partir de Mayo, se ajustó la meta de seguimiento, contemplado un nuevo grupo de profesionales para el trámite de Envases y Empaques, así las cosas la meta de AA de seguimiento de permisos pasa de 1021 a 1104."</t>
  </si>
  <si>
    <t>Al cierre de octubre se realizaron 902 CT para hacer seguimiento a los permisos otorgados, el 63.1% de estos seguimientos corresponden a los trámites de Posconsumo, 569 CT; IDB realizó 241 CT, es decir el 26,7% de participación en el avance y 10,2% Permisos Fuera de Licencia con 92 CT.
Es importante mencionar que a partir de Mayo, se ajustó la meta de seguimiento, contemplado un nuevo grupo de profesionales para el trámite de Envases y Empaques, así las cosas la meta de CT de seguimiento de permisos pasó de 1021 a 1104.</t>
  </si>
  <si>
    <t>Al cierre de noviembre se realizaron 1063 CT para hacer seguimiento a los permisos otorgados, el 64.7% de estos seguimientos corresponden a los trámites de Posconsumo, 688 CT; IDB realizó 273 CT, es decir el 25,7% de participación en el avance y 9,6% Permisos Fuera de Licencia con 102 CT.&lt;/p&gt;&lt;p&gt;Es importante mencionar que a partir de Mayo, se ajustó la meta de seguimiento, contemplado un nuevo grupo de profesionales para el trámite de Envases y Empaques, así las cosas la meta de CT de seguimiento de permisos pasó de 1021 a 1104.</t>
  </si>
  <si>
    <t>Al cierre de diciembre se realizaron 1.119 CT para hacer seguimiento a los permisos otorgados, el 64.3% de estos seguimientos corresponden a los trámites de Posconsumo, 719 CT; IDB realizó 288 CT, es decir el 25,7% de participación en el avance y 10% Permisos Fuera de Licencia con 112 CT.
Es importante mencionar que a partir de Mayo, se ajustó la meta de seguimiento, contemplado un nuevo grupo de profesionales para el trámite de Envases y Empaques, así las cosas la meta de CT de seguimiento de permisos pasó de 1021 a 1104.</t>
  </si>
  <si>
    <t>Teniendo en cuenta la meta de recolección y aprovechamiento para esta corriente se da un cumplimiento del 95%, dado que la meta era de 2.661.004 unidades y se logró validar la gestión de 2.528.727 unidades.</t>
  </si>
  <si>
    <t>Teniendo en cuenta la meta de recolección y aprovechamiento para esta corriente se da un cumplimiento del 109%, considerando que se gestionó una mayor cantidad de estos residuos. La meta de recolección para la corriente era de 864.242 Kg y se logró validar la gestión de 940.151 kg.</t>
  </si>
  <si>
    <t>Teniendo en cuenta la meta de recolección y aprovechamiento para esta corriente se da un cumplimiento del 130%, considerando que se gestionó una mayor cantidad de estos residuos. La meta de recolección para la corriente era de 2.195.755 Kg y se logró validar la gestión de 2.863.992 kg.</t>
  </si>
  <si>
    <t>Teniendo en cuenta la meta de recolección y aprovechamiento para esta corriente se da un cumplimiento del 80%, dado que la meta era de 7.646.324 unidades y se logró validar la gestión de 6.138.067 unidades.</t>
  </si>
  <si>
    <t>Teniendo en cuenta la meta de recolección y aprovechamiento, para esta corriente se determina un cumplimiento del 49%, dado que la meta para la corriente se estableció en 1.100.587 kg y se logró validar la  gestión de 535.551 kg. Cabe aclarar que de la meta indicada, solo fue posible validar un total de 91.457 kg de los usuarios que presentaron la información completa relacionada con las cantidades puestas en el mercado. Asimismo, la cantidad restante de 1.009.130 kg, es la reportada por los sistemas que no presentaron soportes asociados a los datos de lo puesto en el mercado, por lo que, esta autoridad validará en el seguimiento de la vigencia 2021, los documentos que se alleguen (información requerida en los actos administrativos emitidos).</t>
  </si>
  <si>
    <t>Para el periodo de octubre  se registran 5 instrumentos , Lista de chequeo SSLA, Aplicativo PMA, Obligaciones mínimas Fase IV (PPII, Eólicos) ,Desarrollo tecnológico para la recepción de información asociada al monitoreo ,uso y aprovechamiento de recursos naturales ,Inventario de GEI,  buenas prácticas de reducción de emisiones ANLA y un avance del 86.4% restante en cuanto al porcentaje de gestión el cual corresponde al promediode avance de cada uno de los hitos establecidos según la naturaleza de cada instrumento.</t>
  </si>
  <si>
    <t>Para el periodo de noviembre  se registran 4 instrumentos , Guia de encadenamientos productivos, Estrategia Cambio Climatico , Plan estratégico del 1% y compensaciones fase II ,Apoyo en la generación del Manual de Evaluación para su adopción por Minambiente y un avance del 95.1 % restante en cuanto al&lt;br /&gt;porcentaje de gestión el cual corresponde al promediode avance de cada uno de los hitos establecidos según la naturaleza de cada&lt;br /&gt;instrumento.</t>
  </si>
  <si>
    <t>Para la vigencia 2021, se planteó la gestión de 18 instrumentos que aportan a este indicador, a 31 de diciembre se reporta un cumplimiento del 100% de la generación de los instrumentos de acuerdo con la competencia de ANLA, así mismo es preciso indicar que 2 instrumentos entraron en el proceso de adopción por parte del más y para este caso el 100% de gestión por parte de ANLA (85%) se cumplió.
https://anla-my.sharepoint.com/:x:/r/personal/aromero_anla_gov_co/_layouts/15/Doc.aspx?sourcedoc=%7B825F829C-8B36-448E-A7C9-818A526B49D1%7D&amp;file=Seguimiento%20PAI%202021%20indicador%20instrumentos.xlsx&amp;action=default&amp;mobileredirect=true</t>
  </si>
  <si>
    <t>Para el periodo de  octubre se registran 5 instrumentos que se suman a los 3 finalizados en el mes de septiembre para un total de 8  ,  Lista de chequeo SSLA, Aplicativo PMA, Obligaciones mínimas Fase IV (PPII, Eólicos) , Obligaciones mínimas Fase IV (PPII, Eólicos) , Inventario de GEI y buenas prácticas de reducción de emisiones ANLA  en un 100% relacionados con la optimización de los procesos de evaluación y seguimiento de Licencias Ambientales y un avance del 83% restante en cuanto al porcentaje de gestión el cual corresponde al promedio de avance de cada uno de los hitos establecidos según la naturaleza de cada instrumento.</t>
  </si>
  <si>
    <t>Para el periodo de  noviembre se registran 5 instrumentos que se suman a los 3 finalizados en el mes de septiembre para un total de 8  ,  Lista de chequeo SSLA, Aplicativo PMA, Obligaciones mínimas Fase IV (PPII, Eólicos) , Obligaciones mínimas Fase IV (PPII, Eólicos) , Inventario de GEI y buenas prácticas de reducción de emisiones ANLA  en un 100% relacionados con la optimización de los procesos de evaluación y seguimiento de Licencias Ambientales y un avance del 83% restante en cuanto al porcentaje de gestión el cual corresponde al promedio de avance de cada uno de los hitos establecidos según la naturaleza de cada instrumento.</t>
  </si>
  <si>
    <t>Para la vigencia 2021, se plantearon 14 instrumentos que aportan a este indicador, a 31 de diciembre se reporta un cumplimiento del 100% de la generación de los instrumentos de acuerdo con la competencia de ANLA.
https://anla-my.sharepoint.com/:x:/r/personal/aromero_anla_gov_co/_layouts/15/Doc.aspx?sourcedoc=%7B825F829C-8B36-448E-A7C9-818A526B49D1%7D&amp;file=Seguimiento%20PAI%202021%20indicador%20instrumentos.xlsx&amp;action=default&amp;mobileredirect=true</t>
  </si>
  <si>
    <t>Parar el mes de septiembre  no se ha finalizado ninguna mejora adicional a la reportada para beneficios tributario por lo tanto el avance se mantiene en 158 de 441 .</t>
  </si>
  <si>
    <t>Parar el mes de octubre  no se ha finalizado ninguna mejora adicional a la reportada para beneficios tributario por lo tanto el avance se mantiene en 158 de 441 .</t>
  </si>
  <si>
    <t>Parar el mes de noviembre  no se ha finalizado ninguna mejora adicional a la reportada para beneficios tributario por lo tanto el avance se mantiene en 158 de 441 .</t>
  </si>
  <si>
    <t>A corte del 31 de diciembre se reporta el cierre del indicador con 561 usuarios beneficiados con acciones de racionalización gracias al cumplimiento del 100% de las acciones correspondientes a las mejoras tecnológicas y administrativas implementadas en la vigencia así: desarrollo de formulario en línea a través de VITAL para la presentación de informes de actualización y avance, y las acciones administrativas para la intención e las solicitudes de presentación de planes de gestión de envases y empaques que permitió el pronunciamiento del 100% de las solicitudes con al generación de guía de orientación, actualización de manual de seguimiento y formatos, junto con la conformación de un equipo técnico de dedicación exclusiva para la atención del trámite.
https://anla-my.sharepoint.com/:x:/r/personal/aromero_anla_gov_co/_layouts/15/Doc.aspx?sourcedoc=%7B1659EB2B-6731-42E0-86D5-D9F7F39780D5%7D&amp;file=Seguimiento%20PAI%202021%20Usuarios%20Beneficiados.xlsx&amp;action=default&amp;mobileredirect=true</t>
  </si>
  <si>
    <t>El valor de la contribución a la preservación ambiental por la evaluación y seguimiento a la implementación de las correspondientes medidas de manejo para prevenir y corregir el deterioro de la calidad ambiental, representó en el año 2020 el 3.63% del gasto total del gobierno en actividades de protección ambiental. La información considerada para el cálculo del indicador está asociadas a 27 impactos de cuatro sectores. Es importante aclarar que se presenta un año vencida, dado que sólo hasta el mes de septiembre del año siguiente se cuenta con la información oficial del DANE de Gasto Anual de productores del Gobierno según actividades de protección ambiental.
El análisis económico de los impactos internalizables y no internalizables incluye solamente a los impactos calificados dentro de las tres categorías de mayor significancia; por tanto, no se consideran aquellos impactos valorados en otra categoría ni los costos asociados a las medidas de manejo, a pesar de que estos puedan ser representativos dentro del total.
La evaluación y la proyección que el usuario desarrolla para implementar las medidas de manejo permite establecer los costos que finalmente son reportados ex – ante; sin embargo, estos pueden sufrir ajustes durante la ejecución del proyecto en el tiempo, generando a su vez cambios en el resultado del indicador.</t>
  </si>
  <si>
    <t>Hasta el  31 de octubre  de 2021 se emitieron 19.162  AA de evaluación de certificaciones, de los cuales 17.912 corresponden a VUCE, trámite que aporta el 93.48% dentro de este avance, 826  fueron de Prueba Dinámica con una participación de 4.31% y por último Beneficios Tributarios con 424 actos administrativos y el 2,21% de participación.
Es importante mencionar que debido al comportamiento de los trámites de Certificaciones  durante 2021, fue necesario modificar la meta de AA que acogen solicitudes de Certificaciones y Vistos Buenos,  se amplió al 22.447 AA que se espera finalizar al 31 de diciembre de 2021.</t>
  </si>
  <si>
    <t>Hasta el  30 de Noviembre  de 2021 se emitieron 21.086  AA de evaluación de certificaciones, de los cuales 19.708 corresponden a VUCE, trámite que aporta el 93.46% dentro de este avance, 906  fueron de Prueba Dinámica con una participación de 4.30% y por último Beneficios Tributarios con 472 actos administrativos y el 2,24% de participación.&lt;/p&gt;&lt;p&gt;Es importante mencionar que debido al comportamiento de los trámites de Certificaciones  durante 2021, fue necesario modificar la meta de AA que acogen solicitudes de Certificaciones y Vistos Buenos,  se amplió al 22.447 AA que se espera finalizar al 31 de diciembre de 2021.</t>
  </si>
  <si>
    <t>Hasta el  31 de diciembre  de 2021 se emitieron 22.995  AA de evaluación de certificaciones, de los cuales 21.441 corresponden a VUCE, trámite que aporta el 93.24% dentro de este avance, 1.005  fueron de Prueba Dinámica con una participación de 4.37% y por último Beneficios Tributarios con 549 actos administrativos y el 2,39% de participación.
Es importante mencionar que debido al comportamiento de los trámites de Certificaciones  durante 2021, fue necesario modificar la meta de AA que acogen solicitudes de Certificaciones y Vistos Buenos,  se amplió a 22.447 AA que se espera finalizar al 31 de diciembre de 2021.</t>
  </si>
  <si>
    <t>Con corte al 31  de octubre de 2021 se emitieron 1.679 CT de evaluación para certificaciones, de los cuales 1.110 CT corresponden al trámite de Prueba Dinámica y representan 66.11% del avance y Beneficios Tributarios aportó el  33,89% con 569 conceptos técnicos.</t>
  </si>
  <si>
    <t>Con corte al 30  de noviembre de 2021 se emitieron 1.839 CT de evaluación para certificaciones, de los cuales 1.213 CT corresponden al trámite de Prueba Dinámica y representan 65.96% del avance y Beneficios Tributarios aportó el  34,04% con 626 conceptos técnicos.</t>
  </si>
  <si>
    <t>Con corte al 31  de diciembre de 2021 se emitieron 2.041 CT de evaluación para certificaciones, de los cuales 1.339 CT corresponden al trámite de Prueba Dinámica y representan 65.61% del avance y Beneficios Tributarios aportó el  34,39% con 702 conceptos técnicos.</t>
  </si>
  <si>
    <t>Al finalizar octubre de  2021 se otorgaton 18.569 certificaciones, 17.452 de VUCE,  738 de Prueba Dinámica y 379 de Beneficios Tributarios.
Es importante mencionar que debido al comportamiento de los trámites de Certificaciones durante 2021, fue necesario modificar la meta de Certificaciones y Vistos Buenos otorgados, se amplió al 21.790 Certificaciones y Vistos  que se espera otorgar al 31 de diciembre de 2021</t>
  </si>
  <si>
    <t>Al finalizar diciembre de  2021 se otorgaton 22.289 certificaciones, 20.910 de VUCE,  893 de Prueba Dinámica y 486 de Beneficios Tributarios.
Es importante mencionar que debido al comportamiento de los trámites de Certificaciones durante 2021, fue necesario modificar la meta de Certificaciones y Vistos Buenos otorgados, se amplió al 21.790 Certificaciones y Vistos  que se espera otorgar al 31 de diciembre de 2021.</t>
  </si>
  <si>
    <t>Se estimó el indicador de impacto del año 2020 para fuentes móviles cuyas emisiones fueron estimadas en pruebas dinámicas en dinamómetro o banco de motor (prueba a motor), de donde se obtuvo el ponderado de la reducción porcentual de emisiones del 77% con relación a los límites anteriores a la normativa vigente (Resoluciones 910 de 2008 y 1111 de 2013). El indicador para el año 2020 es inferior al estimado para el año 2019 (que correspondió al 79%), para el cual las emisiones contaminantes por vehículo, evidencian un incremento en las emisiones de Monóxido de Carbono (CO) e Hidrocarburos (HC), las cuales aumentaron de 0,72 g/kWh a 0,90 g/kWh y de 0,08 g/kWh a 0,11 g/kWh, respectivamente, con relación al año inmediatamente anterior.
Por otra parte,  de igual manera que con el indicador de fuentes móviles probadas en dinamómetro de chasis, para el indicador de impacto del año 2020 para fuentes móviles probadas en banco motor, la fuente de información a partir de la cual se identifica la cantidad de vehículos que ingresaron al país cambió de LEGISCOMEX a la DIAN.</t>
  </si>
  <si>
    <t>Se estimó el indicador de impacto del año 2020 para fuentes móviles cuyas emisiones fueron estimadas en pruebas dinámicas en dinamómetro de chasis (prueba a vehículo completo), de donde se obtuvo el ponderado de la reducción porcentual de emisiones del 90% con relación a los límites anteriores a la normativa vigente (Resoluciones 910 de 2008 y 1111 de 2013). El indicador para el año 2020 es superior al estimado para el año 2019 (que correspondió al 88%), para lo cual lo más relevante a resaltar son las emisiones contaminantes por motocicleta, las cuales evidencian una reducción en la emisión de Monóxido de Carbono (CO) de 1,44 g/km a 1,15 g/km, como también en las emisiones de HC+NOX, las cuales disminuyeron de 0,42 g/km a 0,30 g/km, respecto al año inmediatamente anterior. Reducciones que corresponden a las más relevantes, teniendo en cuenta que las motocicletas representan el 78% de la flota vehicular que ingreso al país en el 2020.
Por otro lado, razón de dicha reducción pudo deberse en parte a lo establecido en el artículo 6 de la Ley 1972 de 2019, el cual si bien exige a las motocicletas el cumplimiento de límites de emisiones más estrictos para el año 2021, implicó que desde el 2020 los comercializadores empezaran a migrar a tecnologías más limpias para poder dar cumplimiento a los nuevos límites.
Adicionalmente, es importante resaltar que, para el indicador de impacto del año 2020 la fuente de información a partir de la cual se identifica la cantidad de vehículos que ingresaron al país cambió de LEGISCOMEX a la DIAN.</t>
  </si>
  <si>
    <t>El porcentaje de reproceso por verificación de documentos de inicio fue de 5,29%, así que, de un universo de 19.129 solicitudes recibidas a septiembre, se realizó requerimiento a 1.012 solicitudes.
Teniendo en cuenta que durante lo corrido del año este porcentaje de reproceso se ha mantenido por abajo de 8.5, la meta del indicador se ajustó, quedando ubicada en 6.5.</t>
  </si>
  <si>
    <t>El porcentaje de reproceso por verificación de documentos de inicio fue de 5,27%, así que, de un universo de 20.962 solicitudes recibidas a 30 de noviembre, se realizó requerimiento a 1.104 solicitudes.&lt;/p&gt;&lt;p&gt;Teniendo en cuenta que durante lo corrido del año este porcentaje de reproceso se ha mantenido por abajo de 8.5, la meta del indicador se ajustó, quedando ubicada en 6,5.</t>
  </si>
  <si>
    <t>El porcentaje de reproceso por verificación de documentos de inicio fue de 5,23%, así que, de un universo de 22.795 solicitudes recibidas a 31 de diciembre, se realizó requerimiento a 1.193 solicitudes.</t>
  </si>
  <si>
    <t>1.1. Avance Reportes:
1.1.1. Reporte de Alertas Río Metica - Expediente REG0004-00-2016: A 31 de marzo se reportó culminación del 100%. Se resalta que el reporte se publicó en septiembre.
1.1.2. Reporte cuenca hidrográfica Río Sogamoso y afluentes directos al Lebrija medio - Expediente REG0007-00-2016: A 31 de julio se reportó culminación del 100%. Durante el mes de octubre, se publicó en la página web de la entidad.
1.1.3. Reporte Bahía de Cartagena y Canal del Dique - Expediente REG0012-00-2016: se reporta para este mes culminación del 100%. Se envió memorando interno a OAJ para revisión jurídica y memorandos a SELA, SSLA para divulgación del reporte (27 de octubre 2021). 
1.2. Avance Actualizaciones:
1.2.1.  Actualización reporte de alertas de la Zona Minera del Cesar: a 31 de octubre se registra un avance del 90%, por la finalización del documento, el cual se enviará la primera semana de noviembre al equipo de Regionalización y la Coordinación para las retroalimentaciones.
1.2.2. Actualización Alto San Jorge: a 31 de octubre se registra un avance del 8%, que corresponde a la definición del área de estudio, estado de licenciamiento y distribución de radicados a gestionar en archivo.
1.3. Avance Diagnósticos Estrategias:
1.3.1. Estrategia de Monitoreo del Acuífero Yopal-Casanare - Expediente REG0003-00-2016: 100% ejecutada y reportada en el mes de Abril.
1.3.2. Estrategia de Monitoreo de Hidroeléctricas - Expediente REG0011-00-2021: 100% ejecutada y reportada en el mes de Abril.
1.3.3. Estrategia de Monitoreo recurso hídrico superficial Putumayo  - REG0016-00-2016: A 31 de octubre, se mantiene en el 97% en el diagnóstico y formulación de esta estrategia.
1.3.4. Estrategia de Biodiversidad Fase I - Expediente REG0011-00-2021: 
-Pasos de fauna región Caribe-Pacífico: Teniendo en cuenta la priorización de estrategias por parte del grupo de regionalización y centro de monitoreo, se replantea la culminación de este producto para el año 2022. A 31 octubre, se reporta un 95% de avance en el diagnóstico y formulación de esta estrategia. En cuanto a la estrategia de Parcelas Permanentes (Flora), se registra un 53% de  avance en el diagnóstico y formulación de esta estrategia, por lo tanto en promedio se reporta un avance total del 74%.
-Pasos de fauna región Orinoquia-Amazonía: Teniendo en cuenta la priorización de estrategias por parte del grupo de regionalización y centro de monitoreo, se replantea la culminación de este producto para el año 2022. A 31 de  octubre se mantiene un 97% en el diagnóstico y formulación de esta estrategia. En cuanto a la estrategia de Parcelas Permanentes (Flora), se reporta 53% de avance en el diagnóstico y formulación de esta estrategia, por lo tanto en  promedio  se mantiene avance total del 75%.
1.3.5. Estrategia de Monitoreo de la Bahía Cartagena (Recurso Hídrico Superficial) -Expediente REG0012-00-2016: A 30 de septiembre, se reportó 100% de culminación en el diagnóstico y formulación de la estrategia.</t>
  </si>
  <si>
    <t>1.1. Avance Reportes:
1.1.1. Reporte de Alertas Río Metica - Expediente REG0004-00-2016: A 31 de marzo se reportó culminación del 100%. Se resalta que el reporte se publicó en septiembre. (https://www.anla.gov.co/documentos/biblioteca/21-09-2021-reporte-de-analisis-regional-rio-negro-6.pdf)
1.1.2. Reporte cuenca hidrográfica Río Sogamoso y afluentes directos al Lebrija medio - Expediente REG0007-00-2016: A 31 de julio se reportó culminación del 100%. En octubre, se publicó en la página web de la entidad. (https://www.anla.gov.co/documentos/biblioteca/29-10-2021-anla-reporte-analisis-regional-sogamoso.pdf)
1.1.3. Reporte Bahía de Cartagena y Canal del Dique - Expediente REG0012-00-2016: En octubre se reportó culminación del 100%. Durante este mes aún se mantiene el documento en diagramación para la respectiva publicación.
1.2. Avance Actualizaciones:
1.2.1.  Actualización reporte de alertas de la Zona Minera del Cesar: A 31 de diciembre se reporta culminación del 100%, la actualización del reporte de alertas ha sido avalada por la OAJ para publicación.
1.2.2. Actualización Alto San Jorge: a 31 de diciembre se registra un avance del 90%, finalización del documento y atención de las observaciones de los líderes temáticos, se encuentra en revisión por parte de la Coordinación para las retroalimentaciones finales previo al envío a la OAJ.
1.3. Avance Diagnósticos Estrategias:
1.3.1. Estrategia de Monitoreo del Acuífero Yopal-Casanare - Expediente REG0003-00-2016: 100% ejecutada y reportada en el mes de Abril.
1.3.2. Estrategia de Monitoreo de Hidroeléctricas - Expediente REG0011-00-2021: 100% ejecutada y reportada en el mes de Abril.
1.3.3. Estrategia de Monitoreo recurso hídrico superficial Putumayo  - REG0016-00-2016: A 31 de diciembre, se reporta culminación del 100% en el diagnóstico y formulación de esta estrategia.
1.3.4. Estrategia de Biodiversidad Fase I - Expediente REG0011-00-2021: 
-Pasos de fauna región Caribe-Pacífico: Teniendo en cuenta la priorización de estrategias por parte del grupo de regionalización y centro de monitoreo, se replantea la culminación de este producto para el año 2022. A 31 de diciembre, se mantiene en 95% de avance en el diagnóstico y formulación de esta estrategia. En cuanto a la estrategia de Parcelas Permanentes (Flora), se mantiene en 53% de  avance en el diagnóstico y formulación de esta estrategia, por lo tanto en promedio se mantiene en 74%.
-Pasos de fauna región Orinoquia-Amazonía: Teniendo en cuenta la priorización de estrategias por parte del grupo de regionalización y centro de monitoreo, se replantea la culminación de este producto para el año 2022. A 31 de diciembre se mantiene un 97% en el diagnóstico y formulación de esta estrategia. En cuanto a la estrategia de Parcelas Permanentes (Flora), se mantiene en 53% de avance en el diagnóstico y formulación de esta estrategia, por lo tanto en  promedio  se mantiene avance total del 75%.
1.3.5. Estrategia de Monitoreo de la Bahía Cartagena (Recurso Hídrico Superficial) -Expediente REG0012-00-2016: A 30 de septiembre, se reportó 100% de culminación en el diagnóstico y formulación de la estrategia.
1.3.6. Estrategia de Monitoreo de la Bahía Cartagena (Componente Atmosférico) - Expediente REG0012-00-2016: A 31 de diciembre se mantiene en 97%  en el diagnóstico y formulación de la estrategia. Teniendo en cuenta la priorización de estrategias por parte del grupo de regionalización y centro de monitoreo, se replantea la culminación de este producto para el año 2022.</t>
  </si>
  <si>
    <t>"2.1 Sentencias
2.1.1. Sentencia T-606/2015 Plan Maestro Tayrona: A corte 31 de marzo de 2021, se  generó un (1) Documento  para la sentencia en mención. Para este período se reporta: 1. Documentos técnicos y revisión de expedientes: Concepto técnico de seguimiento No. 06552 del 22 de octubre de 2021, 2. Reuniones internas: Contexto de Indicador del Plan Maestro de Protección y Restauración del Parque Nacional Natural Tayrona (Sentencia T-606 de 2015) a profesional biótico SIPTA (21-10-2021). 
2.1.2. Sentencia Amazonas (T-4360/2018): Para este mes no se reportan actividades en cumplimiento de esta sentencia.
2.1.3. Sentencia Bahía de Cartagena Acción Popular 2017-00987-1: Acciones internas: Observaciones al documento PROGRAMA DE EVALUACIÓN, PREVENCIÓN, REDUCCIÓN Y CONTROL DE FUENTES TERRESTRES Y MARINAS PARA LA BAHÍA DE CARTAGENA – INFORME DE AVANCE. 
2.1.4. Sentencia Guajira - Población Wayuú municipios Riohacha, Manaure y Uribia (T-302 de 2017): Acompañamiento técnico en revisión de observaciones comunidad Resguardo Las Delicias y Presidencia, frente a oferta institucional; acompañamiento técnico interinstitucional a ajuste de oferta institucional Sentencia T 302 previo desarrollo consulta previa. Acompañamiento técnico interinstitucional a V Sesión Comisión Intersectorial para el departamento de La Guajira. 
2.1.5. Sentencia Guajira - Provincial (T-614/2019): A corte 30 de abril (1) y 30 de septiembre (1) se han generado 2 documentos para la sentencia en mención. Para este período se reportan las acciones: Contrato 1370 de 2021 Mínima Cuantía – Monitoreo fuentes hídricas en Provincial: Tercer informe de verificación de requisitos técnicos habilitantes proceso de selección de Mínima Cuantía. Memorando 2021214377-3-000 del 04-10-2021 envío del Tercer Informe de Verificación Requisitos Técnicos Habilitantes del proceso. Recomendación aceptación de oferta Control y Gestión Ambiental S.A.S., Reunión preparatoria dependencias internas Contrato 1370 de 2021 Provincial (13-10-2021), Invitación interinstitucional MinAmbiente y CORPOGUAJIRA a jornada de socialización y primera campaña de monitoreo del Contrato 1370 de 2021 en Provincial (14-10-2021), Acta de inicio del contrato con Control y Gestión Ambiental S.A.S. (15-10-2021), Revisión LMC Contrato 1370 de 2021 Caribe – Pacífico y Regionalización (22-10-2021); Ajuste vía supervisión Anexo Condiciones técnicas exigidas Contrato 1370 de 2021 (22-10-2021); Comisión jornada de apertura y socialización y supervisión de la primera campaña de monitoreo Contrato 1370 de 2021 25 al 28 de octubre 2021. Memorando 2021227502-2-000 del 21-10-2021 Confirmación Cabildo Gobernador actividades 26 y 27 de octubre Provincial. Memorando 2021228446-2-000 del 21-10-2021 Invitación a MinAmbiente actividades 26 y 27 de octubre Provincial. Memorando 2021228448-2-000 del 21-10-2021 Invitación a CORPOGUAJIRA actividades 26 y 27 de octubre Provincial. Memorando 2021228450-2-000 Invitación a CARBONES DEL CERREJÓN LIMITED actividades 26 y 27 de octubre Provincial.  
Convenio 1279 de 2021 CORPOGUAJIRA – ANLA: Seguimiento al convenio octubre de 2021 (22-10-2021); Seguimiento a novedades del convenio octubre de 2021 (25-10-2021)
2.1.6. Sentencia Cerro Matoso (T-733/2017): Para este mes se genera (1) documento. Documentos técnicos y revisión de expedientes: Informe sobre apoyo técnico del Grupo de Regionalización y Centro de Monitoreo al cumplimiento de la Sentencia T-733 de 2017. 
2.2. Avance Actos Administrativos de Evaluación 
A la fecha, se registra un total de 72 Actos Administrativos de 117 solicitudes de acompañamiento para el proceso de evaluación de LA, los cuales se detallan a continuación:  
64. LAV0046-00-2019 APE COR15
65. LAM0471 Bloque Corocora A2
66. LAV0050-13 Conconcreto
67. LAM8418-00 Explotación de Caliza Paraje del río Claro
68. LAM2939 Línea férrea Cartago (Valle) y Caimalito (Pereira)
69. LAM1748 Maquinas Amarillas
70. LAM0806 Mod. PMA Mineros 2
71. LAV0001-00-2020 Quebradona
72. LAM1224 RR Planta Formuladora de Plaguicidas
2.3. Avance Conceptos Técnicos de Seguimiento: 
A la fecha se registran 135 CT numerados de 147 solicitudes de acompañamiento para la toma de decisiones en el marco de Seguimiento de LA, los CT se detallan a continuación:  
112. LAM6115 Aeropuerto Camilo Daza de Cúcuta
113. LAM0209 Aeropuerto El Dorado
114. LAV0040-00-2018 APE El Portón
115. LAV0013-00-2015 APE Jaraguay
116. LAV0008-12 APE VMM37
117. LAM0232 Campo Palagua
118. LAM0227 Campos Castilla - Chichimene. Proyecto Piloto de Inyección de Aire – PIAR
119. LAM2582 Central Hidroeléctrica Calima
120. LAM3667 Central Termíca de Cartagena
121. LAM1094 Explotación Carbón Mina Cerrejón
122. LAM0197 Gasoducto Bucaramanga Payoa Barrancabermeja
123. LAV0004-00-2019 Gasoducto Regional Zona Bananera
124. LAM2233 Hidroituango
125. LAM0520 Poliducto Sebastopol
126. LAV0071-00-2015 Proyecto Autopista Conexión Pacífico 1
127. LAM0112 Proyecto Hidroeléctrico Urrá I
128. LAV0052-00-2019 Queresas Porvenir
129. LAM7749-00 Relleno sanitario Cucunubá
130. LAM2048 RR Línea de transmisión de energía a 230 kV. Corredor Sur y Sistema Bogotá
131. LAM1057 Termomerieléctrica
132. LAV0074-00-2015 Tramo Bijagual - Fundadores
133. LAM4602 Túnel de la Línea
134. LAV0019-00-2017 Túnel del Toyo
135. LAM2978 UEAC Aeropuerto Camilo Daza de Cúcuta
Para este indicador a la fecha se registran 207  Actos Administrativos de Evaluación y Conceptos Técnicos de Seguimiento, así como 4 documentos generados de Sentencias, para un total de 211."
https://anla-my.sharepoint.com/:f:/g/personal/aromero_anla_gov_co/ErF06qPuZ5pNgmCrRMRp1vEBGZwOnIhTNlRS4DxMKbeTzA?e=DwxByc</t>
  </si>
  <si>
    <t>"2.1 Sentencias&lt;/p&gt;&lt;p&gt;2.1.1. Sentencia T-606/2015 Plan Maestro Tayrona: A corte 31 de marzo de 2021, se  generó un (1) Documento  para la sentencia en mención. Para este período se reporta: 1. Documentos técnicos y revisión de expedientes: Acta de reunión control y seguimiento ambiental LAM0528 (Concepto técnico de seguimiento No. 06552 del 22 de octubre de 2021) 2. Reuniones y acompañamientos técnicos interinstitucionales: Reunión COPAMAG - ANLA revisión aspectos del SVCA de CORPAMAG (10-11-2021).  &lt;/p&gt;&lt;p&gt;2.1.2. Sentencia Amazonas (T-4360/2018): Para este mes no se reportan actividades en cumplimiento de esta sentencia.&lt;/p&gt;&lt;p&gt;2.1.3. Sentencia Bahía de Cartagena Acción Popular 2017-00987-1: para este período se reporta: Participación ANLA en Plan de Restauración bahía de Cartagena: Documento ""Observaciones al documento PROGRAMA DE EVALUACIÓN, PREVENCIÓN, REDUCCIÓN Y CONTROL DE FUENTES TERRESTRES Y MARINAS PARA LA BAHÍA DE CARTAGENA – INFORME DE AVANCE""; Consolidación información solicitada en el marco del Programa No. 5 Preventivo de evaluación de sistemas de información.; Revisión de avances del Programa No. 5 Preventivo de evaluación de sistemas de información; Reunión para revisión de compromisos que solicita la coordinación del Plan Maestro con OAJ (16-11-2021). Sesión de trabajo Programa No. 5 Gobernanza.&lt;/p&gt;&lt;p&gt;2.1.4. Sentencia Guajira - Población Wayuú municipios Riohacha, Manaure y Uribia (T-302 de 2017): Para este mes se genera (1) documento: 1. Documentos técnicos y revisión de expedientes: Informe Sobre Apoyo Técnico del Grupo de Regionalización y Centro de Monitoreo al Cumplimiento de la Sentencia T302-2017. 2. Reuniones y acompañamiento técnico: Convocatoria VI Comisión Intersectorial para el departamento de La Guajira – Memoria de acompañamiento técnico (04-11-21): Contextualización de proceso de preconsulta y consulta previa.  Memoria de acompañamiento técnico Preparatoria Consulta previa. Presentación Oferta Institucional Sentencia T-302/2017 (10-11-21): Socialización oferta institucional y observaciones previas al desarrollo de la consulta previa. &lt;/p&gt;&lt;p&gt;2.1.5. Sentencia Guajira - Provincial (T-614/2019): A corte 30 de abril (1) y 30 de septiembre (1) se han generado 2 documentos para la sentencia en mención. Para este período se reportan las siguientes acciones: Convenio 1289 de 2021 CORPOGUAJIRA – ANLA: Reunión con supervisor de convenio por CORPOGUAJIRA - solicitud de modificación CORPOGUAJIRA (02-11-2021); Proyecto de oficio solicitud de modificación convenio - versión No. 1 - Corpoguajira (04-11-2021); Proyecto de oficio solicitud de modificación convenio - versión No. 3 - Revisión jurídica SIPTA (04-11-2021).&lt;br /&gt;Contrato mínima cuantía 1370 de 2021 Monitoreo de fuentes hídricas: Segunda campaña de monitoreo de fuentes hídricas abastecedoras del Resguardo Indígena Provincial (18-11-2021); Convocatoria invitación a segunda campaña de monitoreo (radicados No. 202143071-2-000; 2021243072-2-000; 2021243076-2-000 y 2021243077-2-000 del 09 de noviembre de 2021); Revisión radicados 2021246890-1-000 del 12-11-21 y 2021251281-1-000 del 19-11-21 CGA Contrato 1370/2021 - Primera campaña de monitoreo (25-11-2021); Elaboración documento observaciones a los radicados 2021246890-1-000 del 12-11-21 y 2021251281-1-000 del 19-11-21 y sus anexos; Elaboración de oficio 2021259076-2-000 del 29-11-2021.&lt;/p&gt;&lt;p&gt;2.1.6. Sentencia Cerro Matoso (T-733/2017): En octubre se generó (1) documento. Para noviembre no se reportan actividades en cumplimiento de esta sentencia. &lt;/p&gt;&lt;p&gt;2.2. Avance Actos Administrativos de Evaluación &lt;br /&gt;A la fecha, se registra un total de 87 Actos Administrativos de 122 solicitudes de acompañamiento para el proceso de evaluación de LA, los cuales se detallan a continuación:  &lt;br /&gt;73. LAM0209 Mod. LA El Dorado - Evaluación&lt;br /&gt;74. NDA0934 Interconexión Eléctrica Colombia - Panamá a 300kV&lt;br /&gt;75. LAV0037-00-2019 - VPD0138-00-2021 Construcción doble calzada Pamplona - Cúcuta Unidades funcionales 3,4 y 5 sector Pamplonita - Los Acacios LA&lt;br /&gt;76. LAV0009-00-2018 Mod. Refuerzo Costa Caribe a 500kV 2&lt;br /&gt;77. LAV0021-00-2021 Hidroeléctrico Del Río Minavieja&lt;br /&gt;78. LAV0013-00-2021 Área de desarrollo VMM 46&lt;br /&gt;79. LAM1758 RR Construcción vía nueva Paso La Torre Loboguerrero&lt;br /&gt;80. LAV0031-00-2016 Unidad Funcional 2 - Variante Tesalia&lt;br /&gt;81. LAV0034-00-2021 Construcción y operación línea gas Vasconia - Teca&lt;br /&gt;82. LAV0019-00-2021 Termoeléctrica Termosolo 1 de 148/205 MW y Línea Eléctrica de 230 kV Palmira y Yumbo&lt;br /&gt;83. LAV0041-00-2021 Área de desarrollo VIM-1&lt;br /&gt;84. LAV0014-00-2021 APE SN9. RR&lt;br /&gt;85. LAM5984 Mod. Subestación Sogamoso VPD0168-00-2021&lt;br /&gt;86. LAV0032-00-2021 Parque Solar Fotovoltaico Potreritos&lt;br /&gt;87. LAV0009-00-2021 RR APE VSM3&lt;/p&gt;&lt;p&gt;2.3. Avance Conceptos Técnicos de Seguimiento: &lt;br /&gt;A la fecha se registran 135 CT numerados de 152 solicitudes de acompañamiento para la toma de decisiones en el marco de Seguimiento de LA, los CT se detallan a continuación:  &lt;br /&gt;112. LAM6115 Aeropuerto Camilo Daza de Cúcuta&lt;br /&gt;113. LAM0209 Aeropuerto El Dorado&lt;br /&gt;114. LAV0040-00-2018 APE El Portón&lt;br /&gt;115. LAV0013-00-2015 APE Jaraguay&lt;br /&gt;116. LAV0008-12 APE VMM37&lt;br /&gt;136. LAM5423 APE CPO9&lt;br /&gt;137. LAV0089-13 Campo de producción 50K&lt;br /&gt;138. LAM0789 Central Térmica Termovalle I&lt;br /&gt;139. LAM6358 Cocorná Campo TECA&lt;br /&gt;140. LAM0027 Explotación de la mina carbonifera La Loma Pribbenow&lt;br /&gt;141. LAM1925 Subestación Nueva Barranquilla&lt;br /&gt;142. LAM7781-00 Mina Belencito&lt;br /&gt;143. LAV0006-13 LT Nueva Esperanza a 500kV&lt;br /&gt;144. LAM0368 PTAR Salitre&lt;br /&gt;145. LAM2233 Hidroituango. De 01jul2021 a 10oct2021&lt;br /&gt;146. LAM0054 Gasoducto El Porvenir - La Belleza&lt;br /&gt;147. LAV0042-00-2016 Corredor Vial Villavicencio - Yopal&lt;br /&gt;148. LAM2074 Bloque Nuevo Mundo, PMA Prospecto Guaraquies 1.&lt;br /&gt;149. LAV0018-00-2019 Parque Fotovoltaico La Loma 150MW&lt;/p&gt;&lt;p&gt;Para este indicador a la fecha se registran 236  Actos Administrativos de Evaluación y Conceptos Técnicos de Seguimiento, así como 5 documentos generados de Sentencias: (1) (Sentencia T-606/2015 Plan Maestro Tayrona; (2)Sentencia Guajira - Provincial (T-614/2019)Abril y Septiembre; (1) Sentencia Cerro Matoso (T-733/2017) y (1)  Sentencia Guajira - Población Wayuú municipios Riohacha, Manaure y Uribia (T-302 de 2017 , para un total de 241."&lt;/p&gt;&lt;p&gt; &lt;/p&gt;&lt;p&gt;https://anla-my.sharepoint.com/:f:/g/personal/aromero_anla_gov_co/Elw3K6ZSZBlNiDSg34cQQSoBlsddeLNE_ezrFXswwJIhiA?e=60bWCx&lt;/p&gt;</t>
  </si>
  <si>
    <t>"2.1 Sentencias
2.1.1. Sentencia T-606/2015 Plan Maestro Tayrona: A corte 31 de marzo de 2021, se  generó un (1) Documento  para la sentencia en mención. Para este período se reporta: 1. Documentos técnicos y revisión de expedientes: Concepto técnico de seguimiento ambiental No. 07739 del 03 de diciembre de 2021 -LAM4276, Concepto técnico de seguimiento ambiental No. 07866 del 10 de diciembre de 2021 -LAM0734 y Preinforme de avance segundo semestre de 2021, 2. Reuniones y acompañamientos técnicos interinstitucionales: Comité técnico Factor D - Material Particulado (07-12-2021), Comité jurídico Plan Maestro PNN Tayrona (14-12-2021), Comité interinstitucional Plan Maestro PNN Tayrona (15-12-2021), 3. Reuniones internas: Preparatoria Comité técnico Factor D- Material Particulado (03-12-2021).  
2.1.2. Sentencia Amazonas (T-4360/2018): Para este mes no se reportan actividades en cumplimiento de esta sentencia.
2.1.3. Sentencia Bahía de Cartagena Acción Popular 2017-00987-1: para este período se reporta: Plan de Restauración en la Bahía de Cartagena: Oficio de aclaración Leonardo Marriaga 2021274257 del 16-12-2021; Elaboración y ajustes documento sobre estado de permisos de vertimientos puntuales a la bahía de Cartagena autorizados por la ANLA; Elaboración y ajustes documento de observaciones frente al Programa No. 1 del Plan de Restauración.
2.1.4. Sentencia Guajira - Población Wayuú municipios Riohacha, Manaure y Uribia (T-302 de 2017): Para noviembre se generó (1) documento. En diciembre se reporta:  1. Documentos técnicos y revisión de expedientes: Presentación Consulta Previa (04-12-2021). Memoria técnica: Propuestas SIPTA en la oferta institucional ANLA en el marco de la Sentencia T-302 de 2017.
2.1.5. Sentencia Guajira - Provincial (T-614/2019): A corte 30 de abril (1) y 30 de septiembre (1) se han generado 2 documentos para la sentencia en mención. Para este período se reportan las siguientes acciones: Contrato mínima cuantía 1370 de 2021:  Evaluación técnica de entregables primer desembolso y respuesta al laboratorio mediante oficios radicados No. 2021267907-2-000 del 09-12-2021 y No.  2021259076-2-000 del 29-11-2021; Evaluación técnica de entregables segundo desembolso y respuesta al laboratorio mediante oficios radicados No. 2021273890-2-000 del 16-12-2021 y 2021275247-2-000 del 17-12-2021; Apoyo revisión requisitos para facturación memorandos No.  2021268866-3-000 del 10-12-2021; No. 2021277541-3-001 del 22-12-2021; Elaboración presentación de resultados Contrato 1370 de 2021.
Convenio 1289 de 2021 CORPOGUAJIRA - ANLA 2021:  Elaboración, revisión y ajuste de proyecto de solicitud modificación convenio (radicado 2021272506-1-000 del 15-12-2021); Elaboración memorando 2021278047-3-000 del 21-12-2021 justificación técnica, financiera y jurídica de modificación del convenio; Acta de reunión 27/12/21 Alcance a solicitud de modificación solicitada por SAF; modificación proyecto de oficio CORPOGUAJIRA para solicitud de modificación; elaboración memorando de alcance al memorando 2021278047-3-000 del 21-12-2021; elaboración oficio 2021269002-2-000 del 101221 reiteración compromiso ANLA.
2.1.6. Sentencia Cerro Matoso (T-733/2017): En octubre se generó (1) documento. Para diciembre se reporta: 1. Documentos técnicos y revisión de expedientes: Se realizó entrega preliminar del tablero de control avanzado para el Alto San Jorge, el cual contiene los registros de calidad de aire, meteorología y calidad de aguas (16/12/2021).
2.2. Avance Actos Administrativos de Evaluación 
A la fecha, se registra un total de 89 Actos Administrativos de 124 solicitudes de acompañamiento para el proceso de evaluación de LA, los cuales se detallan a continuación:  
88. LAM3271 Mod. El Descanso Sur - DRUMMOND
89. LAM2093 Cruce línea gas río Magd, puente Laureano Gómez, Caño Clarín
2.3. Avance Conceptos Técnicos de Seguimiento: 
A la fecha se registran 150 CT numerados de 152 solicitudes de acompañamiento para la toma de decisiones en el marco de Seguimiento de LA, los CT se detallan a continuación:  
150. ASB0008 Mina La Francia
151. LAM0027 Explotación de la mina carbonífera La Loma Pribbenow
152. LAM0150 Puerto Drummond: Puerto Carbonífero en la Ensenada de Alcatraz
153. LAM0180 Refinería de Barrancabermeja
154. LAM0227 Campos Castilla - Chichimene. Contingencia 2 diciembre
155. LAM0232 Pre Concepto de prorroga en plazo de INR para ECP
156. LAM0273 Termopaipa
157. LAM0528 Puerto Santa Marta
158. LAM1082 Oleoducto Caño Limón Coveñas
159. LAM1094 Explotación Carbón Mina Cerrejón4
160. LAM1203 Explotación carbón Jagua de Ibirico
161. LAM1568 Construcción de la variante de Pamplona – UF1. Seguimiento Atención Queja
162. LAM1748 PMA Proyecto Maquinas Amarillas
163. LAM1862 Explotación Carbonífera El Hatillo
164. LAM1913 Campo de Explotación Jazmín Nare Norte
165. LAM2249 Plan de Manejo Campos Superintendencia Mares (Segui PRA Contingencia Pozo 158)
166. LAM2344 PMA Campos Toldado, Quimbaya, Ortega, Toy del área Ortega
167. LAM2622 Proyecto Carbonífero Calenturitas
168. LAM2977 Aeropuerto Internacional Palonegro-Bucaramanga
169. LAM3199 Explotación carbón La Francia
170. LAM3271 Explotación carbón contratos 144/97 El Descanso, 283/95 Similoa, y 284/95 Rincón Hondo.
171. LAM3504 Central Termoeléctrica Termopaipa
172. LAM4090 Proyecto Hidroeléctrico El Quimbo. Segui PMA y PSM
173. LAM4090 Proyecto Hidroeléctrico El Quimbo. Agua-Emisiones-Veda
174. LAM4090 Proyecto Hidroeléctrico El Quimbo3
175. LAM4121 Construcción Doble Calzada Variante Chicoral Segui2
176. LAM4273 Campo de Producción de Hidrocarburos Medina
177. LAM4276 Puerto Nuevo
178. LAM4886 Poliducto Galán - Chimitá
179. LAM5456 APE CPO5
180. LAM5579 Ruta del Sol Sector 1, Tramo I
181. LAM6100 Aeropuerto Internacional Palonegro-Bucaramanga
182. LAV0002-00-2020 LA Cerromatoso. Respuesta Rad 2021190071-1-000 Y 2021190222-1-000 de 06/09/2021
183. LAV0002-13  APE CPO16
184. LAV0008-00-2020 Subestación Sahagún 500 kV
185. LAV0018-00-2020 Central Generación Eléctrica El Tesorito
186. LAV0019-00-2017 Túnel del Toyo
187. LAV0019-00-2018 Subestación Palenque 230 kVy LTs asociadas
188. LAV0029-00-2016 Proyecto Aurífero Buriticá
189. LAV0029-13 APE Llamador VIM5
190. LAV0046-00-2015 Cesión parcial Campo Toquí Toquí
191. LAV0049-00-2016 APE VIM8
192. LAV0057-13 Mina Agua Bonita
193. LAV0060-00-2016 Ruta del Cacao - CT General
194. LAV0073-00-2015 Tramo Chirajara - Bijagual
195. LAM0232 Concepto de prorroga en plazo de INR para ECP
Para este indicador a la fecha se registran 284  Actos Administrativos de Evaluación y Conceptos Técnicos de Seguimiento, así como 5 documentos generados de Sentencias: (1) (Sentencia T-606/2015 Plan Maestro Tayrona; (2)Sentencia Guajira - Provincial (T-614/2019)Abril y Septiembre; (1) Sentencia Cerro Matoso (T-733/2017) y (1)  Sentencia Guajira - Población Wayuú municipios Riohacha, Manaure y Uribia (T-302 de 2017 , para un total de 289. Es importante mencionar que el cubrimiento del 119% se da en cumplimiento a solicitudes realizadas por SELA y SSLA, el incremento en el indicador obedece al incremento en las solicitudes y cierres para el último mes del año."
https://anla-my.sharepoint.com/:f:/g/personal/aromero_anla_gov_co/EqhMhGTe5lBPkyPQsex8b6YB8Vd0yHgoBBPamcMgYs5kTg?e=OUKnKk</t>
  </si>
  <si>
    <t>"3.Diagnósticos Desarrollados:
3.1 Documento diagnóstico de Modelación del área regionalizada de Alto San Jorge: A 30 de abril se registró culminación 100% conforme con el plan de trabajo de modelación. El expediente asociado a este documento diagnóstico es REG0004-00-2017.
3.2 Documento diagnóstico de Modelación  del área regionalizada (Componente Atmósfera) de la Zona Minera del Cesar: A 31 de agosto se reportó culminación 100%. El expediente asociado a este documento diagnóstico es REG0011-00-2017.
3.3. Documento diagnóstico de Modelación (Ruido) Aeropuerto El Dorado se encuentra actualmente en fase de Preparación e implementación de modelo: A 30 de noviembre se registra culminación 100% tierra aire. El expediente asociado a este documento diagnóstico es REG0002-00-2017.
3.4 Documento diagnóstico de Modelación SZH Río Sogamoso (recurso hídrico superficial, recurso hídrico subterráneo y medio biótico) A 30 de noviembre se registra culminación del 100%. Expediente REG0002-00-2016."</t>
  </si>
  <si>
    <t>Porcentaje de capas geográficas de referencia de entidades externas publicadas en AGIL [ Plan de Acción ]</t>
  </si>
  <si>
    <t>Número de capas geográficas de referencia de entidades externas publicada en AGIL / Número total de capas geográficas de referencia de entidades externas proyectados para publicar</t>
  </si>
  <si>
    <t>Durante el mes de diciembre se publicaron 3 capas geográficas de referencia de entidades externas en AGIL . A 31 de diciembre se publicaron 30 capas de una proyección inicial de 30. 
Avance diciembre = 30/30 = 100%
La capas publicadas fueron:
Titulo_Vigente
Solicitud_Area_Reserva_Especial
Subcontrato</t>
  </si>
  <si>
    <t>En el mes de octubre se evaluaron 11 acciones del PM Interno y 0 de la CGR. En total se han evaluado 576 acciones de las cuales se han cerrado 540</t>
  </si>
  <si>
    <t>En noviembre en total se evaluaron 39 acciones de las cuales se cerraron 36. El acumulado corresponde a 615 acciones evaluadas y 576 cerradas en positivo.</t>
  </si>
  <si>
    <t xml:space="preserve"> 
En noviembre en total se evaluaron 39 acciones de las cuales se cerraron 36. El acumulado corresponde a 615 acciones evaluadas y 576 cerradas en positivo.
Diciembre 
En el mes de diciembre se evaluaron 35 acciones de las cuales se cerraron 34. El acumulado corresponde a 650 acciones evaluadas de las cuales se realizó el cierre de 610.</t>
  </si>
  <si>
    <t xml:space="preserve"> 
No se evaluaron acciones de PM de la CGR , sólo se avanzó en el PM Interno </t>
  </si>
  <si>
    <t>Se realizó la evaluación en Noviembre de 8 acciones cerradas en su totalidad. El consolidado son 457 evaluadas de las cuales se han cerrado 437</t>
  </si>
  <si>
    <t xml:space="preserve">En el mes de diciembre se evaluaron 9 acciones de las cuales se cerraron 9. El valor acumulado corresponde a 466 acciones evaluadas con 446 cerradas. </t>
  </si>
  <si>
    <t xml:space="preserve">En el mes de octubre se evaluaron 11 acciones de las cuales se dió el cierre de 8 acciones, en total en la vigencia se han evaluado 127 acciones de las cuales se han cerrado 111. </t>
  </si>
  <si>
    <t xml:space="preserve"> 
En el mes se evaluaron 31 acciones de las cuales se realizó el cierre de 28. El acumulado es 158 evaluadas de las cuales 139 fueron cerradas. </t>
  </si>
  <si>
    <t xml:space="preserve"> 
En el mes de diciembre se realizaron 26 evaluaciones de las cuales se cerraron 25. El valor acumulado corresponde a un total de 184 acciones evaluadas con 164 acciones cerradas. </t>
  </si>
  <si>
    <t>92%*</t>
  </si>
  <si>
    <t>El indicador es de periodicidad semestral, sus resultados estan previsto para el 30 de enero. * este porcentaje corresponde al resultado del primer semestre, dado que el segundo resultado estara solo para finales del mes de enero, lo cual entraria a ser diligenciado en febrero. por tanto no podria ser incluido al momento de publicar estos resultados.</t>
  </si>
  <si>
    <t>N.A es Trimestral</t>
  </si>
  <si>
    <t>Durante el periodo comprendido entre el 01 y 31 de octubre de 2021, la Oficina de Control Disciplinario Interno, capacitó en 4 sesiones a 241 colaboradores y usuarios de la ANLA, de los cuales 239 diligenciaron la encuesta; con una satisfacción del 98,43%% considerada como alta para un cumplimiento del 100%.</t>
  </si>
  <si>
    <t>Durante el periodo comprendido entre el 01 y 30 de noviembre de 2021, la Oficina de Control Disciplinario Interno, capacitó en 3 sesiones a 96 colaboradores de la ANLA, de los cuales 91 diligenciaron la encuesta; con una satisfacción del 99,63%% considerada como alta para un cumplimiento del 100%.</t>
  </si>
  <si>
    <t>Durante el periodo comprendido entre el 01 y 31 de diciembre de 2021, la Oficina de Control Disciplinario Interno, capacitó en 2 sesiones a 31 colaboradores de la ANLA, de los cuales 25 diligenciaron la encuesta; con una satisfacción del 100%.</t>
  </si>
  <si>
    <t>Durante el periodo comprendido entre el 1 y 31 de octubre de 2021, la Oficina de Control Disciplinario Interno emitió 30 actos administrativos los cuales fueron tramitados dentro del término de Ley</t>
  </si>
  <si>
    <t>Durante el periodo comprendido entre el 1 y 30 de noviembre de 2021, la Oficina de Control Disciplinario Interno emitió 46 actos administrativos los cuales fueron tramitados dentro del término de Ley.</t>
  </si>
  <si>
    <t>Durante el periodo comprendido entre el 1 y 31 de diciembre de 2021, la Oficina de Control Disciplinario Interno emitió 37 actos administrativos los cuales fueron tramitados dentro del término de Ley.</t>
  </si>
  <si>
    <t>Durante el último trimestre del 2021, con el fin de dar cumplimiento al 100% del plan de trabajo definido para el indicador “Documento sobre política de prevención de faltas disciplinarias para la entidad”, se dio cierre a las mesas de relacionamiento el 7.</t>
  </si>
  <si>
    <t>Se da cumplimiento al 100% del plan de trabajo definido para el indicador “Implementación y divulgación de la Línea de ética”, una vez realizada la divulgación de los canales de atención de Quejas Disciplinarias y Denuncias por Actos de Corrupción (link de denuncias en la página de la ANLA y la línea de ética), y realizando el tercer reporte de seguimiento de las quejas recibidas.</t>
  </si>
  <si>
    <t>Durante el periodo comprendido entre el 01 y 31 de octubre de 2021, la Oficina de Control Disciplinario Interno no realizó mesas de relacionamiento, durante este periodo se realizó seguimiento al correo electrónico enviados al Director de Vigilancia Fiscal de la Contraloría Delegada para el Medio Ambiente. A la fecha no se ha recibido respuesta por parte del doctor Gutiérrez.</t>
  </si>
  <si>
    <t>Durante el periodo comprendido entre el 01 y 30 de noviembre de 2021, la Oficina de Control Disciplinario Interno no realizó mesas de relacionamiento, durante este periodo envío un oficio reiterando la solicitud para realizar la mesa de relacionamiento proponiendo realizarse el 7 de diciembre, de igual manera se agendó la misma.</t>
  </si>
  <si>
    <t xml:space="preserve">Durante el periodo comprendido entre el 01 y 31 de diciembre de 2021, la Oficina de Control Disciplinario Interno realizó el cierre de las mesas de relacionamiento de la vigencia el 7 de diciembre una vez agendado al Director de Vigilancia Fiscal de la Contraloría Delegada para el Medio Ambiente y no contar con pronunciación ni su asistencia a la sesión.     </t>
  </si>
  <si>
    <t xml:space="preserve">Los documentos técnicos elaborados corresponden a: 
1. Estrategias de Relacionamiento: se realizaron las estrategias de relaiconamiento con Autoridades Ambientales, Entes de Control y Congreso	
2. Ejercicios de Participación: se relizaron 9 ejercicios de participación (7 en el marco de la rendición de cuentas y 2 ejercicios piloto de control social)	
3. Reducción de quejas y reclamos: se logró la reducción del 76% de las PQRSD recibidas en año anterior	
4. Satisfacción grupos de interés: se logró una satisfacción del 87,3% </t>
  </si>
  <si>
    <t>Durante el periodo se llevaron a cabo las siguientes actividades: 
Autoridades Ambientales: Se elaboró y aprobó el documento técnico de la estrategia de relacionamiento con Autoridades Ambientales, por lo cual se reporta un 100% de avance. Así mismo, teniendo en cuenta que la agenda firmada con ASOCARS cuenta con 4 líneas en su implementación, de las cuales se priorizaron a través del cronograma para el 2021 los numerales 3 y 4. Se reporta la realización en el trimestre de cinco (5) sesiones sobre temas específicos, dando un cumplimiento del 100% a lo programado.
Congreso: Del plan de trabajo de la Estartegia de relacionamiento con el Congreso se reporta un porcentaje de avance de 100%.
ECOS: Del plan de trabajo de la Estrategia de relacionamiento con Entes de Control se reporta un porcentaje de avance de 100%.</t>
  </si>
  <si>
    <t>Se presenta un porcentaje de avance del 33% para cada una de las acciones de participación ciudadana, lineamientos técnicos socioeconómicos y de fortalecimiento de capacidades. Esto da un cumplimiento del 100%</t>
  </si>
  <si>
    <t>Se llevaron a cabo siete (7) espacios de diálogo de rendición de cuentas:
a. ENLACE con Ambientalistas: 15 de julio 
b. ENLACE con Abogados: 16 de julio
c. Audiencia pública de rendición de cuentas del Sector Ambiente y Desarrollo Sostenible: 17 de noviembre
d. ENLACE con Abogados: 18 de noviembre
e. Espacio de diálogo Territorial (Casanare): 25 de noviembre
f. ENLACE con Ambientalistas: 03 de diciembre
g. ENLACE con Academia: 09 de diciembre
Se llevaron a cabo dos (2) ejercicios piloto de control social en los departamentos de Antioquia (cuenca Amagá – Sinifaná) y Boyacá (Nobsa)</t>
  </si>
  <si>
    <t>Los conflictos registrados en la base “identificación conflictos” corresponden a aquellos identificados en el año 2019, 2020 y 2021 por el trabajo territorial de los Inspectores Ambientales Regionales, con un registro total de 66 conflictos.
En el año 2021 se elaboraron 53 fichas de caracterización de conflictos; de las cuales 14 fueron fichas nuevas de conflictos identificados en 2021; 39 actualizaciones de fichas de caracterización de conflictos que había sido elaboradas en 2020. En el caso restante para 9 conflictos no fue necesaria la actualización de sus fichas y en dos conflictos, debido a que se identificaron en diciembre de 2021, su caracterización quedó programada para 2022. Es de señalar que en razón a que la elaboración de estas fichas requiere la recolección de información en los contextos del conflicto se tiene un tiempo de elaboración diferente al que se identifica para el registro del conflicto en la base.</t>
  </si>
  <si>
    <t>En el mes de octubre de 2021 se llevaron a cabo 98 acciones de pedagogía institucional en territorio. Entre los meses de enero y octubre de la presente vigencia, se han llevado a cabo 879 acciones de pedagogía.
Nota: De acuerdo con la matriz de acciones territoriales, se actualizaron las pedagogías de los meses de marzo, abril, mayo y agosto las cuales quedaron de la siguiente manera: marzo: 89; abril: 97; mayo: 99; agosto: 111. Lo anterior, no afecta el porcentaje de cumplimiento acumulado.</t>
  </si>
  <si>
    <t>En el mes de noviembre de 2021 se llevaron a cabo 88 acciones de pedagogía institucional en territorio. Entre los meses de enero y noviembre de la presente vigencia, se han llevado a cabo 967 acciones de pedagogía.</t>
  </si>
  <si>
    <t>En el mes de diciemrbe de 2021 se llevaron a cabo 42 acciones de pedagogía institucional en territorio. Durante la vigencia, se han llevado a cabo 1013 acciones de pedagogía.
Nota: De acuerdo con la matriz de acciones territoriales, se actualizó el dato de las pedagogías del mes de noviembre, el cuál corresponde a 92. Lo anterior, no afecta el porcentaje de cumplimiento acumulado.</t>
  </si>
  <si>
    <t>Se llevó a cabo el segundo curso de licenciamiento ambiental de la vigencia 2021 (cuarta cohorte) con una duración de tres (3) meses, el cual contó con 1.041 inscritos, de los cuales 578 aprobaron el curso.
A continuación se listan los módulos temáticos desarrollados durante el curso:
1. Generalidades
2. Evaluación de Licencias Ambientales
3. Seguimiento a Instrumentos de Manejo y Control Ambiental
4. Plan de Gestión del Riesgo y eventos de contingencia en los procesos de evaluación y seguimiento
5. Inversión forzosa de no menos del 1%
6. Mecanismos de Participación Ciudadana Ambiental</t>
  </si>
  <si>
    <t>Se elaboraron y socializaron los lineamientos para: los procesos de consulta previa, el abordaje de las visitas técnicas de evaluación y seguimiento ambiental y, finalmente, los lineamientos para el establecimiento de planes de reasentamiento por el traslado involuntario de población en el marco del licenciamiento ambiental. la socialización se realizó el 17 de diciembre. estos lineamientos se materializaron en el sistema integrado de gestión a través de la creación de tres documentos titulados de la siguiente manera: lineamientos para el abordaje de los resultados de los procesos de consulta previa en la evaluación y el seguimiento ambiental (gespro: código pcmn02, versión 1, 29/12/2021) lineamientos sociales para el abordaje de las visitas técnicas de evaluación y de seguimiento ambiental (gespro: código pcmn03, versión 1, 30/12/2021) lineamientos para el establecimiento de planes de reasentamiento por el traslado involuntario de población en el marco del licenciamiento ambiental (gespro: código pcmn04, versión 1, 30/12/2021)</t>
  </si>
  <si>
    <t>Durante el mes de Octubre de 2021 se atendieron un total de 211 actividades (DPE).  Del total de estas actividades, 210 fueron finalizadas dentro de los términos establecidos; esto arroja un porcentaje de oportunidad del 99,9% para el mes de Octubre de 2021. 
Adicionalmente cabe resaltar que en el periodo del mes de Octubre 185 solicitudes han sido finalizadas anticipadamente y 128 solicitudes se encuentran activas dentro de términos.
En total acumulado al mes de Octubre de 2021 se han atendido un total de 2186 solicitudes, de las cuales 2185 han sido gestionadas dentro de los términos establecidos, lo que arroja un porcentaje de oportunidad acumulado del 99,9%.</t>
  </si>
  <si>
    <t>Para el mes de noviembre 255 DPEs finalizaban su tiempo de trámite establecido y todos fueron terminados a tiempo dando un cumplimiento del 100%. Lo que dada como resultado que  al 30 de noviembre se tiene un total 2441 DPE tramitados, 2410 a tiempo y 1 fuera de tiempo lo que arroja un resultado de 99,96</t>
  </si>
  <si>
    <t>Para el mes de diciembre, 235 DPE finalizaban su tiempo de trámite establecido y todos fueron terminados en tiempo dando un cumplimiento del 100%.
De esta manera, al 31 de diciembre de 2021 se tiene un total de 2646 DPE tramitados, 2645 a tiempo y 1 fuera de tiempo, lo que arroja un resultado de 99.96%.</t>
  </si>
  <si>
    <t>Durante el mes de Octubre de 2021 se han atendido un total de 156 actividades (ECO).  Del total de estas actividades, el 100% fueron finalizadas dentro de los términos establecidos; esto arroja un porcentaje de oportunidad del 100% para el mes de Octubre de 2021. 
En total acumulado al mes de Octubre de 2021, se han atendido 1376 solicitudes, de las cuales todas las 1376 han sido gestionadas dentro de los términos establecidos, lo que arroja un porcentaje de oportunidad acumulado del 100%.</t>
  </si>
  <si>
    <t>El mes de Noviembre se finalizaron a tiempo 157 ECOs cuyo vencimiento se cumplia en este mes. Se tiene al 30 noviembre un acumulado 1490 ECOS tramitados, todos finalizados dando cumplimiento los tiempos establecidos para su trámite, lo queda un cumplimiento del 100%</t>
  </si>
  <si>
    <t>Para el mes de diciembre, se radicaron 125 solicitudes por entes de control, de las cuales se contestaron 129, siendo atendidos en tiempo dando un cumplimiento del 100%.
De esta manera, al 31 de diciembre de 2021 se tiene un total de 1663 ECOs tramitados, todos dentro de los términos establecidos dando como resultado el 100%.</t>
  </si>
  <si>
    <t>Se dio cumplimiento al indicador en el reporte trimestral del mes de septiembre.</t>
  </si>
  <si>
    <t>Para el mes de octubre la Entidad respondió 978 peticiones, quejas, reclamos y sugerencias escritas, de las cuales ninguna se respondió fuera de término, es decir, un porcentaje de cumplimiento del 100%.
Las peticiones escritas atendidas dentro de los términos, entre el 1° de enero y el 31 de octubre de la vigencia fueron 10459, de un total de 10476, representando un porcentaje de cumplimiento acumulado del 99,8%, en razón, a la respuesta fuera de término de diecisiete (17) peticiones (Enero: 2; Febrero: 3; Mayo:1; Junio:5; Julio:2; agosto:2; septiembre:2).
Téngase en cuenta que por disposición del artículo 5° del Decreto Legislativo 491 del 28 de marzo de 2020, se ampliaron los términos de respuesta para atender los derechos de petición.</t>
  </si>
  <si>
    <t>Para el mes de noviembre la Entidad respondió 1046 peticiones, quejas, reclamos y sugerencias escritas, de las cuales una (1) se respondió fuera de término, es decir, un porcentaje de cumplimiento del 99,9%.
Las peticiones escritas atendidas dentro de los términos, entre el 1° de enero y el 30 de noviembre de la vigencia fueron 11516, de un total de 11534, representando un porcentaje de cumplimiento acumulado del 99,8%, en razón, a la respuesta fuera de término de dieciocho (18) peticiones (Enero: 2; Febrero: 3; Mayo:1; Junio:5; Julio:2; agosto:2; septiembre:2; noviembre: 1).
Nota: Se aclara que se incluyeron dieciocho (18) peticiones, en el total general. Tres (3) del mes de agosto correspondiente a radicados duplicados y quince (15) del mes de octubre que no aparcieron en el reporte descargado para este mes.
Téngase en cuenta que por disposición del artículo 5° del Decreto Legislativo 491 del 28 de marzo de 2020, se ampliaron los términos de respuesta para atender los derechos de petición.</t>
  </si>
  <si>
    <t>Para el mes de diciembre la Entidad respondió 1.006 peticiones, quejas, reclamos y sugerencias escritas, de las cuales ninguna se respondió fuera de término, es decir, un porcentaje de cumplimiento del 100%.
Las peticiones escritas atendidas dentro de los términos, entre el 1° de enero y el 31 de diciembre de la vigencia fueron 12.535, de un total de 12.553, representando un porcentaje de cumplimiento acumulado del 99,9%, en razón, a la respuesta fuera de término de dieciocho (18) peticiones (Enero: 2; Febrero: 3; Mayo:1; Junio:5; Julio:2; agosto:2; septiembre:2; noviembre: 1).
Nota: Se aclara que se incluyeron trece (13) peticiones, en el total general, seis (6) del mes de octubre y siete (7) del mes de noviembre en razón a la actualización de los estados en la base de datos de control de términos.
Téngase en cuenta que por disposición del artículo 5° del Decreto Legislativo 491 del 28 de marzo de 2020, se ampliaron los términos de respuesta para atender los derechos de petición.</t>
  </si>
  <si>
    <t>1677 usuarios calificaron la atención brindada a través de los canales telefónico, chat, chatbot y presencial como BUENA, entre tanto 47 calificaron como MALA la atención recibida, lo que corresponde a un porcentaje de satisfacción del 97,27%</t>
  </si>
  <si>
    <t>1850 usuarios calificaron la atención brindada a través de los canales telefónico, chat, chatbot y presencial como BUENA, entre tanto 56 calificaron como MALA la atención recibida, lo que corresponde a un porcentaje de satisfacción del 97,06%.</t>
  </si>
  <si>
    <t>En el mes de octubre se recibió una (1) queja, para un consolidado de treinta y siete (37) quejas y reclamos entre el 1° de enero y el 31 de octubre del 2021, lo que corresponde a que se ha reducido en un 78% las Quejas y Reclamos con respecto al total de las recibidas en el 2020.</t>
  </si>
  <si>
    <t>En el mes de noviembre se recibieron (3) reclamos, para un consolidado de cuarenta (40) quejas y reclamos entre el 1° de enero y el 30 de noviembre del 2021, lo que corresponde a que se ha reducido en un 76% las Quejas y Reclamos con respecto al total de las recibidas en el 2020.</t>
  </si>
  <si>
    <t>En el mes de diciembre no se recibieron quejas y reclamos. Entre el 1° de enero y el 31 de diciembre del 2021 se recibieron un total de cuarenta (40) quejas y reclamos frente a ciento sesenta y ocho (168) recibidas para el mismo periodo en el año inmediatamente anterior, lo que corresponde a una reducción del 76% de Quejas y Reclamos.</t>
  </si>
  <si>
    <t>Los resultados de la satisfacción de los usuarios frente a los trámites y servicios que adelantan en la Entidad, arrojaron un 87,3% de satisfacción general.</t>
  </si>
  <si>
    <t>En el periodo de octubre a diciembre se recibieron un total de 14 liquidaciones, de las cuales 7 fueron recibidas en debida forma y fueron liquidadas, llegando a un cumplimiento del 100% en este periodo, conforme a lo establecido en el indcador</t>
  </si>
  <si>
    <t>En el mes de octubre se suscribieron 13 contratos de Prestación de servicios profesionales y/o apoyo a la gestión, de los cuales el 100% fueron suscritos dentro de los términos de oportunidad del procedimiento.</t>
  </si>
  <si>
    <t>En el mes de noviembre se suscribieron un total de 2 contratos de Prestación de Servicios Profesionales y/o apoyo a la Gestión, de los cuales el 100% se tramitó dentro de los términos de oportunidad.</t>
  </si>
  <si>
    <t>En el mes de diciembre, se suscribieron un total de 4 contratos de Prestación de servicios profesionales y/o apoyo, de los cuales el 100% fueron firmados en los tiempos de oportunidad, del procedimiento.</t>
  </si>
  <si>
    <t>En el periodo de octubre a diciembre se realizaron 789 certificaciones, para un total de 2503 certificaciones realizadas, sobre un total de 2635 certificados por generar, llegando al 95%.</t>
  </si>
  <si>
    <t>Al cierre de octubre/2021 se registra un recaudo por concepto de servicio de seguimiento y evaluación de $ 79.402.727.578 , lo cual corresponde al 75% de la meta  $105.533.877.773 esperada para la vigencia 2021.</t>
  </si>
  <si>
    <t>Al cierre de  noviembre/2021 se registra un recaudo pr concepto de evaluación y seguimiento de $89.779.892.769, lo cual  corresponde al 85% de la meta  $105.533.877.773 esperada.</t>
  </si>
  <si>
    <t>Al  cierre de diciembre/2021 se registra un recaudo de $107.401.507.555, lo cual corresponde al 102% de la meta proyectada para 2021 ($105.533.877.773).</t>
  </si>
  <si>
    <t>Al cierre de octubre/2021 se registra un recaudo por concepto de seguimiento de $63.479.360.865, lo cual corresponde al 73% de la meta  $87.393.968.825 esperada para la vigencia 2021.</t>
  </si>
  <si>
    <t>Al cierre de noviembre/2021 se registra un recaudo por concepto de seguimiento de $ 70.277.350.056, lo cual corresponde al 80% de la meta  $ 87.393.968.825 esperada.</t>
  </si>
  <si>
    <t>Al cierre diciembre/2021 se registra un recaudo por concepto de servicio de seguimiento de $84.798.204.842, lo cual representa un  97% de la meta proyectada para 2021 ($87.393.968.825).</t>
  </si>
  <si>
    <t>Al cirre de octubre/2021 se registran obligaciones acumuladas del 76% ($99.220.202.596,47), lo cual Incluye presupuesto asignado a la unidad ejecutora ANLA y la subunidad FONAM-ANLA.</t>
  </si>
  <si>
    <t>Al cierre de noviembre de 2021 se registran obligaciones acumuladas del 83%, Incluyen presupuesto asignado a la unidad ejecutora ANLA y la subunidad FONAM-ANLA.</t>
  </si>
  <si>
    <t>El prespuesto vigencia 2021 en el mes de diciembre registró obligaciones acumuladas del 99%, Incluyendo presupuesto asignado a la unidad ejecutora ANLA y la subunidad FONAM-ANLA.</t>
  </si>
  <si>
    <t>Al cierre de octubre/2021 se registra un presupuesto ejecutado del 63% ($99.220.202.596,47/ $156.580.479.772). El presupuesto obligado es medido frente al presupuesto asignado (Funcionamiento e inversion).</t>
  </si>
  <si>
    <t>Al cierre de noviembre de 2021, el presupuesto ejecutado frente al asignado corresponde al 72%. Donde el presupuesto ejecutado es medido frente a obligaciones (Funcionamiento e inversion).</t>
  </si>
  <si>
    <t>Para cierre 2021, el presupuesto ejecutado frente al asignado corresponde al 89%. Donde el presupuesto ejecutado es medido frente a obligaciones (Funcionamiento e inversion).</t>
  </si>
  <si>
    <t>Al cierre de octubre/2021 se registran compromisos acumulados del 83% ($130.145.577.110,52, lo cual  Incluye presupuesto asignado a la unidad ejecutora ANLA y la subunidad FONAM-ANLA.</t>
  </si>
  <si>
    <t>Al cierre de noviembre de 2021, se registran  compromisos acumulados del 87%. Incluye presupuesto asignado a la unidad ejecutora ANLA y la subunidad FONAM-ANLA</t>
  </si>
  <si>
    <t>El prespuesto vigencia 2021 en el mes de diciembre registró compromisos acumulados del 90%. Incluyendo presupuesto asignado a la unidad ejecutora ANLA y la subunidad FONAM-ANLA.</t>
  </si>
  <si>
    <t>Al cierre de 2021 se registra un índice de sostenibilidad financiera de 1.67, de acuerdo al calculo realizado entre SAF y OAP.</t>
  </si>
  <si>
    <t>Al cierre de diciembre de 2021,se regista una relación de ingresos/gastos del 90%, lo cual mide el recaudo 2021 respecto a los compromisos registrados en la misma vigencia. </t>
  </si>
  <si>
    <t>Se da cumplimiento al 100% de las actividades contempladas en el cronograma de trabajo del indicador de sostenibilidad financiera para la vigencia 2021, las evidencias se encuentran en el OneDrive “https://anla-my.sharepoint.com/:f:/g/personal/wrodriguez_anla_gov_co1/EszVPCO9SEJBv2wM_6LuovoBC9YTVmRkCF4HGOMyG9u-Cg?e=h4gdsJ”</t>
  </si>
  <si>
    <t>En el mes de octubre se realizó 283 metros lineales de organización cronológica e incorporación de anexos. Se realizó la digitalización de 47 metros lineales y a la fecha la empresa Archivos del Estado tiene en custodia 611 metros lineales.</t>
  </si>
  <si>
    <t>En el mes de noviembre se recibió el aplicativo informativo Sistema de Gestión Documental ORFEO el cual cuenta con: código fuente del aplicativo, manual de usuario, manual técnico del aplicativo, instructivo de instalación y configuración del aplicativo.
De acuerdo al cronograma de actividades en el mes de noviembre se realizó 350 metros lineales de organización cronológica e incorporación de anexos. Se realizó la digitalización de 107 metros lineales y a la fecha la empresa Archivos del Estado tiene en custodia 611 metros lineales.</t>
  </si>
  <si>
    <t>De acuerdo al cronograma de actividades en el mes de diciembre se realizó 374.75 metros lineales de organización cronológica e incorporación de anexos. Se realizó la digitalización de 355.85 metros lineales, cumpliendo con las metas establecidas.</t>
  </si>
  <si>
    <t>Para el mes de octubre se realiza versión final de las tablas de control de acceso, actividad del Plan de Preservación (versión final del Informe Análisis de Documentos Electrónicos) y elaboración de FUID de expedientes de la ANLA.</t>
  </si>
  <si>
    <t xml:space="preserve">	
Para el mes de noviembre se realizó Elaboración de FUID y Hoja de Control correspondientes a expedientes generados en Archivo según el Plan de trabajo adjunto. En la fila 15 se encuentra el avance de mes anteriormente mencionado.</t>
  </si>
  <si>
    <t>Para el mes de diciembre se realizó Elaboración de FUID y Hoja de Control correspondientes a expedientes generados en Archivo según el Plan de trabajo adjunto. En la fila 15 se encuentra el avance de mes anteriormente mencionado.</t>
  </si>
  <si>
    <t>A la fecha se ha avanzado con 283 Metros lineales organizados donde se realiza las siguientes actividades: Organización cronológica, incorporación de anexos y  limpieza documental.</t>
  </si>
  <si>
    <t>A la fecha se ha avanzado con 350 Metros lineales organizados donde se realiza las siguientes actividades: Organización cronológica, incorporación de anexos. limpieza documental y control de calidad. Se adjunta informe del mes de octubre y noviembre.</t>
  </si>
  <si>
    <t>En el mes anterior (noviembre) se realizó reporte con el total de los 350 metros lineales organizados, sin embargo se adjunta el informe del proveedor del mes de diciembre.</t>
  </si>
  <si>
    <t>Se ejecuta el Plan de Trabajo del PINAR para el mes de Octubre. Se adjunta evidencias tales como: avance en el banco terminológico, Plan de trabajo PGD, actualización de FUID, reporte de bodega, actividades del SGDEA y avance de documentos.</t>
  </si>
  <si>
    <t>Se ejecuta el Plan de Trabajo del PINAR para el mes de Noviembre. Se adjunta evidencias tales como: versión final del banco terminológico, Plan de trabajo PGD, actualización de FUID, reporte de bodega (control de limpieza y desinfección y control de temperatura), actividades del SGDEA y avance de documentos.</t>
  </si>
  <si>
    <t>Se ejecuta el Plan de Trabajo del PINAR para el mes de diciembre. Se adjunta evidencias tales como: versión final del Programa de Evaluación y Seguimiento para el Grupo de gestión Documental, Plan de trabajo PGD, actualización de FUID, reporte de bodega (control de limpieza y desinfección y control de temperatura), actividades del SGDEA y avance de la convalidación de las tablas de retención documental.</t>
  </si>
  <si>
    <t>Para el mes de Octubre se cumple con las actividades planificadas en el cronograma, el plan de trabajo se encuentra adjunto, se realizó Control de Calidad, actualización de inventarios, avance de actividades de planes de conservación, documentos para el SGDEA  y capacitación con sus respectivas evidencias, entre otras.</t>
  </si>
  <si>
    <t>Para el mes de Noviembre se cumple con las actividades planificadas en el cronograma, el plan de trabajo se encuentra adjunto, se realizó Control de Calidad, actualización de inventarios, avance de actividades de planes de conservación, documentos para el SGDEA  y capacitación con sus respectivas evidencias, entre otras.</t>
  </si>
  <si>
    <t>Para el mes de diciembre se cumple con la totalidad de avance en las actividades planificadas en el cronograma, el plan de trabajo se encuentra adjunto, se realizó Control de Calidad, actualización de inventarios, avance de actividades de planes de conservación, documentos para el SGDEA  y capacitación con sus respectivas evidencias, entre otras.</t>
  </si>
  <si>
    <t>Para el mes de octubre se tenía un total de 7 actividades programadas y se ejecutaron las 6 en su totalidad, para un porcentaje de cumplimiento en el periodo de 85.7%, y un acumulado de 77% con 61 actividades cumplidas de las 79 actividades programadas para la vigencia 2021.</t>
  </si>
  <si>
    <t>Para el mes de noviembre se tenía un total de 5 actividades programadas y se ejecutaron 5 en su totalidad, para un porcentaje de cumplimiento en el periodo de 100%, y un acumulado de 84% con 66 actividades cumplidas de las 79 actividades programadas para la vigencia 2021.</t>
  </si>
  <si>
    <t>Para el mes de diciembre se tenía un total de 8 actividades programadas y se ejecutaron 8 en su totalidad, para un porcentaje de cumplimiento en el periodo de 100%, y un acumulado de 95% con 75 actividades cumplidas de las 79 actividades programadas para la vigencia 2021.</t>
  </si>
  <si>
    <t>En el mes de octubre, el consumo total fue de 52.411 número de hojas, para un ahorro del 56%, comparado con el promedio anual histórico que es de 117.844 número de hojas. (la meta se supera teniendo en cuenta la contingencia por el COVID-19 y la ausencia de usuarios internos en la entidad).</t>
  </si>
  <si>
    <t>En el mes de noviembre, el consumo total fue de 49.765 número de hojas, para un ahorro del 58%, comparado con el promedio anual histórico que es de 117.844 número de hojas. (la meta se supera teniendo en cuenta la contingencia por el COVID-19 y la ausencia de usuarios internos en la entidad).
En el mes de noviembre, el consumo total fue de 99.530 número de páginas (No. de hojas por peso: 242 kg), para un ahorro del 56%, comparado con el promedio anual histórico de hoja de 117.844 (No. de hojas por peso: 574 kg), sin embargo, se determinó un porcentaje del 33% después de un cálculo que tiene en cuenta la contingencia por el COVID-19 que ocasiona la ausencia de la gran mayoría de colaboradores en las instalaciones de la entidad (implementado por la OAP) y que fue ajustado debido al retorno progresivo al trabajo presencial en la entidad.</t>
  </si>
  <si>
    <t>En el mes de diciembre, el consumo total fue de 45.289 número de hojas, para un ahorro del 62%, comparado con el promedio anual histórico que es de 117.844 número de hojas. (la meta se supera teniendo en cuenta la contingencia por el COVID-19 y la ausencia de usuarios internos en la entidad).
En el mes de diciembre, el consumo total fue de 90.577 número de páginas (No. de hojas por peso: 221 kg), para un ahorro del 62%, comparado con el promedio anual histórico de hoja de 117.844 (No. de hojas por peso: 574 kg), sin embargo, se determinó un porcentaje del 34% después de un cálculo que tiene en cuenta la contingencia por el COVID-19 que ocasiona la ausencia de la gran mayoría de colaboradores en las instalaciones de la entidad (implementado por la OAP) y que fue ajustado debido al retorno progresivo al trabajo presencial en la entidad.</t>
  </si>
  <si>
    <t>Para el mes de octubre se recibió un total de 160 casos en la mesa de ayuda, de los cuales 156 fueron calificadas como Excelente (100/100), 4 calificadas como Bueno y 1 calificada como Regular, obteniendo de esta manera un avance del 99.25% de avance para el periodo (mes septiembre) y un total acumulado de 99.26%.</t>
  </si>
  <si>
    <t>Para el mes de noviembre se recibió un total de 134 casos en la mesa de ayuda, de los cuales 130 fueron calificadas como Excelente (100/100), 4 calificadas como Bueno y ninguna calificada como Regular, obteniendo de esta manera un avance del 99.10% de avance para el periodo (mes noviembre) y un total acumulado de 99.24%.</t>
  </si>
  <si>
    <t>Para el mes de diciembre se recibió un total de 78 casos en la mesa de ayuda, de los cuales 77 fueron calificadas como Excelente (100/100), 1 calificadas como Bueno y ninguna calificada como Regular, obteniendo de esta manera un avance del 99.62% de avance para el periodo (mes diciembre) y un total acumulado de 99.27%.</t>
  </si>
  <si>
    <t>El “Porcentaje de impacto de los eventos de bienestar” correspondiente al mes de OCTUBRE en el cual se obtuvo una calificación del 95,7% de impacto de las actividades:
1    24-09 Teatro Musical: Hombres a la plancha    94,00%
2    27-09 Programa de Mindfulness Grupo 1 - Sesión 4    99,00%
3    29-09 Feria virtual de vivienda    88,00%
4    30-09 Socialización convocatoria apoyo educativo II semestre 2021    94,00%
5    01-10 Programa de Mindfulness - Grupo 2 Sesión 5    96,00%
6    01-10 Taller de artes: Pintura en Oleo - Grupo  1    98,00%
7    04-10 Programa de Mindfulness Grupo 1 - Sesión 5    98,00%
8    07-10 Charla trabajo decente: Código de Integridad - Día del trabajo decente 7 de octubre    90,00%
9    07-10 Charla trabajo decente: Acceso al empleo público por concurso de méritos - Día del trabajo decente 7 de octubre    91,00%
10    08-10 Programa de Mindfulness - Grupo 2 Sesión 6    95,00%
11    08-10 Taller de jardinería:  Huerta casera    97,00%
12    11-10 Programa de Mindfulness Grupo 1 - Sesión 6    98,00%
13    12-10 Taller manualidades, jugando con plastilina Grupo 1    98,00%
14    13-10 Taller de manualidades: Jugando con plastilina - Grupo 2    98,00%
15    14-10  Lectura en Familia: Show Canticuentos     94,00%
16    15-10 Programa de Mindfulness - Grupo 2 Sesión 7    98,00%
17    19-10 Programa de Mindfulness Grupo 1 -Sesión 7    98,00%
18    22-10 Programa de Mindfulness - Grupo 2 Sesión 8    97,00%
19    22-10 Taller de artes: Pintura en Oleo - Grupo 2    96,00%
20    25-10 Programa de Mindfulness Grupo 1 - Sesión 8    97,00%</t>
  </si>
  <si>
    <t>El “Porcentaje de impacto de los eventos de bienestar” correspondiente al mes de NOVIEMBRE en el cual se obtuvo una calificación del 94,3333333333334% de impacto de las actividades:
1.    29-10 Programa de Mindfulness - Grupo 2 Sesión 9    96,00%
2.    29-10 Clase de cocina infantil: Cake pops de Frankenstein, momias  y calabazas - Grupo 1    96,00%
3.    29-10 Clase de cocina infantil: Cake pops de Frankenstein, momias  y calabazas - Grupo 2    98,00%
4.    02-11 Programa de Mindfulness Grupo 1 - Sesión 9    98,00%
5.    05-11 Programa de Mindfulness - Grupo 2 Sesión 10    95,00%
6.    08-11 Programa de Mindfulness Grupo 1 - Sesión 10    98,00%
7.    09-11 Webinar EDP&amp;F: Como construir relaciones de confianza desde el liderazgo (GEFES)    91,00%
8.    11-11 Presentación programas Unicafam    90,00%
9.    12-11 Programa de Mindfulness Grupo 2 - Sesión 11    95,00%
10.    12-11 Taller de artes: Decoración de velas navideñas    97,00%
11.    16-11 Programa de Mindfulness Grupo 1 - Sesión 11    98,00%
12.    16-11 Webinar EDP&amp;F: Preguntas poderosas  (GEFES)    91,00%
13.    17-11 Jornada de atención: Teatro Nacional    90,00%
14.    18-11 Presentación Seguros Bolívar - Cafam    80,00%
15.    19-11 Programa de Mindfulness - Grupo 2 Sesión 12    98,00%
16.    19-11 Taller de artes: Cuadro Navideño con la técnica de  Diamond paint - Arte 5D    95,00%
17.    22-11 Programa de Mindfulness - Grupo 1 Sesión 12    98,00%
18.    23-11 Webinar EDP&amp;F:  Primeros auxilios psicológicos  (GEFES)    94,00%</t>
  </si>
  <si>
    <t>El “Porcentaje de impacto de los eventos de bienestar” correspondiente al mes de DICIEMBRE en el cual se obtuvo una calificación del 95,6% de impacto de las actividades:
1    15-12 Cierre de Gestión de la ANLA    93,00%
2    17-12 Celebración de navidad con los niños de la Familia ANLA    97,00%
3    Beneficio - 31-12 Tiempo para celebrar la vida    97,00%
4    Beneficio - 31-12 Día de la Familia II semestre del 2021    98,00%
5    Beneficio - 31-12 Incentivo Pasión por la ANLA.    93,00%
Al término del CUARTO TRIMESTRE se obtiene un promedio del 93,625% cumpliendo en más de un 100% la meta propuesta para el año 2021, se cumplen con los objetivos trazados para esta vigencia en su totalidad.</t>
  </si>
  <si>
    <t>El “propuesta de la estrategia de calidad de vida” correspondiente al mes de OCTUBRE en el cual se obtuvo una calificación del 95,7375967900498% de impacto de las actividades:
1    24-09 Teatro Musical: Hombres a la plancha    94,00%
2    27-09 Programa de Mindfulness Grupo 1 - Sesión 4    99,00%
3    29-09 Feria virtual de vivienda    88,00%
4    30-09 Socialización convocatoria apoyo educativo II semestre 2021    94,00%
5    01-10 Programa de Mindfulness - Grupo 2 Sesión 5    96,00%
6    01-10 Taller de artes: Pintura en Oleo - Grupo  1    98,00%
7    04-10 Programa de Mindfulness Grupo 1 - Sesión 5    98,00%
8    07-10 Charla trabajo decente: Código de Integridad - Día del trabajo decente 7 de octubre    90,00%
9    07-10 Charla trabajo decente: Acceso al empleo público por concurso de méritos - Día del trabajo decente 7 de octubre    91,00%
10    08-10 Programa de Mindfulness - Grupo 2 Sesión 6    95,00%
11    08-10 Taller de jardinería:  Huerta casera    97,00%
12    11-10 Programa de Mindfulness Grupo 1 - Sesión 6    98,00%
13    12-10 Taller manualidades, jugando con plastilina Grupo 1    98,00%
14    13-10 Taller de manualidades: Jugando con plastilina - Grupo 2    98,00%
15    14-10  Lectura en Familia: Show Canticuentos     94,00%
16    15-10 Programa de Mindfulness - Grupo 2 Sesión 7    98,00%
17    19-10 Programa de Mindfulness Grupo 1 -Sesión 7    98,00%
18    22-10 Programa de Mindfulness - Grupo 2 Sesión 8    97,00%
19    22-10 Taller de artes: Pintura en Oleo - Grupo 2    96,00%
20    25-10 Programa de Mindfulness Grupo 1 - Sesión 8    97,00%
21    66 ACTIVIDADES DE SGSST    96,49%
Nota: en el avance del mes de OCTUBRE se reporta 66 actividades de SGSST que aportan a este indicador, estas actividades están evaluadas por la herramienta de evaluación de encuestas, para su mayor comprensión se envían los archivos de WORD que contiene el listado total de actividades, un archivo en Excel con las asistencias y calificaciones respectivas y otro archivo de Excel con la herramienta que evalúa cada evento se envía de esta forma por la cantidad de información generada.</t>
  </si>
  <si>
    <t>El “propuesta de la estrategia de calidad de vida” correspondiente al mes de NOVIEMBRE en el cual se obtuvo una calificación del 94,4491564752129% de impacto de las actividades:
1.    29-10 Programa de Mindfulness - Grupo 2 Sesión 9    96,00%
2.    29-10 Clase de cocina infantil: Cake pops de Frankenstein, momias  y calabazas - Grupo 1    96,00%
3.    29-10 Clase de cocina infantil: Cake pops de Frankenstein, momias  y calabazas - Grupo 2    98,00%
4.    02-11 Programa de Mindfulness Grupo 1 - Sesión 9    98,00%
5.    05-11 Programa de Mindfulness - Grupo 2 Sesión 10    95,00%
6.    08-11 Programa de Mindfulness Grupo 1 - Sesión 10    98,00%
7.    09-11 Webinar EDP&amp;F: Como construir relaciones de confianza desde el liderazgo (GEFES)    91,00%
8.    11-11 Presentación programas Unicafam    90,00%
9.    12-11 Programa de Mindfulness Grupo 2 - Sesión 11    95,00%
10.    12-11 Taller de artes: Decoración de velas navideñas    97,00%
11.    16-11 Programa de Mindfulness Grupo 1 - Sesión 11    98,00%
12.    16-11 Webinar EDP&amp;F: Preguntas poderosas  (GEFES)    91,00%
13.    17-11 Jornada de atención: Teatro Nacional    90,00%
14.    18-11 Presentación Seguros Bolívar - Cafam    80,00%
15.    19-11 Programa de Mindfulness - Grupo 2 Sesión 12    98,00%
16.    19-11 Taller de artes: Cuadro Navideño con la técnica de  Diamond paint - Arte 5D    95,00%
17.    22-11 Programa de Mindfulness - Grupo 1 Sesión 12    98,00%
18.    23-11 Webinar EDP&amp;F:  Primeros auxilios psicológicos  (GEFES)    94,00%
19.    144 ACTIVIDADES DE SGSST    96,53%
Nota: en el avance del mes de NOVIEMBRE se reporta 144 actividades de SGSST que aportan a este indicador, estas actividades están evaluadas por la herramienta de evaluación de encuestas, para su mayor comprensión se envían los archivos de WORD que contiene el listado total de actividades, un archivo en Excel con las asistencias y calificaciones respectivas y otro archivo de Excel con la herramienta que evalúa cada evento se envía de esta forma por la cantidad de información generada.</t>
  </si>
  <si>
    <t>El “propuesta de la estrategia de calidad de vida” correspondiente al mes de DICIEMBRE en el cual se obtuvo una calificación del 95,8176829268293% de impacto de las actividades:
1    15-12 Cierre de Gestión de la ANLA    93,00%
2    17-12 Celebración de navidad con los niños de la Familia ANLA    97,00%
3    Beneficio - 31-12 Tiempo para celebrar la vida    97,00%
4    Beneficio - 31-12 Día de la Familia II semestre del 2021    98,00%
5    Beneficio - 31-12 Incentivo Pasión por la ANLA.    93,00%
6    83 ACTIVIDADES DE SGSST    96,91%
Nota: en el avance del mes de DICIEMBRE se reporta 83 actividades de SGSST que aportan a este indicador, estas actividades están evaluadas por la herramienta de evaluación de encuestas, para su mayor comprensión se envían los archivos de WORD que contiene el listado total de actividades, un archivo en Excel con las asistencias y calificaciones respectivas y otro archivo de Excel con la herramienta que evalúa cada evento se envía de esta forma por la cantidad de información generada.
Al término del CUARTO TRIMESTRE se obtiene un promedio del 94,123% cumpliendo en mas de un 100% la meta propuesta para el año 2021, se cumplen con los objetivos trazados para esta vigencia en su totalidad.</t>
  </si>
  <si>
    <t>En el mes de OCTUBRE se realizaron 6 actividades de las 109 propuestas para la vigencia, representadas en un 5,5045871559633% de avance a la meta, a continuación, se relacionan estas actividades:
1.    Valoración impactos y riesgos ambientales:
2.    Residuos Peligrosos
3.    Permiso de recolección de especies
4.    Capacitación sindical 
5.    Lectura rápida:
6.    Diplomado transversal</t>
  </si>
  <si>
    <t>En el mes de NOVIEMBRE se realizaron 15 actividades de las 109 propuestas para la vigencia, representadas en un 13,76% de avance a la meta, llegando así al 100% de actividades realizadas a continuación, se relacionan estas actividades:
1.    Monitoreo ambiental. 1 ACTIVIDAD
2.    Taller sobre análisis de fotografías como herramienta de evaluación y seguimiento de proyectos ambientales. 1 ACTIVIDAD
3.    Participación ciudadana y participación pública en el licenciamiento ambiental. 1 ACTIVIDAD
4.    Reinducción. 2 ACTIVIDAD
5.    AGIL. 2 ACTIVIDAD
6.    Capacitación sindical. 1 ACTIVIDAD
7.    Primeros auxilios nivel intermedio. 5 ACTIVIDAD
8.    MIPG. 1 ACTIVIDAD
9.    Programa mentoring para 30 servidores, 3 sesiones cada uno. 1 ACTIVIDAD
Nota: en noviembre hubo los cambios en la programación del PIC 2021 de la siguiente manera:
•    Se modifica una capacitación en participación ciudadana y participación pública en el licenciamiento ambiental, por una denominada Modelo de Negocio. Lo anterior según lo acordado con el subdirector de Mecanismos de participación Ciudadana Ambiental y la solicitud de pertinencia del tema de Modelo de Negocio de la jefe de la Oficina Asesora de Planeación
•    Se modifica una capacitación en temas sindicales, por la continuidad del programa de Mentoring para cuatro personas según inscripción. Lo anterior teniendo cuenta que el sindicato infortunadamente no dio respuesta a nuestros comunicados del 23 de abril y el 12 de mayo de 2021 en los cuales pedíamos nos orientaran frente a los temas a tratar y teniendo en cuenta que varios participantes de las sesiones de mentoring manifestaron su interés en darle continuidad a su proceso se sugirió el cambio.
•    Se modifica el tema de reinducción relacionado con la actualización en normas de carrera administrativa ya que este no ha sufrido cambios por lo que se recibió una solicitud de parte del equipo directivo en el cual sugiere la repetición del taller de fotografía - análisis en la evaluación ambiental de proyectos, el cual es considerado de gran pertenencia en este momento en la entidad.
Cabe resaltar que los cambios mencionados no afectan los recursos y se realizan bajo las mismas condiciones pactadas, lo único que sufrió de modificaciones fueron las temáticas.</t>
  </si>
  <si>
    <t>En el mes de Diciembre se informa que durante el mes de noviembre  se culminan las actividades, las cuales fueron ejecutadas por los facilitadores  cerrando así con el 100% de los temas realizados, cumpliendo asi con el PIC
Al termino  del CUARTO TRIMESTRE encontramos la terminación total de las actividades propuestas,desarrollando la totalidad de las actividades y cumpliendo al 100% del cronograma, se cumplio con la meta en mas del 100%.</t>
  </si>
  <si>
    <t>Se mantiene el cumplimiento respecto al mes anterior ya que los dos facilitadores que se encuentran pendientes por realizar la capacitación la realizarán en el mes de noviembre.</t>
  </si>
  <si>
    <t>Durante el mes de noviembre  se culminan las actividades, las cuales fueron ejecutadas por los facilitadores  cerrando así con el 100% de los temas realizados cumpliendo asi con la estrategia.</t>
  </si>
  <si>
    <t>se informa en Diciember que durante el mes de noviembre  se culminan las actividades, las cuales fueron ejecutadas por los facilitadores  cerrando así con el 100% de los temas realizados cumpliendo así con la estrategia.
Al termino  del CUARTO TRIMESTRE encontramos la terminación total de las actividades propuestas,desarrollando la totalidad de las actividades y cumpliendo al 100% del cronograma, se cumplio con la meta en mas del 100%.</t>
  </si>
  <si>
    <t>Durante el mes de OCTUBRE se logró un avance del 6,99481865284974% correspondiente a las actividades que a continuación se describen:
1.    Comunicación masiva por comunicaciones socializando la actualización de la Matriz IPRVDC
2.    Acompañamiento reuniones mensuales y revisión acta de COPASST
3.    Análisis estadístico de Ausentismo.
4.    Intervención en promoción y prevención -personal asintomático y riesgo bajo - Pausas Activas
5.    Seguimiento a resultados de encuesta de autorreporte de condiciones de salud en consecuencia del COVID 19
6.    Intervención población en riesgo medio y alto - Escuela terapéutica 
7.    Envío masivo de TIPs de prevención y promoción de DME- En casa-COVID 19
8.    Retroalimentación  Individual a trabajadores que puntuaron  niveles  alto y muy alto en la medición subjetiva de Factores de riesgo psicosocial.
9.    Jornadas de manejo de fatiga y carga mental (pausas cognitivas)  
10.    Programación y realización de actividades físicas para colaboradores - Hábitos de Vida Saludable- Talleres de Nutrición-Acompañamiento Individual.
11.    Pausas visuales
12.    Entrega de Informe deTapabocas / Kit de Bioseguridad para comisiones. / Kit de Bioseguridad para personal fuera de Bogotá
13.    Realización de Simulacros de Evacuación (Guión e Informe (SIMULACRO DISTRITAL)
14.    Pruebas de radios punto a punto (informe y correo) 
15.    Capacitación de Primeros Auxilios 
16.    Seguimientos y retroalimentación de MEDEVACs
17.    Acompañamientos por parte del Ingeniero Asesor de la ARL a los programas de seguridad industrial
18.    Supervisión SST en Campo / Realización de Charlas de Seguridad en Campo
19.    Implementación del Programa SBC. Capacitaciones y Observaciones
20.    Realización de Inspecciones de EPPs - Contratistas (En campo y/o revisión de informes post comisión)
21.    Realización de Inspecciones de Vehículos
22.    Realización de Inspecciones de Extintores
23.    Seguimientos a hallazgos encontrados en inspecciones
24.    Seguimiento a los reportes de actos y condiciones recibidos
25.    Realización de mediciones de iluminación
26.    Realización de Auditoria de Cumplimiento del SG-SST:
Evaluación estándares mínimo Resolución 0312/2019
27.    Seguimiento a Indicadores y planes de acción establecidos en los diferentes Programas del SG-SST</t>
  </si>
  <si>
    <t xml:space="preserve"> Mes	
Durante el mes de NOVIEMBRE se logró un avance del 7,77% correspondiente a las actividades que a continuación se describen:
1.    Solicitud soportes reuniones trimestrales Comité de Convivencia Laboral 
2.    Realización de comunicaciones masiva sobre prevención de accidentes o incidentes viales
3.    Acompañamiento reuniones mensuales y revisión acta de COPASST
4.    Análisis estadístico de Ausentismo.
5.    Intervención en promoción y prevención -personal asintomático y riesgo bajo - Pausas Activas
6.    Seguimiento a resultados de encuesta de autorreporte de condiciones de salud en consecuencia del COVID 19
7.    Intervención población en riesgo medio y alto - Escuela terapéutica 
8.    Retroalimentación  Individual a trabajadores que puntuaron  niveles  alto y muy alto en la medición subjetiva de Factores de riesgo psicosocial.
9.    Acompañamiento en la planificación y Aplicación de la batería riesgo psicosocial Cumplimiento de Resolución 26460819 y Ley 1616 Salud Mental Art 9.
10.    Intervensión grupal derivada de aplicación de Batería de Riesgo Psisocial (Liderazgo-Comunicación y Trabajo en Equipo- Inteligencia Emiocional y Felicidad- Manejo de Cambio- Recuperando la vida familiar ) 
11.    Jornadas de manejo de fatiga y carga mental (pausas cognitivas)  
12.    Realización de envío de comunicados masivos sobre TIPs de prevención de riesgo cardiovascular.
13.    Programación y realización de actividades físicas para colaboradores - Hábitos de Vida Saludable- Talleres de Nutrición-Acompañamiento Individual.
14.    Pausas visuales
15.    Temáticas virtuales y TIPs de prevención de riesgo publico
16.    Entrega de Informe deTapabocas / Kit de Bioseguridad para comisiones. / Kit de Bioseguridad para personal fuera de Bogotá
17.    Capacitación de Primeros Auxilios 
18.    Seguimientos y retroalimentación de MEDEVACs
19.    Acompañamientos por parte del Ingeniero Asesor de la ARL a los programas de seguridad industrial
20.    Supervisión SST en Campo / Realización de Charlas de Seguridad en Campo
21.    Implementación del Programa SBC. Capacitaciones y Observaciones
22.    Análisis de datos de observaciones y creación de planes de acción - SBC
23.    Realización de Inspecciones de EPPs - Contratistas (En campo y/o revisión de informes post comisión)
24.    Seguimientos a hallazgos encontrados en inspecciones
25.    Seguimiento a los reportes de actos y condiciones recibidos
26.    Solicitar comunicaciones masivas sobre seguridad indicando la importancia de la familia
27.    Actividad lúdica presencial o virtual donde se resalte la importancia de la seguridad en la familia
28.    Seguimiento al programa de mantenimiento de instalaciones y maquinaria
29.    Revisión de documentación para selección de contratistas (exámenes médicos, vacunas, inducción, código de integridad, afiliación a ARL, entre otros)
30.    Seguimiento a Indicadores y planes de acción establecidos en los diferentes Programas del SG-SST</t>
  </si>
  <si>
    <t>Durante el mes de DICIEMBRE se logró un avance del 7,25388601036269% correspondiente a las actividades que a continuación se describen:
Autoevaluación estándares mínimos SG-SST Resolución 0312/2019
Creación Plan de Trabajo SST y firma por parte de la Dirección
Seguimiento actas reuniones Comité de Seguridad Vial
Programación y Seguimiento de Asesorías con la ARL para Seguridad Vial
Acompañamiento reuniones mensuales y revisión acta de COPASST
Análisis estadístico de Ausentismo.
Seguimiento a resultados de encuesta de autorreporte de condiciones de salud en consecuencia del COVID 19
Envío masivo de TIPs de prevención y promoción de DME- En casa-COVID 19
Realización de Informe de Cierre del PVE DME
Realización de Informe de Cierre del PVE Psicosocial
Temáticas virtuales y TIPs de prevención de riesgo publico
Entrega de Informe deTapabocas / Kit de Bioseguridad para comisiones. / Kit de Bioseguridad para personal fuera de Bogotá
Pruebas de radios punto a punto (informe y correo)
Seguimientos y retroalimentación de MEDEVACs
Revisión y actualización de ATS
Socialización de ATS por medio de comunicados masivos
Acompañamientos por parte del Ingeniero Asesor de la ARL a los programas de seguridad industrial
Realizar propuesta del Programa de Seguridad Basada en comportamientos
Verificar con el Coordinador GH y SAF la propuesta de SBC
Verificar con la OAP y Dirección la propuesta de SBC. Aprobación de recursos y actividades
Implementación del Programa SBC. Capacitaciones y Observaciones
Análisis de datos de observaciones y creación de planes de acción - SBC
Realización de Inspecciones de Botiquines y Camillas
Seguimientos a hallazgos encontrados en inspecciones
Seguimiento a los reportes de actos y condiciones recibidos
Realización de Evaluación de Contratistas (en cuenta de cobro final se identificara el cumplimiento de los deber y responsabilidades SST de los contratistas)
Cierre de los planes de acción resultantes de los programas y planes existentes en el SG-SST
Seguimiento a Indicadores y planes de acción establecidos en los diferentes Programas del SG-SST
Al término del CUARTO TRIMESTRE se obtiene un promedio del 97,9274611398964% cumpliendo en más de un 100% la meta propuesta para el año 2021, se cumplen con los objetivos trazados para esta vigencia en su totalidad.</t>
  </si>
  <si>
    <t>Durante el mes de OCTUBRE no se presentaron accidentes en la entidad, el porcentaje de este indicador del mes de OCTUBRE fue 0,0% y en promedio de la vigencia es de 0,0230125871794159%, por tal motivo se cumple con el indicador al 100% en este mes ya que la estadística se encuentra en un valor menor al 1% máximo de accidentes por mes propuesto.</t>
  </si>
  <si>
    <t>Durante el mes de NOVIEMBRE tuvo lugar 3 accidente en la entidad, el porcentaje de este indicador del mes de NOVIEMBRE fue 0,207% y el promedio de la vigencia es de 0,0397422917516618% por tal motivo se cumple con el indicador al 100% en este mes ya que la estadística se encuentra en un valor menor al 1% máximo de accidentes por mes propuesto.</t>
  </si>
  <si>
    <t>Durante el mes de DICIEMBRE no se presentaron accidentes en la entidad, el porcentaje de este indicador del mes de DICIEMBRE fue 0,0% y en promedio de la vigencia es de 0,0364304341056899%, por tal motivo se cumple con el indicador al 100% en este mes ya que la estadística se encuentra en un valor menor al 1% máximo de accidentes por mes propuesto.
Al finalizar el CUARTO TRIMESTRE, encontramos que se cumple al 100% el porcentaje de meta que se tenía para la vigencia 2021, durante el 2021 se presentaron en total 6 accidentes valor muy bajo considerando la cantidad de colaboradores que hay en la entidad.</t>
  </si>
  <si>
    <t>En el mes de OCTUBRE se realiza un avance de 6,25% producto de las diferentes actividades gestionadas que se describen a continuación:
•    Seguimiento y monitoreo al registro de conflictos de intereses que han surtido trámite: El procedimiento de conflicto de intereses y la matriz de seguimiento y monitoreo de conflicto de intereses se encuentra en firmas para la publicación. Así mismo, se realizó el segundo seguimiento y no se ha reportado ningún conflicto de interés de acuerdo con la revisión de los diferentes canales o formatos establecidos para dar a concoer la información correspondiente.</t>
  </si>
  <si>
    <t>En el mes de OCTUBRE se realiza un avance de 6,25% producto de las diferentes actividades gestionadas, CUMPLIENDO al 100% de las actividades planeadas en la vigencia,a continuación se describe las actividades mencionadas:
•    Seguimiento y monitoreo al registro de conflictos de intereses que han surtido trámite: El procedimiento de conflicto de intereses y la matriz de seguimiento y monitoreo de conflicto de intereses se encuentra en firmas para la publicación. Así mismo, se realizó el segundo seguimiento y no se ha reportado ningún conflicto de interés de acuerdo con la revisión de los diferentes canales o formatos establecidos para dar a concoer la información correspondiente.
Para este Seguimiento de Noviembre, no se reporta mas Avance.</t>
  </si>
  <si>
    <t>En el mes de DICIEMBRE se informa que en OCTUBRE se realiza COMPLETAMENTE las actividades, CUMPLIENDO al 100% de las actividades planeadas en la vigencia. 
Al termino del CUARTO TRIMESTRE encontramos un cumplimiento anual de 100% del cronograma donde se ejecutaron en su totalidad la propuesta y cierre de la estrategia, cumpliendo en mas de un 100% la meta establecida.</t>
  </si>
  <si>
    <t>Para la presente vigencia 2021 se registra un avance acumulado del 99.1%, para el mes de Octubre el Grupo de Gestión de Notificaciones realizó el proceso de publicidad para 1575 usuarios, de los cuales se inició en termino a 1568, quedando 7 fuera de término, así:
Dos (2) reinicios de proceso de publicidad según lo ordenado en la Resolución Aclaratoria 1724 de 4 de octubre de 2021.
Un (1) proceso de notificación en el Auto 7936 del 22/09/21 ordenado por OAJ en memorando 2021219299-3-000 8 de octubre de 2021.
Un (1) acto administrativo que ingresó fuera de termino al módulo de notificaciones por falla en el sistema, lo anterior se reportó en mesa de ayuda No 21484.
Un (1) acto administrativo (1789) de cobro coactivo que no se detectó cuando ingresó al grupo de gestión de notificaciones y que ordenaba notificar dos (2) usuarios
Un (1) acto administrativo (1304) que al momento de que se elaborará la ejecutoria, se detectó que faltaba un (1) usuario por notificar.</t>
  </si>
  <si>
    <t>Para la presente vigencia 2021 se registra un avance acumulado del 99.2%, para el mes de Noviembre el Grupo de Gestión de Notificaciones realizó el proceso de publicidad para 1255 usuarios, de los cuales se inició en termino a 1250, quedando 5 fuera de término, así:
Tres (3) reinicios de proceso de publicidad (Autos 4605, 6086 y 3676) dado que se evidenció que el doctor Leonardo Cerro Torres, en calidad de Representante Legal de la sociedad SEMBRO S.A., a través del radicado 2021043189-1-000 del 11 de marzo de 2021 allegó nuevo correo electrónico para efectos de notificación de la compañía CARVAL como para SEMBRO que es el negocio Agrícola de CARVAL, lo que dio lugar al reinicio de dichos procesos.
Un (1) reinicio de notificación ordenado en el Auto 9344 del 4 de noviembre de 2021.
Un (1) acto administrativo (8321) que al momento de que se elaborará la ejecutoria, se detectó que faltaba un (1) usuario por notificar.</t>
  </si>
  <si>
    <t>Para la vigencia 2021 se registró un avance acumulado del 99.3%, para el mes de diciembre el Grupo de Gestión de Notificaciones realizó el proceso de publicidad para 1768 usuarios, de los cuales se inició en termino a 1767, quedando 1 fuera de término, así:</t>
  </si>
  <si>
    <t>Durante el mes de octubre se publicaron 3 capas geográficas de referencia de entidades externas en AGIL . A la fecha se han publicado 26 de una proyección inicial de 30. 
Avance octubre = 26/30 = 87%
Las capas publicadas fueron:
-Límites de las Reservas Ley 2
-Sustracciones Definitivas a las Reservas Ley 2
-Zonificación de las Reservas Ley 2</t>
  </si>
  <si>
    <t>Se calcula el valor del indicador, teniendo en cuenta los porcentajes de avance y ponderaciones a cada componente del índice, alcanzando el 96,31% por encima 6 puntos del cumplimiento esperado (dado que la meta es del 90% se coloca el máximo de la meta, para que el promedio del grupo no sea alterado)</t>
  </si>
  <si>
    <t>Según el avance particular de cada componente transversal y estructural se presenta un avance acumulado de 80.91% en el mes de septiembre.</t>
  </si>
  <si>
    <t>Durante el periodo se tomó el contenido de la Intranet actual para incluir en las pruebas de funcionamiento de software de la nueva intranet ANLA.
Se alcanzo un avance acumulado de 77%</t>
  </si>
  <si>
    <t xml:space="preserve">	Sistemas de información implementados </t>
  </si>
  <si>
    <t xml:space="preserve">Sistemas de información implementados </t>
  </si>
  <si>
    <t xml:space="preserve">Durante el periodo de octubre se presentaron dos solicitudes de actualización de tableros de control.
A corte de octubre se han recibido 30 solicitudes, de las cuales se ha dado trámite a su totalidad. Se incluye una matriz donde se resumen de manera retroactiva y mensual las solicitudes relacionadas con el indicador.
</t>
  </si>
  <si>
    <t>Durante el periodo se publicaron 5 nuevas capas temáticas internas en AGIL. Del total de 50 se han publicado 40. Avance del 80%. Las capas publicadas fueron:
FuenteDispersaEmisionPG
FuenteDispersaEmisionPT
FuenteEmisionRuido
FuenteFijaEmision
FuenteLinealEmision</t>
  </si>
  <si>
    <t>Durante el periodo se adjudicó el proceso de adquisición del servicio de Ingeniería Social, en total se tiene un acumulado de 17 procesos contractuales adjudicados.</t>
  </si>
  <si>
    <t>El día 5 de mayo en horas de la noche se presentó un ataque de denegación de servicios contra el protal web de la entidad, lo cual generó la indisponibilidad de la misma.
En total se han presentado 1.781 ataques importantes, de los cuales se ha materializado 1</t>
  </si>
  <si>
    <t>Durante el periodo no se presentaron indisponibilidades en los servicios de conectividad y datacenter
Avance octubre = (porcentaje de disponibilidad del servicio de conectividad (ETB) + porcentaje de disponibilidad del servicio de datacenter (IFX) /) 2 = (100% + 100%) / 2 = 100%</t>
  </si>
  <si>
    <t>Durante el periodo se atendieron un total de 1057 solicitudes de un total de 1125.
% de avance octubre= 93.95%</t>
  </si>
  <si>
    <t xml:space="preserve">
Durante el periodo no se finalizaron proyectos de desarrollo de sofware asociados a ajustes a funcionalidades existentes. En total se tienen 9 proyectos finalizados. Alcanzando el 60% según la meta inicial de 15 módulos</t>
  </si>
  <si>
    <t>Durante el periodo se finalizaron 3 proyectos de desarrollo de software asociados a nuevas funcionalidades (según la siguiente tabla), en total se tienen 11 proyectos desplegados. (dado que la meta es del 90% se coloca el máximo de la meta, para que el promedio del grupo no sea alterado)</t>
  </si>
  <si>
    <t>El avance del plan de seguridad de la información se toma de las actividades establecidas en el "Plan de seguridad digital" donde se evidencia un avance a corte de octubre 70%</t>
  </si>
  <si>
    <t>El porcentaje de avance del Plan de Tratamiento de Riesgos de Seguridad y Privacidad de la Información es de 93%, lo que demuestra una adecuada implementación y desarrollo de las actividades planeadas</t>
  </si>
  <si>
    <t>Después de hacer revisión a las actividades y al avance reportado, Se registra un avance del 77% del plan de trabajo del Plan de tecnologías emergentes a corte de octubre</t>
  </si>
  <si>
    <t>Durante el periodo, de un total de 1.384 usuarios misionales habilitados para acceder a SILA, 1.309 hicieron uso del sistema.
Avance octubre= Número de usuarios que utilizan los sistemas de información / Número de usuarios programados para utilizar los sistemas de información = 1.309 /1.384 = 94.58%
(dado que la meta es del 90% se coloca el máximo de la meta, para que el promedio del grupo no sea alterado)</t>
  </si>
  <si>
    <t xml:space="preserve">Durante el periodo no se presentaron solicitudes de actualización de tableros de control.
se han recibido 30 solicitudes, de las cuales se ha dado trámite a su totalidad. 
</t>
  </si>
  <si>
    <t xml:space="preserve">Durante el periodo se publicaron 5 nuevas capas temáticas internas en AGIL. Del total de 50 se han publicado 45. Las capas publicadas fueron: IsofonaRAmbDiurnoFestivo, IsofonaRAmbDiurnoHabil, IsofonaRAmbNocturnoFestivo, IsofonaRAmbNocturnoHabil, MonitoreoRuidoAmbiental
</t>
  </si>
  <si>
    <t>En total se tiene un acumulado de 23 procesos contractuales adjudicados.</t>
  </si>
  <si>
    <t>El día 5 de mayo en horas de la noche se presentó un ataque de denegación de servicios contra el protal web de la entidad, lo cual generó la indisponibilidad de la misma.
En total se han presentado 2.029 ataques importantes, de los cuales se ha materializado 1</t>
  </si>
  <si>
    <t>Durante el periodo no se presentaron indisponibilidades en los servicios de conectividad y datacenter
Avance noviembre = (porcentaje de disponibilidad del servicio de conectividad (ETB) + porcentaje de disponibilidad del servicio de datacenter (IFX) /) 2 = (100% + 100%) / 2 = 100%</t>
  </si>
  <si>
    <t xml:space="preserve">
Durante el periodo se atendieron un total de 992 solicitudes de un total de 1050.
% de avance noviembre= 94.4%</t>
  </si>
  <si>
    <t xml:space="preserve">
Durante el periodo no se finalizaron proyectos de desarrollo de sofware asociados a ajustes a funcionalidades existentes. En total se tienen 10 proyectos finalizados. Alcanzando el 63% según la meta inicial de 16 módulos</t>
  </si>
  <si>
    <t xml:space="preserve">Durante el periodo se finalizaron 1 proyectos de desarrollo de software asociados a nuevas funcionalidades (según la siguiente tabla), en total se tienen 12 proyectos desplegados. </t>
  </si>
  <si>
    <t>El avance del plan de seguridad de la información se toma de las actividades establecidas en el "Plan de seguridad digital" donde se evidencia un avance a corte de noviembre 83%</t>
  </si>
  <si>
    <t>El porcentaje de avance del Plan de Tratamiento de Riesgos de Seguridad y Privacidad de la Información es de 97%, lo que demuestra una adecuada implementación y desarrollo de las actividades planeadas</t>
  </si>
  <si>
    <t>Después de hacer revisión a las actividades y al avance reportado, Se registra un avance del 91% del plan de trabajo del Plan de tecnologías emergentes a corte de noviembre</t>
  </si>
  <si>
    <t>Durante el periodo, de un total de 1.388 usuarios misionales habilitados para acceder a SILA, 1.301 hicieron uso del sistema.
Avance noviembre = Número de usuarios que utilizan los sistemas de información / Número de usuarios programados para utilizar los sistemas de información = 1.301 /1.388 = 93.73%</t>
  </si>
  <si>
    <t>Durante el mes de noviembre se publicó 1 capa geográfica de referencia de entidades externas en AGIL . A la fecha se han publicado 26 de una proyección inicial de 30. 
Avance noviembre = 27/30 = 90%
La capas publicada fue: Jurisdicción SINCHI</t>
  </si>
  <si>
    <t xml:space="preserve">Se calcula el valor del indicador, teniendo en cuenta los porcentajes de avance y ponderaciones a cada componente del índice, alcanzando el 97,24% </t>
  </si>
  <si>
    <t>Según el avance particular de cada componente transversal y estructural se presenta un avance acumulado de 89.74% en el mes de noviembre.</t>
  </si>
  <si>
    <t>Durante el periodo se avanzó en la migración de los contenidos de la intranet actual a la nueva intranet.
Se alcanzo un avance acumulado de 85</t>
  </si>
  <si>
    <t xml:space="preserve">Se calcula el valor del indicador, teniendo en cuenta los porcentajes de avance y ponderaciones a cada componente del índice, alcanzando el 97,92% </t>
  </si>
  <si>
    <t>Según el avance particular de cada componente transversal y estructural se presenta un avance acumulado de 99.24% en el mes de diciembre.</t>
  </si>
  <si>
    <t>Durante el periodo se finalizó la migración de los contenidos de la intranet actual a la nueva intranet y se realizó el despliegue al ambiente productivo.
Se alcanzo un avance acumulado de 100% entregando la nueva intranet ANLA a los usuarios internos disponible en el link: http://intranet.anla.gov.co</t>
  </si>
  <si>
    <t>Durante el periodo se presentaron 2 solicitudes de actualización de tableros de control.
32 resueltas /32 solicitadas = 100%
A la fecha se tiene:
Se incluye también la matriz de Casos de la herramienta MANTIS en donde se observan los dos casos atendidos, resuletos, cerrados y calificados:
Mesa de ayuda 25141
Mesa de ayuda 24531</t>
  </si>
  <si>
    <t xml:space="preserve">Durante el periodo se publicaron 5 nuevas capas temáticas internas en AGIL. Del total de 50 se publicaron 50. Las capas publicadas fueron:
FuenteDispersaOlores
FuenteFijaOlores
IsolineaSobrepresion
IsolineaVibraciones
MonitoreoVibraciones
</t>
  </si>
  <si>
    <t xml:space="preserve">Durante el periodo se adjudicaron los procesos de:
ARCGIS
MANTENIMIENTO EQUIPOS DE COMPUTO
MANTENIMIENTO UPS
En total se tiene un acumulado de 26 procesos contractuales adjudicados. 
Se presenta un reporte superior a la meta ya que el proceso de adquisición de SOLUCIÓN INTEGRAL DE HIPERCONVERGENCIA no se tenía planificada para el año 2021, sin embargo debido a la necesidad imperativa de mejorar la infraestructura técnológica para soportar las nuevas apuestas de la entidad se requirió llevar a cabo el proceso de contratación.
En total se alcanzaron un total de 26 procesos ejecutados. </t>
  </si>
  <si>
    <t>El día 5 de mayo en horas de la noche se presentó un ataque de denegación de servicios contra el protal web de la entidad, lo cual generó la indisponibilidad de la misma.
En total se han presentado 2.256 ataques importantes, de los cuales se ha materializado 1</t>
  </si>
  <si>
    <t>Durante el periodo no se presentaron indisponibilidades en los servicios de conectividad y datacenter
Avance diciembre = (porcentaje de disponibilidad del servicio de conectividad (ETB) + porcentaje de disponibilidad del servicio de datacenter (IFX) /) 2 = (100% + 100%) / 2 = 100%</t>
  </si>
  <si>
    <t xml:space="preserve">	
Durante el periodo se atendieron un total de 1213 solicitudes de un total de 1261.
% de avance diciembre = 96.16%</t>
  </si>
  <si>
    <t>Durante el periodo se finalizaron 6 proyectos asociado a ajustes a funcionalidades existentes. En total se han desplegado 16 módulos actualizados</t>
  </si>
  <si>
    <t xml:space="preserve">Durante el periodo se finalizaron 4 proyectos de desarrollo de software asociados a nuevas funcionalidades, en total se tienen 16 proyectos desplegados. </t>
  </si>
  <si>
    <t>El avance del plan de seguridad de la información se toma de las actividades establecidas en el "Plan de seguridad digital" donde se evidencia un cierre a corte de diciembre 100%</t>
  </si>
  <si>
    <t>El porcentaje de cierre del Plan de Tratamiento de Riesgos de Seguridad y Privacidad de la Información es de 100%, lo que demuestra una adecuada implementación y desarrollo de las actividades planeadas</t>
  </si>
  <si>
    <t xml:space="preserve">Durante el periodo se finalizó la implementación, socialización y monitoreo de satisfacción de proyectos de desarrollo de software y con la elaboración del documento de interoperabilidad. Con corte a diciembre de 2021, se logró un cumplimiento del 100% del plan.
</t>
  </si>
  <si>
    <t>Durante el periodo, de un total de 1389 usuarios misionales habilitados para acceder a SILA, 1272 hicieron uso del sistema.
Avance diciembre = Número de usuarios que utilizan los sistemas de información / Número de usuarios programados para utilizar los sistemas de información = 1272/1389 = 91.6% alcanzando frente a la meta un 94% de cierre</t>
  </si>
  <si>
    <t>Como resultado del análisis de los datos de la encuesta de satisfacción de uso y apropiación a los sistemas de información se obtuvo que en promedio, el 71% de los usuarios se sienten Muy Satisfechos o Satisfechos con las herramientas tecnológicas. 
Se debe trabajar en la mejora continua de la satisfacción del cliente interno en la vigencia 2022, por la OTI</t>
  </si>
  <si>
    <t>Porcentaje de Solicitudes de Implementación o Actualización de Tableros de Control Geoespaciales [ Plan de Acción ]</t>
  </si>
  <si>
    <t>Número de solicitudes de implementación, actualización o ajuste de tableros de control geoespaciales resueltas/Número de solicitudes de implementación, actualización o ajuste de tableros de control geoespaciales recibidas​</t>
  </si>
  <si>
    <t>Nuevas capas temáticas internas publicadas en AGIL [ Plan de Acción ]</t>
  </si>
  <si>
    <t>Número de nuevas capas temáticas internas publicadas en AGIL</t>
  </si>
  <si>
    <t xml:space="preserve">	Porcentaje de ataques de seguridad de la información controlados. [ Plan de Acción ]</t>
  </si>
  <si>
    <t>Porcentaje de ataque controlados = (Número de ataque detectados - Número de ataques materializados) / Número de ataque detectados</t>
  </si>
  <si>
    <t>Porcentaje de disponibilidad de los servicios tecnológicos [ Plan de Acción ]</t>
  </si>
  <si>
    <t>Porcentaje de disponibilidad de los servicios de infraestructura = (porcentaje de disponibilidad del servicio de conectividad (ETB) + porcentaje de disponibilidad del servicio de datacenter (IFX) /) 2​</t>
  </si>
  <si>
    <t>Número de proyectos asociados a nuevas funcionalidades priorizados con niveles 0 y 1 implementados en ambiente de producción</t>
  </si>
  <si>
    <t xml:space="preserve">Proyectos priorizados </t>
  </si>
  <si>
    <t>Para el avance se debe tener en cuenta que algunos indicadores pueden tener modificaciones a lo largo del año, en cuanto: meta, nombre, formula (pero sin perder el espiritu del indicador inicialmente planeado) o eliminación por aprobación del comité directivo de la entidad</t>
  </si>
  <si>
    <t>Al mes de Octubre de 2021 se emitieron  2189 actos administrativos, de los cuales 2154 son vigencia 2021 y 35 son rezagos 2020.</t>
  </si>
  <si>
    <t xml:space="preserve">
Se incluye el acumulado del año con corte 31 de Octubre  de 2021 de visitas guiadas y presenciales.</t>
  </si>
  <si>
    <t>Al mes de Octubre 2021, se realizaron 2286 conceptos técnicos, los cuales fueron  1627 documentales y 659 con visita.</t>
  </si>
  <si>
    <t>Durante el mes de Octubre de 2021 se tuvo un avance del 63,23% en las oralidades, dado que de los 854 actos administrativos generados por los grupos Alto Magdalena-Cauca, Caribe - Pacifico, Magdalena Medio - Cauca – Catatumbo y Orinoquia – Amazonas, 540 fueron por Oralidad. (dado que la meta es del 54% se coloca el máximo de la meta, para que el promedio del grupo no sea alterado)</t>
  </si>
  <si>
    <t>Al mes de Octubre  de 2021, se realizó seguimiento a 745 expedientes en la vigencia 2021 de los grupos Alto Magdalena-Cauca, Caribe - Pacifico, Magdalena Medio - Cauca – Catatumbo y Orinoquia – Amazonas, de los 1358 expedientes activos objeto de seguimiento objeto de seguimiento en etapa de construcción, operación y desmantelamiento y/o abandono.</t>
  </si>
  <si>
    <t>Con corte 31 octubre se realizó seguimiento a 81 proyectos en construcción  de los 128 identificados en esta  con  corte 30 de agosto como lo nombra la formula , de cuales 120 continuan en estapa de construccion y  8 cambiraon de etapa , para el numerdor se resta uno que ya que cuanta con AA y para el denominador se restan 8  dando un resultado de 67,50%.</t>
  </si>
  <si>
    <t xml:space="preserve">Para período comprendido entre el 01 y el 31 de octubre se reportan 3 oralidades, 4 autos y 1 resolución que corresponde a septiembre pero involuntariamente no se reportó en su momento, para un total de 147 A.A incluyendo los 9 rezagos. </t>
  </si>
  <si>
    <t>A corte 31 octubre se han expedido 282 actos administrativos, los cuales 275 corresponden a vigencia actual y 7 a rezagos vigencia 2020.</t>
  </si>
  <si>
    <t>Para el mes de OCTUBRE la región de MMCC realizo 17 actas 5 autos y 8 resoluciones, el acumulado para el mes de OCTUBRE es de 192 actos administrativos, (conformados por 116 actas, 50 autos y 26 resoluciones), de las 298 programadas como meta.</t>
  </si>
  <si>
    <t>A corte 31 de octubre del 2021, la Región Orinoquia Amazonas, expidió 233 actos administrativos que acogen el seguimiento a proyectos licenciados, de los cuales 18 actos administrativos corresponden a rezagos vigencia 2020 y 215 actos administrativos corresponden a vigencia actual.</t>
  </si>
  <si>
    <t>A corte de 31 de octubre de 2021 el grupo (Seguimiento) de Agroquímicos y Proyectos Especiales ha expedido 129 actos administrativos, para un total de 1335 actos administrativo-acumulados en el año 2021 de 1584 programados como meta.</t>
  </si>
  <si>
    <t>A la fecha se han adelantado 955  proyectos de seguimiento con aplicación de la metodología del Indice de Desempeño Ambiental</t>
  </si>
  <si>
    <t>A la fecha se han adelantado 955  proyectos licenciados objeto de seguimiento con Seguimiento Documental Espacial</t>
  </si>
  <si>
    <t>A la fecha se han analizado 3067 informes de cumplimiento ambiental verificados preliminarmente, frente a los 3110 informes de cumplimiento ambiental radicados por los titulares de los proyectos.</t>
  </si>
  <si>
    <t>A la fecha se  han aprobado 5684,87  hectaréas  para desarrollar acciones de conservación, preservación y restauración con cargo al 1% y la compensación ambiental en las áreas habilitadas por la estrategia para Compensación y 1%</t>
  </si>
  <si>
    <t>A la fecha se han aprobado 192 conceptos técnicos de seguimiento numerados, con participación del equipo de valoración económica sobre un total de 193 conceptos técnicos de seguimiento asignados al equipo de valoración económica</t>
  </si>
  <si>
    <t>A la fecha se han emitido 21 actos administrativos que acogen el seguimiento realizado a los expedientes priorizados de contingencias operacionales recurrentes</t>
  </si>
  <si>
    <t>Para el presente período se reporta un acumulado de 138 visitas, 4 guiadas y 5 presenciales, de manera adicional reportamos la visita presencial realizada del 27 al 28 de septiembre, expediente LAM2932 no reportada en el indicador anterior, para un acumulado de 97 presenciales y 41 guiadas.</t>
  </si>
  <si>
    <t>Para el presente período se reporta un acumulado de 115 conceptos técnicos con visita, de los cuales 14 corresonden al mes de octubre..</t>
  </si>
  <si>
    <t>Para el presente período se reporta un acumulado de 54 conceptos técnicos documentales, 4 corresponden al mes de octubre</t>
  </si>
  <si>
    <t>El avance corresponde al cálculo del total de acumulado de oralidades 89 sobre el total de actos administrativos 138
89/147 = 0.61*100 = 61% 
 (dado que la meta es del 54% se coloca el máximo de la meta, para que el promedio del grupo no sea alterado)</t>
  </si>
  <si>
    <t>A la fecha se ha implementado instrumentos SIPTA a 10 seguimientos Ambientales, lo que según la formula corresponde a un 6,6% acumulado.
formula:
10/151=0,06..*100=6,6
 (dado que la meta es del 5% se coloca el máximo de la meta, para que el promedio del grupo no sea alterado)
 (REPORTE TRIMESTRAL)</t>
  </si>
  <si>
    <t>A corte 31 octubre de 2021 la Región realizó 285 visitas de seguimiento entre presencial y guiadas.
Se precisa que las visitas de los expedientes LAM6773-00 y LAV0047-00-2017, se duplica la fila pero solo se contabiliza una visita de cada uno (resaltdos en color morado), de estos dos se generará doble CT y se acogerá con su respectivo Acto. Administrativo.</t>
  </si>
  <si>
    <t>A corte 31 octubre de 2021 la Región elaboró 254 CT con visita</t>
  </si>
  <si>
    <t xml:space="preserve">A corte 31 octubre de 2021 la Región elaboró 54 CT documental de seguimiento  </t>
  </si>
  <si>
    <t>A corte del 31 de octubre se tiene un avance del 71% en oralidades
 (dado que la meta es del 54% se coloca el máximo de la meta, para que el promedio del grupo no sea alterado)</t>
  </si>
  <si>
    <t xml:space="preserve">Para el mes de OCTUBRE la región de MMCC realizo 31 visitas (23 presenciales y 8 guiadas), el acumulado para el mes de OCTUBRE es de 206 visitas (95 presenciales, 111 guiadas), de las 212 programadas como meta.
</t>
  </si>
  <si>
    <t>Para el mes de OCTUBRE la región de MMCC realizo 18 conceptos técnicos con visita, el acumulado para el mes de OCTUBRE es de 137 conceptos técnicos con visitas, de las 212 programadas como meta.</t>
  </si>
  <si>
    <t>Para el mes de OCTUBRE la región de MMCC realizo 6 conceptos técnicos documentales, el cumulado para el mes de OCTUBRE es de 65 conceptos técnicos documentales, de los 86 programados como meta.</t>
  </si>
  <si>
    <t>Para el mes de OCTUBRE la región de MMCC presidio 17 Actas, el acumulado al mes de mayo es de 116 Actas (Avance del 60%), los actos administrativos totales son 192 (conformados por 116 actas, 50 autos y 26 resoluciones). de los 298 Programados.
 (dado que la meta es del 54% se coloca el máximo de la meta, para que el promedio del grupo no sea alterado)</t>
  </si>
  <si>
    <t>A corte 31 de octubre del 2021, la Región Orinoquia Amazonas realizó 187 visitas, de los cuales 93 corresponden a visitas presenciales, y 94 corresponden a visitas Guiadas.</t>
  </si>
  <si>
    <t>A corte 31 de octubre del 2021, la Región Orinoquia Amazonas, expidió 153 CT con visita, de los cuales 86 corresponden a CT de visitas guiadas y 67 corresponde a CT de visita presencial.</t>
  </si>
  <si>
    <t>A corte 31 de octubre del 2021, la Región Orinoquia Amazonas, expidió 72 CT documental.</t>
  </si>
  <si>
    <t>Se realizaron 128 oralidades en la vigencia actual + 6 de rezagos / 215 aa vigencia actual y 18 de rezagos.
 (dado que la meta es del 54% se coloca el máximo de la meta, para que el promedio del grupo no sea alterado)</t>
  </si>
  <si>
    <t>A corte de 31 de octubre de 2021 el grupo (Seguimiento) de Agroquímicos y Proyectos Especiales ha realizado 128 conceptos técnicos, para un total de 1382 conceptos técnicos acumulados en el año 2021 de 1584 programados como meta.</t>
  </si>
  <si>
    <t>A la fecha se han aprobado 337  conceptos técnicos numerados que incluyen el componente de compensación e inversión del 1% en etapa de seguimiento sobre unTotal de 351  conceptos técnicos revisados por profesionales del equipo de compensación e inversión del 1% en etapa de seguimiento</t>
  </si>
  <si>
    <t>Se han numerado a la fecha 440 conceptos técnicos de seguimiento numerados con participación del equipo de contingencias, sobre 478 conceptos técnicos de seguimiento asignados al equipo</t>
  </si>
  <si>
    <t>Al mes de Noviembre de 2021 se emitieron  2459 actos administrativos, de los cuales 2424 son vigencia 2021 y 35 son rezagos 2020</t>
  </si>
  <si>
    <t>Para período comprendido entre el 01 y el 30 de Noviembre se reportan 14 oralidades y 8 autos para un total acumulado de 169 A.A. incluyendo los 9 rezagos.</t>
  </si>
  <si>
    <t xml:space="preserve">
A corte 30 de noviembre de 2021 se han expedido 322 actos administrativos, los cuales 315 corresponden a vigencia actual y 7 a rezagos vigencia 2020.</t>
  </si>
  <si>
    <t>La región MMCC para el mes de noviembre realizo 34 actos administrativos (14 actas, 16 autos y 4 resoluciones) para un acumulado de 227 actos administrativos (130 actas, 67 autos y 30 resoluciones) con una meta establecida de 298 actos administrativos.</t>
  </si>
  <si>
    <t>A corte 30 de noviembre del 2021, la Región Orinoquia Amazonas, expidió 271 actos administrativos que acogen el seguimiento a proyectos licenciados, de los cuales 18 actos administrativos corresponden a rezagos vigencia 2020 y 253 actos administrativos corresponden a vigencia actual.</t>
  </si>
  <si>
    <t>A corte de 30 de noviembre de 2021 el grupo (Seguimiento) de Agroquímicos y Proyectos Especiales ha expedido 135 actos administrativos, para un total de 1470 actos administrativo-acumulados en el año 2021 de 1584 programados como meta.</t>
  </si>
  <si>
    <t>A la fecha se han finalizado 1056  proyectos licenciados objeto de seguimiento con IDA aplicado</t>
  </si>
  <si>
    <t>A la fecha se han finalizado 1056  proyectos licenciados objeto de seguimiento con Seguimiento Documental Espacial</t>
  </si>
  <si>
    <t>A la fecha se han analizado 3308 informes de cumplimiento ambiental verificados preliminarmente, frente a los 3353  informes de cumplimiento ambiental radicados por los titulares de los proyectos, para una gestión del 99%</t>
  </si>
  <si>
    <t>A la fecha se han avalado 8161,66  hectaréas aprobadas para desarrollar acciones de conservación, preservación y restauración con cargo al 1% y la compensación ambiental en las áreas habilitadas por la estrategia para Compensación y 1%</t>
  </si>
  <si>
    <t>A la fecha se han numerado 226 conceptos técnicos de seguimiento numerados, con participación del equipo de valoración económica sobre 226 conceptos técnicos de seguimiento asignados al equipo de valoración económica. 
Se hace ajustes de la fecha del LAM4031</t>
  </si>
  <si>
    <t xml:space="preserve">A la fecha se han emitido 23  actos administrativos que acogen el seguimiento realizado a los expedientes priorizados de contingencias operacionales recurrentes. Se han numerado 25 Conceptos tecnicos </t>
  </si>
  <si>
    <t xml:space="preserve">
Se incluye el acumulado del año con corte 30 de Noviembre  de 2021 de visitas guiadas y presenciales.</t>
  </si>
  <si>
    <t>Al mes de Noviembre 2021, se realizaron 2516 conceptos técnicos, los cuales fueron  1764 documentales y 752 con visita.</t>
  </si>
  <si>
    <t>Durante el mes de Novimbre de 2021 se tuvo un avance del 62,29% en las oralidades, dado que de los 989 actos administrativos generados por los grupos Alto Magdalena-Cauca, Caribe - Pacifico, Magdalena Medio - Cauca – Catatumbo y Orinoquia – Amazonas, 616 fueron por Oralidad.
 (dado que la meta es del 54% se coloca el máximo de la meta, para que el promedio del grupo no sea alterado)</t>
  </si>
  <si>
    <t>Al mes de Noviembre de 2021, se realizó seguimiento a 852 expedientes en la vigencia 2021 de los grupos Alto Magdalena-Cauca, Caribe - Pacifico, Magdalena Medio - Cauca – Catatumbo y Orinoquia – Amazonas, de los 1358 expedientes activos objeto de seguimiento objeto de seguimiento en etapa de construcción, operación y desmantelamiento y/o abandono.</t>
  </si>
  <si>
    <t>Con corte 30 Noviembre se realizó seguimiento a 88 proyectos en construcción  de los 128 identificados  con  corte 30 de agosto como lo nombra la formula , de cuales 119 continuan en estapa de construccion y  9 cambiraon de etapa , para el numerdor se toman en cuenta  88 que cuentan con AA en etapa de construccion  y para el denominador se restan 9  dando un resultado de 88/119 = 73,95%.</t>
  </si>
  <si>
    <t>Para el presente período se reporta un acumulado de 156 visitas, 6 guiadas y 12 presenciales, para un acumulado de 110 presenciales y 46 guiadas</t>
  </si>
  <si>
    <t>Para el presente período se reporta un acumulado de 131 conceptos técnicos con visita, de los cuales 16 corresponden al mes de noviembre</t>
  </si>
  <si>
    <t>Para el presente período se reporta un acumulado de 64 conceptos técnicos documentales,  de los cuales 10 corresponden al mes de noviembre
 (dado que la meta es 62 se coloca el máximo de la meta, para que el promedio del grupo no sea alterado)</t>
  </si>
  <si>
    <t>El avance corresponde al cálculo del total de acumulado de oralidades 102 sobre el total de actos administrativos 169
102/169=0,603*100=60.3%
 (dado que la meta es del 54% se coloca el máximo de la meta, para que el promedio del grupo no sea alterado)</t>
  </si>
  <si>
    <t>A corte 30 de noviembre de 2021 la Región realizó 337 visitas de seguimiento entre presencial y guiadas.
De igual manera se indica que se adiciono una visita que no se habia contabilizado en octubre, LAM7774-00 (resaltado en amarillo el BD).</t>
  </si>
  <si>
    <t>A corte 30 de noviembre de 2021 la Región elaboró 280 CT con visita</t>
  </si>
  <si>
    <t xml:space="preserve">
A corte 30 de noviembre de 2021 la Región elaboró 55 CT documental de seguimiento</t>
  </si>
  <si>
    <t xml:space="preserve">A corte del 30 de noviembre de 2021, se tiene un avance de 224 oralidades que corresponden al 70% </t>
  </si>
  <si>
    <t xml:space="preserve">La región MMCC para el mes de noviembre realizo 13 visitas para un acumulado de 218 visitas (104 presenciales y 114 guidas).
 (dado que la meta es 212 se coloca el máximo de la meta, para que el promedio del grupo no sea alterado)
</t>
  </si>
  <si>
    <t>La región MMCC para el mes de noviembre realizo 22 conceptos técnicos con visita para un acumulado de 161 conceptos, con una meta establecida de 212 conceptos técnicos con visita.</t>
  </si>
  <si>
    <t>La región MMCC para el mes de noviembre realizo 8 conceptos técnicos documentales para un acumulado de 74 conceptos, con una meta establecida de los 86 conceptos técnicos documentales.</t>
  </si>
  <si>
    <t>La región MMCC para el mes de noviembre realizo 14 oralidades, para un acumulado de 130 audiencias, con un avance del 57% .
 (dado que la meta es del 54% se coloca el máximo de la meta, para que el promedio del grupo no sea alterado)</t>
  </si>
  <si>
    <t>A corte 30 de noviembre del 2021, la Región Orinoquia Amazonas realizó 222 visitas, de los cuales 117 corresponden a visitas presenciales, y 105 corresponden a visitas Guiadas.</t>
  </si>
  <si>
    <t>A corte 30 de noviembre del 2021, la Región Orinoquia Amazonas, expidió 180 CT con visita, de los cuales 92 corresponden a CT de visitas guiadas y 88 corresponde a CT de visita presencial.</t>
  </si>
  <si>
    <t>A corte 30 de noviembre del 2021, la Región Orinoquia Amazonas, expidió 74 CT documental.</t>
  </si>
  <si>
    <t>A corte 30 de noviembre del 2021, la Región Orinoquia Amazonas tuvo un avance de 59% en actas de oralidad.
 (dado que la meta es del 54% se coloca el máximo de la meta, para que el promedio del grupo no sea alterado)</t>
  </si>
  <si>
    <t>A corte de 30 de Noviembre de 2021 el grupo (Seguimiento) de Agroquímicos y Proyectos Especiales ha realizado 115 conceptos técnicos, para un total de 1497 conceptos técnicos acumulados en el año 2021 de 1584 programados como meta.</t>
  </si>
  <si>
    <t>A la fecha se han finalizado 372 conceptos técnicos numerados que incluyen el componente de compensación e inversión del 1% en etapa de seguimiento sobre 392  conceptos técnicos revisados por profesionales del equipo de compensación e inversión del 1% en etapa de seguimiento</t>
  </si>
  <si>
    <t>A la fecha se han finalizado 510  conceptos técnicos de seguimiento numerados con participación del equipo de contingencias sobre un total de 553  conceptos técnicos de seguimiento asignados al equipo de contingencias en apoyo a las regiones</t>
  </si>
  <si>
    <t xml:space="preserve">
Se incluye el acumulado del año con corte 31 de Diciembre  de 2021 de visitas guiadas y presenciales. 974 Visitas .</t>
  </si>
  <si>
    <t>Al mes de Diciembre 2021, se realizaron 2850 conceptos técnicos, los cuales fueron  1877 documentales y 973 con visita.</t>
  </si>
  <si>
    <t>Durante el mes de Diciembre de 2021 se tuvo un avance del 58% en las oralidades, dado que de los 1307 actos administrativos generados por los grupos Alto Magdalena-Cauca, Caribe - Pacifico, Magdalena Medio - Cauca – Catatumbo y Orinoquia – Amazonas, 755 fueron por Oralidad.
 (dado que la meta es 54% se coloca el máximo de la meta, para que el promedio del grupo no sea alterado)</t>
  </si>
  <si>
    <t xml:space="preserve">Al mes de Diciembre de 2021, se realizó seguimiento a 1080 expedientes en la vigencia 2021 de los grupos Alto Magdalena-Cauca, Caribe - Pacifico, Magdalena Medio - Cauca – Catatumbo y Orinoquia – Amazonas, de los 1358 expedientes activos objeto de seguimiento objeto de seguimiento en etapa de construcción, operación y desmantelamiento y/o abandono.
 (dado que la meta es 77% se coloca el máximo de la meta, para que el promedio del grupo no sea alterado)
</t>
  </si>
  <si>
    <t>Con corte 31 Diciembre se realizó seguimiento a 119 proyectos en construcción  de los 119 identificados  con  corte 30 de agosto como lo nombra la formula , de cuales 119 continuan en estapa de construccion y  9 cambiraon de etapa , para el numerdor se toman en cuenta  119 que cuentan con AA en etapa de construccion  y para el denominador  119/119 = 100%</t>
  </si>
  <si>
    <t>Para el mes de  Diciembre 70 proyectos fueron acogidos por  instrumentos de SIPTA teniendo encuenta los cuatro grupos Orinoquia amazonas, alto magdalena, medio magdalena y caribe pacifico. 
70Instrumentos / CT de los grupos 1264 = 5,53%
 (dado que la meta es 5% se coloca el máximo de la meta, para que el promedio del grupo no sea alterado)</t>
  </si>
  <si>
    <t>Al mes de Diciembre de 2021 se emitieron  2893 actos administrativos, de los cuales 2858 son vigencia 2021 y 35 son rezagos 2020.</t>
  </si>
  <si>
    <t>Para el reporte del mes de diciembre  se tiene un total acumulado de 249 actos administrativos,
así: Acumulado a noviembre 169 + Reportado en diciembre = 80 (se incluyen 2 actas y 2 resoluciones no reportadas previamente)</t>
  </si>
  <si>
    <t xml:space="preserve">
se elaboraron 416 actos adminsitrativos, 409 vigencia actual (2021) y 7 vigencia 2020.</t>
  </si>
  <si>
    <t>La región MMCC para el mes de DICIEMBRE realizó 80 actos administrativos (35 actas, 40 autos y 5 resoluciones) para un acumulado de 307 actos administrativos (166 actas, 108 autos y 33 resoluciones) para una meta establecida de 298 actos administrativos. 
Es importante mencionar que en el cierre 2021 los AA no concuerdan con los CT documentales y CT con visita debido a que en algunos proyectos como el LAM6420 se realizaron 7 visitas acogidas en 1 solo CT, en el caso del LAV0040-00-2015 y LAM0520 se realizaron 2 visitas y un solo CT en el caso de los expedientes LAM2510 y LAM0069 se realizaron 1 sola visitas que emitieron doble CT, así como 3 resoluciones sin CT ya que corresponden a perdidas de vigencia y terminaciones de licencia en los expedientes LAM2178, LAM2187 y LAM3640 
 (dado que la meta es 298 se coloca el máximo de la meta, para que el promedio del grupo no sea alterado)</t>
  </si>
  <si>
    <t>A corte 31 de diciembre del 2021, la Región Orinoquia Amazonas, expidió 335 actos administrativos que acogen el seguimiento a proyectos licenciados, de los cuales 18 actos administrativos corresponden a rezagos vigencia 2020 y 317 actos administrativos corresponden a vigencia actual.</t>
  </si>
  <si>
    <t>A corte de 31 de diciembre de 2021 el grupo (Seguimiento) de Agroquímicos y Proyectos Especiales ha expedido 1586 actos administrativos, para un total de 1586 actos administrativo-acumulados en el año 2021 de 1584 programados como meta.</t>
  </si>
  <si>
    <t>A corte del 31 de diciembre se analizaron  1200  proyectos en seguimiento con aplicación de la metodología del Indice de Desempeño Ambiental</t>
  </si>
  <si>
    <t>A corte del 31 de diciembre se analizaron  1200 proyectos licenciados objeto de seguimiento con Seguimiento Documental Espacial</t>
  </si>
  <si>
    <t>A 31 de diciembre se realizó la verificación de 3506 Informes de cumplimiento , sobre 3520  ICA recibidos</t>
  </si>
  <si>
    <t>A 31 de diciembre se aprobaron 8534,89 hectaréas para desarrollar acciones de conservación, preservación y restauración con cargo al 1% y la compensación ambiental en las áreas habilitadas por la estrategia para Compensación y 1%</t>
  </si>
  <si>
    <t>El equipo apoyo 271  conceptos técnicos de seguimiento numerados, con participación del equipo de valoración económica sobre 271  conceptos técnicos  asignados al equipo.</t>
  </si>
  <si>
    <t>Se emitió 26  actos administrativos que acogen el seguimiento realizado a los expedientes priorizados de contingencias operacionales recurrentes</t>
  </si>
  <si>
    <t xml:space="preserve">Para el presente período se reporta un acumulado de 173 visitas (117 visitas presenciales y 56 guiadas), de las cuales para el mes de diciembre se reportan un total de 17 visitas (15 de diciembre: 10 guiadas y 5 presenciales e igualmente se incluyen 2 visitas presenciales no reportadas previamente (lLAM0579 y LAV0057-13). </t>
  </si>
  <si>
    <t>Para el presente período se reporta un acumulado de 173 conceptos técnicos con visita, de los cuales 42 corresponden al mes de diciembre de 2021.</t>
  </si>
  <si>
    <t>Para el presente período se reporta un acumulado de 68 conceptos técnicos documentales de los cuales 6 corresponden a diciembre.
 (dado que la meta es 62 se coloca el máximo de la meta, para que el promedio del grupo no sea alterado)</t>
  </si>
  <si>
    <t>El avance corresponde al cálculo del total de acumulado de oralidades 132 (131 vigencia actual y 1 de rezago) sobre el total de actos administrativos de seguimiento (autos y actas) 249
132/249=0,53*100=53%</t>
  </si>
  <si>
    <t>Para el calculo del % de instrumentos implementados se tiene que de los 241 conceptos de seguimiento realizados con y sin visita, en 16 de ellos fueron aplicados instrumentos de sipta tales como estandarización de impactos, obligaciones mínimas, indicadores y en dos expediente fue implementado el nuevo formato de concepto técnico de seguimiento:
%= 16/241 = 0.0664 * 100 = 6.64
 (dado que la meta es del 5% se coloca el máximo de la meta, para que el promedio del grupo no sea alterado)
 (REPORTE TRIMESTRAL)</t>
  </si>
  <si>
    <t>A corte 31 de diciembre de 2021 la Región realizó 350 visitas de seguimiento entre presencial y guiadas.</t>
  </si>
  <si>
    <t>se elaboraron 353 conceptos técnicos con visita vigencia 2021</t>
  </si>
  <si>
    <t>A corte 31 de diciembre de 2021 la Región elaboró 56 CT documental de seguimiento   
 (dado que la meta es 55 se coloca el máximo de la meta, para que el promedio del grupo no sea alterado)</t>
  </si>
  <si>
    <t xml:space="preserve">
A corte del 31 de diciembre de 2021 se tiene un avance del 64% (265 actas de 416 seguimientos realizados)
 (dado que la meta es 54% se coloca el máximo de la meta, para que el promedio del grupo no sea alterado)</t>
  </si>
  <si>
    <t xml:space="preserve">
A corte del 31 de diciembre de 2021, se implemento los instrumentos a 21 expedientes los cuales corresponden al 5%.
 (REPORTE TRIMESTRAL)</t>
  </si>
  <si>
    <t xml:space="preserve">La región MMCC para el mes de DICIEMBRE realizo 1 visita para un acumulado de 219 visitas (105 presenciales y 114 guiadas), con una meta establecida de 212 visitas.
 (dado que la meta es 212 se coloca el máximo de la meta, para que el promedio del grupo no sea alterado)
</t>
  </si>
  <si>
    <t>La región MMCC para el mes de DICIEMBRE realizo 48 conceptos técnicos con visita para un acumulado de 213 conceptos, con una meta establecida de 212 conceptos técnicos con visita.
Es importante mencionar que en el cierre 2021 las visitas no corresponden con los CT con visita debido a que en algunos proyectos como el LAM6420 se realizaron 7 visitas acogidas en 1 solo CT, en el caso del LAV0040-00-2015 y LAM0520 se realizaron 2 visitas y un solo CT para los expedientes LAM2510 y LAM0069 se realizaron 1 sola visita que emitieron doble CT.</t>
  </si>
  <si>
    <t>La región MMCC para el mes de DICIEMBRE realizo 17 conceptos técnicos documentales para un acumulado de 92 conceptos, con una meta establecida de 86 conceptos técnicos documentales.
 (dado que la meta es 86 se coloca el máximo de la meta, para que el promedio del grupo no sea alterado)</t>
  </si>
  <si>
    <t xml:space="preserve">La región MMCC para el mes de DICIEMBRE realizó 35 oralidades, para un acumulado de 166 audiencias, con un avance del 54%.
</t>
  </si>
  <si>
    <t xml:space="preserve">La región MMCC para el mes de DICIEMBRE realizo 8 CT con aplicación de herramientas, para un acumulado de 16 alcanzando el 5,2% frente a una meta del 5%.
 IMPACTOS ESTANDARIZADOS - INDICADORES DE EFECTIVIDAD - OBLIGACIONES MINIMAS – DESMANTELAMMIENTO Y ABANDONO.
 (dado que la meta es 5%  se coloca el máximo de la meta, para que el promedio del grupo no sea alterado)
 (REPORTE TRIMESTRAL)
</t>
  </si>
  <si>
    <t>A corte 31 de diciembre 30 del 2021, la Región Orinoquia Amazonas realizó 232 visitas, de los cuales 117 corresponden a visitas presenciales, y 115 corresponden a visitas Guiadas.</t>
  </si>
  <si>
    <t>A corte 31 de diciembre de 2021, la Región Orinoquia Amazonas, expidió 234 CT con visita, de los cuales 115 corresponden a CT de visitas guiadas y 119 corresponde a CT de visita presencial.</t>
  </si>
  <si>
    <t>A corte 31 de diciembre 2021, la Región Orinoquia Amazonas, expidió 75 CT documental.</t>
  </si>
  <si>
    <t>A corte 31 de diciembre del 2021, la Región Orinoquia Amazonas tuvo un avance de 57% en actas de oralidad.
192/335=57%
 (dado que la meta es 54% se coloca el máximo de la meta, para que el promedio del grupo no sea alterado)</t>
  </si>
  <si>
    <t xml:space="preserve">
Para este Cuarto trimestre el Grupo de Orinoquia Amazonas tuvo un avance del 5.50% en el instrumento de la SIPTA
 (dado que la meta es 5% se coloca el máximo de la meta, para que el promedio del grupo no sea alterado)
 (REPORTE TRIMESTRAL)</t>
  </si>
  <si>
    <t>A corte de 31 de diciembre de 2021 el grupo (Seguimiento) de Agroquímicos y Proyectos Especiales ha realizado 1586 conceptos técnicos, para un total de 1586 conceptos técnicos acumulados en el año 2021 de 1584 programados como meta.</t>
  </si>
  <si>
    <t>a 31 de diciembre se adelantarón 438  conceptos técnicos numerados que incluyen el componente de compensación e inversión del 1% en etapa de seguimiento sobre un Total de 438  conceptos técnicos revisados por profesionales del equipo de compensación e inversión del 1% en etapa de seguimiento) * 100</t>
  </si>
  <si>
    <t>Se emitió 632  conceptos técnicos de seguimiento numerados con participación del equipo de contingencias sobre 632  conceptos técnicos de seguimiento asignados al equipo de contingencias * 100</t>
  </si>
  <si>
    <t>DICIEMBRE MAX. 100%</t>
  </si>
  <si>
    <t>PROMEDIO SMPCA</t>
  </si>
  <si>
    <t>Se emitieron 44 actos administrativos para el mes de octubre vigencia 2021, distribuidos en los tres indicadores de la siguiente manera: Indicador 1, se emitieron 6 actos administrativos acogiendo CT de inicio, indicador 2, se emitieron 5 decisiones de fondo y para el indicador 3 se emitieron 33 actos administrativos de gestión entre las etapas del proceso sancionatorio.
E1_SANCIONATORIO_ACTOS ADMINISTRATIVOS FIRMADOS_OCTUBRE_2021
NOTA:  Se identificó una variación en el reporte PAI del mes de julio 2021 específicamente en el indicador de gestión No. 1, pasando de 5 a 4 autos de inicio, lo que conlleva al ajuste en el indicador de producto, disminuyendo el total de actuaciones para ese mes de 67 a 66.  El cambio se originó, considerando que la primera semana de agosto se solicitó la anulación del Auto de inicio No. Auto 5852 del 30-07-2021 (SAN0080-00-2021). Por lo anterior, se realiza el ajuste en el reporte del mes de octubre en el total de actos administrativos expedidos en procesos sancionatorios ambientales.</t>
  </si>
  <si>
    <t>Se emitieron 102 actos administrativos para el mes de noviembre vigencia 2021, distribuidos en los tres indicadores de la siguiente manera: Indicador 1, se emitieron 13 actos administrativos acogiendo CT de inicio, indicador 2, se emitieron 9 decisiones de fondo y para el indicador 3 se emitieron80 actos administrativos de gestión entre las etapas del proceso sancionatorio.
E1_SANCIONATORIO_ACTOS ADMINISTRATIVOS FIRMADOS_NOVIEMBRE_2021</t>
  </si>
  <si>
    <t>Se emitieron 80 actos administrativos para el mes de diciembre vigencia 2021, distribuidos en los tres indicadores de la siguiente manera: Indicador 1, se emitieron 20 actos administrativos acogiendo CT de inicio, indicador 2, se emitieron 12 decisiones de fondo y para el indicador 3 se emitieron 48 actos administrativos de gestión entre las etapas del proceso sancionatorio.
E1_SANCIONATORIO_ACTOS ADMINISTRATIVOS FIRMADOS_DICIEMBRE_2021</t>
  </si>
  <si>
    <t>Para el primer indicador se emitieron 4 autos de apertura de investigación, 1 auto que avoca conocimento por competencia y 1 auto de indagación preliminar.
E1_SANCIONATORIO_INDICADOR 1_OCTUBRE_2021
NOTA:  Se identificó una variación en el reporte PAI del mes de julio 2021 pasando de 5 a 4 autos de inicio. El cambio se originó, considerando que la primera semana de agosto se solicitó la anulación del Auto de inicio No. Auto 5852 del 30-07-2021 (SAN0080-00-2021). Por lo anterior, se realiza el ajuste en el reporte del mes de octubre en el total de actos administrativos que acogen conceptos técnicos de inicio.</t>
  </si>
  <si>
    <t>Para el primer indicador se emitieron 12 autos de apertura de investigación, 1 auto que avoca conocimento por competencia 
E1_SANCIONATORIO_INDICADOR 1_NOVIEMBRE_2021</t>
  </si>
  <si>
    <t>Para el primer indicador se emitieron 20 autos de apertura de investigación.
E1_SANCIONATORIO_INDICADOR 1_DICIEMBRE_2021</t>
  </si>
  <si>
    <t>Para el segundo indicador se emitieron 2 resoluciones de cesación, 2 resoluciones que imponen sanción y 1 resolución que declara la caducidad.
E1_SANCIONATORIO_INDICADOR 2_OCTUBRE_2021</t>
  </si>
  <si>
    <t>Para el segundo indicador se emitieron 1 resoluciones de exoneración, 4 resoluciones que imponen sanción, 3 Resoluciones de cesación y 1 resolución que declara la caducidad.
E1_SANCIONATORIO_INDICADOR 2_NOVIEMBRE_2021</t>
  </si>
  <si>
    <t>Para el segundo indicador se emitieron  5 resoluciones que imponen sanción, 4 Resoluciones de cesación, 2 resolución que declara la caducidad y 1 resolución que resuelve recurso de reposición.
E1_SANCIONATORIO_INDICADOR 2_DICIEMBRE_2021</t>
  </si>
  <si>
    <t>Para el tercer indicador se emitieron 33 autos así: 8 autos que ordenan diligencia dentro de investigación, 8 autos que decreta, rechaza o niega pruebas, 6 autos de formulación de cargos, 3 auto que reconoce tercer interviniente, 2 autos de archivo de proceso sancionatorio, 2 auto de aclaración, 1 auto que rechaza recurso, 1 auto de acumulación, 1 resolución que niega levantamiento medida preventiva y 1 auto de revocatoria.
E1_SANCIONATORIO_INDICADOR 3_OCTUBRE_2021</t>
  </si>
  <si>
    <t>Para el tercer indicador se emitieron 2 autos de aclaración, 1 auto de acumulación,  12 autos de archivo de proceso, 15 autos de cargos, 25 auto diligencias, 20 autos de pruebas, 1 auto que resuelve Recurso de Reposición, 1 auto que resuelve revocatoria, 2 auto que vincula persona,  1 resolución niega Medida Preventiva
E1_SANCIONATORIO_INDICADOR 3_NOVIEMBRE_2021</t>
  </si>
  <si>
    <t>Para el tercer indicador se emitieron 4 autos de aclaración, 1 auto de acumulación,  1 autos de archivo de proceso, 5 autos de cargos, 14  auto diligencias, 17  autos de pruebas, 1 resolución que levanta MP, 1 resolución que levanta parcialmente MP,  4 resolución niega MP.
E1_SANCIONATORIO_INDICADOR 3_DICIEMBRE_2021</t>
  </si>
  <si>
    <t>Durante el mes de octubre, el Grupo de Actuaciones Sancionatorias Ambientales recibió 16 solicitudes de apoyo para responder dentro de este período realizadas por parte de otros grupos o dependencias de la ANLA, así:
3 Solicitudes realizadas por parte del Grupo de Defensa Jurídica.
1 Solicitud de la Oficia Asesora Jurídica.
4 Solicitudes realizadas por la Subdirección de Mecanismos de Participación Ciudadana Ambiental.
5  Solicitudes del Grupo RASP.
3 Subdirección de Seguimiento de Licencias Ambientales. 
E2_IDENTIFICACIÓN DE SOLICITUDES DE APOYO OCTUBRE_2021</t>
  </si>
  <si>
    <t>Durante el mes de noviembre, el Grupo de Actuaciones Sancionatorias Ambientales recibió 18 solicitudes de apoyo para responder dentro de este período realizadas por parte de otros grupos o dependencias de la ANLA, así:
6 Solicitudes realizadas por parte del Grupo de Defensa Jurídica.
3  Solicitudes de la Oficia Asesora Jurídica.
1 Solicitudes realizadas por la Subdirección de Mecanismos de Participación Ciudadana Ambiental.
3  Solicitudes del Grupo RASP.
4 solicitudes dde laSubdirección de Seguimiento de Licencias Ambientales. 
1 Solicitud de instrumentos y tramites ambientales
En total se han recibido 195 solicitudes de las cuales se han atendido 195 en términos.
E2_IDENTIFICACIÓN DE SOLICITUDES DE APOYO NOVIEMBRE_2021</t>
  </si>
  <si>
    <t>Durante el mes de diciembre, el Grupo de Actuaciones Sancionatorias Ambientales recibió 7 solicitudes de apoyo para responder dentro de este período realizadas por parte de otros grupos o dependencias de la ANLA, así:
2 Solicitudes realizadas por parte del Grupo de Defensa Jurídica.
3  Solicitudes del Grupo RASP.
1 Subdirección de seguimiento - Grupo Valoracion y Manejo de Impactos ambientales 
1 Subdirección de Seguimiento - Grupo Caribe Pacífico
E2_IDENTIFICACIÓN DE SOLICITUDES DE APOYO DICIEMBRE_2021</t>
  </si>
  <si>
    <t xml:space="preserve"> 
En Octubre el Grupo de Gestión Administrativa y Financiera reportó al Grupo de Cobro Coactivo el recaudo de $124,781,824, correspondientes al pago total o parcial de obligaciones. 
E1_Cuadro de seguimiento Cobro Coactivo Octubre_2021
E2_COACTIVO_Recaudo Octubre_2021
E1_Cuadro de seguimiento Cobro Coactivo Noviembre_2021
E2_COACTIVO_Recaudo Noviembre_2021
E1_Cuadro de seguimiento Cobro Coactivo Julio_2021
E2_COACTIVO_Recaudo Julio_2021</t>
  </si>
  <si>
    <t>En Noviembre el Grupo de Gestión Administrativa y Financiera reportó al Grupo de Cobro Coactivo el recaudo de $468.790.879, correspondientes al pago total o parcial de obligaciones. 
E1_Cuadro de seguimiento Cobro Coactivo Noviembre_2021
E2_COACTIVO_Recaudo Noviembre_2021
E1_Cuadro de seguimiento Cobro Coactivo Agosto_2021
E2_COACTIVO_Recaudo Agosto_2021</t>
  </si>
  <si>
    <t>En Diciembre el Grupo de Gestión Administrativa y Financiera reportó al Grupo de Cobro Coactivo el recaudo de $1.771.535.468,50, correspondientes al pago total o parcial de obligaciones. 
La meta establecida de este indicador en la vigencia 2021 es de $9.289.938.957 (que corresponde a la suma de las metas de recaudo del indicador de gestión de cartera coactiva $4.610.593.781 y la de cartera persuasiva $4.679.345.176) logrando un recaudo total de $8.131.735.883 que equivale al 88%.
E1_Cuadro de seguimiento Cobro Coactivo Diciembre_2021
E2_COACTIVO_Recaudo Diciembre_2021
E1_Cuadro de seguimiento Cobro Coactivo Septiembre_2021
E2_COACTIVO_Recaudo Septiembre_2021</t>
  </si>
  <si>
    <t>En Octubre se recaudaron $105,951,394 que corresponden al pago total o parcial de obligaciones en cobro coactivo. Se ordenó la apertura de 100 procesos; cambio de etapa de cartera persuasiva a coactiva por $2.371.502.485; se incrementa la meta de recaudo en coactivo en $474.300.497
E3_COACTIVO_Recaudo Coactivo Octubre_2021</t>
  </si>
  <si>
    <t>En Noviembre se recaudaron $221.561.609 que corresponden al pago total o parcial de obligaciones en cobro coactivo.
Se ordenó la apertura de 1 proceso; cambió de etapa de cartera persuasiva a coactiva por $2.361.000.
E3_COACTIVO_Recaudo Coactivo Noviembre_2021</t>
  </si>
  <si>
    <t>En Diciembre se recaudaron $1.660.460.188,5 que corresponden al pago total o parcial de obligaciones en cobro coactivo. 
Al verificar la información de recaudo registrada en los documentos del GGFyP se evidencia una diferencia con lo reportado por el GCC, de $22.515.960 sin lograr identificar el origen, se convocara mesa de trabajo con el GGFyP para establecer el origen de la diferencia.
Se ordenó la apertura de 14 procesos; cambió de etapa de cartera persuasiva a coactiva por $116.276.090.
La meta establecida en la vigencia 2021 es de $4.610.593.781, logrando un recaudo total de $4.789.506.324, lo que equivale al 104%.
E3_COACTIVO_Recaudo Coactivo Diciembre_2021</t>
  </si>
  <si>
    <t>En Octubre se recaudaron $18.830.430 que corresponden al pago total o parcial de obligaciones en etapa persuasiva de cobro.
Mediante memorando 2021224894-3-000 el Grupo de Gestión Financiera y Presupuestal remitió a la OAJ cartera para cobro coactivo por 4,506,129,079.00: 111 autos de cobro  y 3 resoluciones sancionatorias.
Por solicitud del GGFyP se devolvieron 8 autos con obligaciones por valor de 47.555.115 por lo que la cartera efectivamente remitida asciende a 4.458.573.964
E4_COACTIVO_Recaudo Persuasivo Octubre_2021</t>
  </si>
  <si>
    <t>En Noviembre se recaudaron $247.229.270 que corresponden al pago total o parcial de obligaciones en etapa persuasiva de cobro.
Mediante memorando 2021242227-3-001 se devolvió al  Grupo de Gestión Financiera y Presupuestal el  título del proceso COA0562-00-2021 por $4.151.000. Adicionalmente, se creó proceso COA0599-00-2021 para iniciar proceso de cobro coactivo por valor de $2.277.000, correspondientes a la cartera para cobro coactivo de octubre.
E4_COACTIVO_Recaudo Persuasivo Noviembre_2021</t>
  </si>
  <si>
    <t>En Diciembre se recaudaron $111.075.280 que corresponden al pago total o parcial de obligaciones en etapa persuasiva de cobro.
A través de correo electrónico del 09/08/2021 el  Grupo de Gestión Financiera y Presupuestal solicitó la devolución del  título del proceso COA0414-00-2021 por $22.966.000, por lo tanto disminuye la meta del persusivo del 50% del valor de la obligación que corresponde a $11.483.000
La meta establecida en la vigencia 2021 es de $4.679.345.176, logrando un recaudo total de $3.342.229.559, lo que equivale al 71%.
E4_COACTIVO_Recaudo Persuasivo Diciembre_2021</t>
  </si>
  <si>
    <t xml:space="preserve">Se adelantaron las acciones pertinentes con el Ministerio de Ambiente y Desarrollo Sostenible sobre la propuesta de reforma al artículo 2.2.2.3.2 del Decreto 1076 de 2015, Numeral 16 y propuesta de un nuevo numeral 17. 
E1_Radicado ANLA 2021266725 07.12.2021
E2_Proyecto de Reforma con ajustes solicitados </t>
  </si>
  <si>
    <t>En el mes de octubre, el grupo de Conceptos Jurídicos atendió 53 solicitudes entre las que destacamos: Proyecto de instrucción jurídica cronograma art. 321 ajustado, DAA línea interconexión Colombia panamá, Obligaciones mínimas Offshore para proyectos eólicos, Consulta eventual antinomia entre los Artículos 2.2.2.3.7.1 núm. 6 y 2.2.2.3.9.1 núm. 8 del Decreto 1076 de 2015 y su ocurrencia en un proyecto a cargo del Grupo Alto Magdalena Cauca, Proyecto resolución transferencia VITAL, Revocatoria directa WWF. 
En total se han recibido 319 solicitudes internas de las cuales se han atendido 308 en términos.
E1_BASE DE ASIGNACIÓN DE TAREAS OCTUBRE 2021</t>
  </si>
  <si>
    <t>En el mes de noviembre de 2021 el grupo de conceptos jurídicos atendió 46 de las 46 solicitudes que ingresaron al grupo en el presente periodo, en las que destacamos: 2021182833-3-00 Comunicación de Responsabilidades en el Sistema de Gestión de Seguridad y Salud en el Trabajo; 2021186803-3-000 alcance del artículo 27 de la Ley 1333 de 2009, sobre el plazo para decidir sobre la determinación de la responsabilidad del presunto infractor; 2021224348-3-000 expedición de los tdr específicos aplica el CPACA; Consulta Test de Proporcionalidad en la Consulta Previa; Oficio Ministerio Solicitud definición de competencia respecto al Plan de Compensación Forestal – Forestal Resolución 1465 del 20 de agosto de 2008; concepto recurso apelación autos de cobro.
En total se han recibido 365 solicitudes internas de las cuales se han atendido 354 en términos.
E1_BASE DE ASIGNACIÓN DE TAREAS NOVIEMBRE 2021</t>
  </si>
  <si>
    <t>En el mes de diciembre, el grupo de Conceptos Jurídicos recibió 32 solicitudes, las cuales se atendieron todas en  su debida oportunidad, entre estas actividades destacamos: la términos de referencia para la elaboración del EIA, proyectos de conducción de fluidos por ductos en el sector de hidrocarburos; guía de orientación para los usuarios que solicitan el Permiso Marco de Recolección de especímenes de la diversidad biológica con fines de investigación científica no comercial- INDIVIDUAL – RCI; Actualización y ajuste de instrumentos de Manejo y Control - (Depuración de Licencias; documento de Estandarización y jerarquización de impactos.
En total se han recibido 397 solicitudes internas de las cuales se han atendido 386 en términos. 
E1_BASE DE ASIGNACIÓN DE TAREAS DICIEMBRE 2021</t>
  </si>
  <si>
    <t>Grupo de Energía, Presas, Represas, Trasvases y Embalses</t>
  </si>
  <si>
    <t>Solicitudes de evaluación a licencias ambientales (nuevas y modificaciones) resueltas dentro de los tiempos establecidos en la normatividad vigente</t>
  </si>
  <si>
    <t>(# de actos administrativos finalizados que resuelven solicitudes de evaluación a licencias ambientales dentro de téminos del decreto 1076 /# de solicitudes de licenciamiento ambiental a atender con vencimiento de términos) * 100</t>
  </si>
  <si>
    <t>A corte del 31 de enero se resolvio el 100% de Se remite Solicitudes de evaluación a licencias ambientales (nuevas y modificaciones) resueltas dentro de los tiempos establecidos en la normatividad vigente.</t>
  </si>
  <si>
    <t>A corte del 28 de febrero se evaluación 3 licencias ambientales (nuevas y modificaciones) resueltas dentro de los tiempos establecidos en la normatividad vigente.</t>
  </si>
  <si>
    <t>A corte del 31 de marzo se han realizado cuatro (4) solicitudes de evaluación a licencias ambientales (nuevas y modificaciones) resueltas dentro de los tiempos establecidos en la normatividad vigente.</t>
  </si>
  <si>
    <t>A corte del 30 de abril se han realizado cinco (5) solicitudes de evaluación a licencias ambientales (nuevas y modificaciones) resueltas dentro de los tiempos establecidos en la normatividad vigente.</t>
  </si>
  <si>
    <t>A corte 31 de mayo de  2021 el sector debía resolver 5 solicitudes de licenciamiento ambiental;  (3) Nuevas, (2) Modificaciones,  las cuales se resolvieron oportunamente. El indicador registra un 100% de avance y 109% de cumplimiento frente a la meta programada en la vigencia.</t>
  </si>
  <si>
    <t>A corte 30 de junio de  2021 el sector debía resolver 7 solicitudes de licenciamiento ambiental;  (4) Nuevas, (3) Modificaciones,  las cuales se resolvieron oportunamente.</t>
  </si>
  <si>
    <t>A corte 31 de julio de  2021 el sector debía resolver 8 solicitudes de licenciamiento ambiental;  (5) Nuevas, (3) Modificaciones y  las cuales se resolvieron oportunamente. El indicador registra un 100% de avance y 109% de cumplimiento frente a la meta programada en la vigencia.</t>
  </si>
  <si>
    <t xml:space="preserve">A corte 31de agosto de  2021 el sector debía resolver 11 solicitudes de licenciamiento ambiental; (7) Nuevas, y (4) Modificaciones, las cuales se resolvieron oportunamente. El indicador registra un 100% de avance y 109% de cumplimiento frente a la meta programda en la vigencia. </t>
  </si>
  <si>
    <t>A corte  30 de septiembre de  2021 el sector debía resolver 16 solicitudes de licenciamiento ambiental; (10) Nuevas, y (6) Modificaciones, las cuales se resolvieron oportunamente. El indicador registra un 100% de avance y 109% de cumplimiento frente a la meta programda en la vigencia. </t>
  </si>
  <si>
    <t xml:space="preserve">A corte  31 de octubre de  2021 el sector debía resolver 17 solicitudes de licenciamiento ambiental; (10) Nuevas, y (7) Modificaciones, las cuales se resolvieron oportunamente. El indicador registra un 100% de avance y 109% de cumplimiento frente a la meta programda en la vigencia. </t>
  </si>
  <si>
    <t xml:space="preserve">A corte 30 de noviembre de 2021 el sector debía resolver 20 solicitudes de licenciamiento ambiental; (13) Nuevas, y (7) Modificaciones, las cuales se resolvieron oportunamente. El indicador registra un 100% de avance y 109% de cumplimiento frente a la meta programda en la vigencia. </t>
  </si>
  <si>
    <t xml:space="preserve">A corte 31 de diciembre de 2021 el sector debía resolver 24 solicitudes de evaluación de licenciamiento ambiental; (16) Nuevas y (8) Modificaciones, las cuales se resolvieron oportunamente. El indicador registró un 100% de avance y 109% de cumplimiento frente a la meta programda en la vigencia. </t>
  </si>
  <si>
    <t>Porcentaje de visitas a solicitudes de evaluación (nuevas y modificaciones)efectuadas dentro de los tiempos establecidos en la normatividad vigente.</t>
  </si>
  <si>
    <t>(# de visitas de evaluación realizadas dentro de téminos del decreto 1076 /# de expedientes de evaluación que requieran visita con vencimiento de términos de la etapa) * 100</t>
  </si>
  <si>
    <t>A corte del 31 de enero se han realizado el 100 % de visitas a solicitudes de evaluación (nuevas y modificaciones)efectuadas dentro de los tiempos establecidos en la normatividad vigente.</t>
  </si>
  <si>
    <t xml:space="preserve">A corte del 28 de febrero se han realizao 3  visitas a solicitudes de evaluación (nuevas y modificaciones) efectuadas dentro de los tiempos establecidos en la normatividad vigente.
</t>
  </si>
  <si>
    <t>A corte del 31 de marzo se han realizado cinco (5) visitas lo que corresponde al 100% de solicitudes de licenciamiento ambiental a atender dentro de términos del decreto 1076.</t>
  </si>
  <si>
    <t>A corte del 30 de abril se han realizado nueve (9) visitas lo que corresponde al 100% de solicitudes de licenciamiento ambiental a atender dentro de términos del decreto 1076</t>
  </si>
  <si>
    <t>A corte 31 de mayo de 2021 el sector debía realizar once (11) visitas a solicitudes de licenciamiento ambiental (nuevas y modificaciones), las cuales se realizaron oportunamente. </t>
  </si>
  <si>
    <t>A corte 30 de junio de 2021 el sector debía realizar 16 visitas técnicas, las cuales se realizaron oportunamente</t>
  </si>
  <si>
    <t>A corte 31 de julio de 2021 el sector debía realizar 17 visitas técnicas, las cuales se realizaron oportunamente. El indicador registra un 100% de avance y 109% de cumplimiento frente a la meta programada en la vigencia.</t>
  </si>
  <si>
    <t>A corte 31 de agosto de  2021  el sector debía realizar 19 visitas técnicas, las cuales se realizaron oportunamente. El indicador registra un 100% de avance y 109% de cumplimiento frente a la meta programada en la vigencia.</t>
  </si>
  <si>
    <t>A corte  30 de septiembre de  2021  el sector debia realizar 22 visitas técnicas, las cuales se realizaron oportunamente. El indicador registra un 100% de avance y 109% de cumplimiento frente a la meta programda en la vigencia.</t>
  </si>
  <si>
    <t>A corte  31 de octubre de  2021  el sector debia realizar 24 visitas técnicas, las cuales se realizaron oportunamente. El indicador registra un 100% de avance y 109% de cumplimiento frente a la meta programda en la vigencia.</t>
  </si>
  <si>
    <t>A corte 30 de noviembre de 2021  el sector debia realizar 26 visitas técnicas, las cuales se realizaron oportunamente. El indicador registra un 100% de avance y 109% de cumplimiento frente a la meta programda en la vigencia.</t>
  </si>
  <si>
    <t>A corte 31 de diciembre de 2021  el sector debia realizar 28 visitas técnicas, las cuales se realizaron oportunamente. El indicador registró un 100% de avance y 109% de cumplimiento frente a la meta programda en la vigencia.</t>
  </si>
  <si>
    <t>Porcentaje de Conceptos Técnicos finalizados a solicitudes de evaluación (nuevas y modificaciones) dentro de los tiempos establecidos internamente</t>
  </si>
  <si>
    <t>(# de conceptos técnicos de evaluación finalizados dentro de téminos internos / # de expedientes de evaluación con vencimiento de términos de la etapa de finalización del concepto técnico) * 100</t>
  </si>
  <si>
    <t>A corte del 31 de enero el sector de energia no tenia conceptos tecnicos con vencimiento de terminos.</t>
  </si>
  <si>
    <t>A corte del 28 de febrero se genero 1 concepto técnico finalizado fuera de los terminos.</t>
  </si>
  <si>
    <t>A corte de 31 de marzo no se finalizaron conceptos técnicos (CT) dentro de términos internos, de los dos (2) CT generados.</t>
  </si>
  <si>
    <t>A corte de 30 de abril no se han finalizado conceptos técnicos dentro de los términos internos, de tres (3) conceptos técnicos aprobados</t>
  </si>
  <si>
    <t>A corte 31 de mayo de  2021  el sector debía elaborar 4 conceptos técnicos, de los cuales uno (1)  se finalizó oportunamente. El indicador registra un 25% de avance y 27% de cumplimiento frente a la meta programada en la vigencia.</t>
  </si>
  <si>
    <t>A corte 30 de mayo de 2021 el sector debía elaborar 4 conceptos técnicos, de los cuales uno (1) se finalizó oportunamente</t>
  </si>
  <si>
    <t>A corte 31 de julio de 2021 el sector debía elaborar 8 conceptos técnicos, de los cuales dos (2) se realizaron oportunamente. El indicador registra un 25% de avance y 27% de cumplimiento frente a la meta programada en la vigencia.</t>
  </si>
  <si>
    <t>A corte 31 de agosto de  2021  el sector debía elaborar 12 conceptos técnicos de los cuales 4 se finalizaron de manera oportuna.  El indicador registra un 33% de avance y 36% de cumplimiento frente a la meta programada en la vigencia.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</si>
  <si>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30 de septiembre de  2021 el sector debia elaborar 15 conceptos tecnicos de los cuales 4 se finalizaron de manera oportuna.  El indicador registra un 27% de avance y 29% de cumplimiento frente a la meta programada en la vigencia.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</si>
  <si>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31 de octubre de  2021 el sector debia elaborar 17 conceptos tecnicos de los cuales 4 se finalizaron de manera oportuna.  El indicador registra un 24% de avance y 26% de cumplimiento frente a la meta programada en la vigencia.</t>
  </si>
  <si>
    <t>A corte  30 de noviembre de 2021 el sector debia elaborar 21 conceptos tecnicos de los cuales 7 se finalizaron de manera oportuna.  El indicador registra un 33% de avance y 36% de cumplimiento frente a la meta programada en la vigencia.</t>
  </si>
  <si>
    <t>A corte  31 de diciembre de 2021 el sector debia elaborar 23 conceptos tecnicos de los cuales 7 se finalizaron de manera oportuna.  El indicador registra un 30% de avance y 33% de cumplimiento frente a la meta programada en la vigencia.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</si>
  <si>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Número de Licencias ambientales evaluadas</t>
  </si>
  <si>
    <t>Número de actos administrativos que resuelven solicitudes de evaluación de licenciamiento ambiental</t>
  </si>
  <si>
    <t>A corte del 31 de enero se han resuelto 3 solicitudes de Licencias ambientales evaluadas.</t>
  </si>
  <si>
    <t>A corte 28 de febrero se generaron 3 Licencias ambientales evaluadas.</t>
  </si>
  <si>
    <t>A corte del 31 de marzo se han generado cuatro (4) actos administrativos que resuelven solicitudes de evaluación de licenciamiento ambiental.</t>
  </si>
  <si>
    <t>A corte del 30 de abril se han generado diecisiete (17) actos administrativos que resuelven solicitudes de evaluación de licenciamiento ambiental</t>
  </si>
  <si>
    <t>A corte 31 de mayo de 2021 se han expedido veinte (20) actos administrativos para resolver las solicitudes de evaluación de licenciamiento ambiental.</t>
  </si>
  <si>
    <t>A corte 30 de junio de 2021 se han expedido 23 actos administrativos para resolver las solicitudes de evaluación de licenciamiento ambiental.</t>
  </si>
  <si>
    <t>A corte 31 de julio de 2021 se han expedido 25 actos administrativos para resolver las solicitudes de evaluación de licenciamiento ambiental. El indicador registra un 56% de avance</t>
  </si>
  <si>
    <t>A corte 31 de agosto de  2021 se han expedido 29 actos administrativos para resolver las solicitudes de evaluación de licenciando ambiental. El indicador registra un avance del 64%.</t>
  </si>
  <si>
    <t>A corte 30 de septiembre de  2021 se han expedido 35 actos administrativos para resolver las solicitudes de evaluación de licenciamiento ambiental. El indicador registra un avance del 78%.</t>
  </si>
  <si>
    <t>A corte 31 de octubre de  2021 se han expedido 38 actos administrativos para resolver las solicitudes de evaluación de licenciamiento ambiental. El indicador registra un avance del 84%.</t>
  </si>
  <si>
    <t>A corte30 de noviembre de 2021 se han expedido 43 actos administrativos para resolver las solicitudes de evaluación de licenciamiento ambiental. El indicador registra un avance del 96%.</t>
  </si>
  <si>
    <t>A corte 31 de diciembre de 2021 se expedieron 48 actos administrativos para resolver las solicitudes de evaluación de licencianto ambiental. El indicador registó un avance del 107% superando la meta programada para la vigencia.</t>
  </si>
  <si>
    <t>Visitas técnicas de evaluación de solicitudes de licenciamiento ambiental</t>
  </si>
  <si>
    <t>Número de visitas técnicas realizadas para el proceso de evaluación de licencias ambientales</t>
  </si>
  <si>
    <t>A corte del 31 de enero se han realizado 1 visita técnica de evaluación de solicitudes de licenciamiento ambiental.</t>
  </si>
  <si>
    <t>A corte del 28 de febrero se realizaron 4 visitas técnicas de evaluación de solicitudes de licenciamiento ambiental.</t>
  </si>
  <si>
    <t>A corte del 31 de marzo se han generado diez (10) visitas técnicas realizadas para el proceso de evaluación de licencias ambientales.</t>
  </si>
  <si>
    <t>A corte del 30 de abril se han generado trece (13) visitas técnicas realizadas para el proceso de evaluación de licencias ambientales</t>
  </si>
  <si>
    <t>A corte 31 de mayo de 2021 el sector finalizó quince (15) visitas para resolver las solicitudes de evaluación de licenciamiento ambiental.</t>
  </si>
  <si>
    <t>A corte 30 de junio de 2021 el sector realizó 19 visitas de licenciamiento ambiental.</t>
  </si>
  <si>
    <t>A corte 31 de julio de 2021 el sector realizó 22 visitas de licenciamiento ambiental.  El indicador registra un 73% de avance</t>
  </si>
  <si>
    <t>A corte 31 de agosto de 2021 el sector realizó 26 visitas de licenciamiento ambiental. El indicador registra un avance del 87%.</t>
  </si>
  <si>
    <t>A corte  30 de septiembre de  2021 el sector realizó 28 visitas de licenciamiento ambiental. El indicador registra un avance del 93%.</t>
  </si>
  <si>
    <t>A corte  31 de octubre de  2021 el sector realizó 30 visitas de licenciamiento ambiental. El indicador registra un avance del 100%.</t>
  </si>
  <si>
    <t>A corte 30 de noviembre de 2021 el sector realizó 32 visitas de licenciamiento ambiental. El indicador registra un avance del 107% superando la meta programda para la vigencia.</t>
  </si>
  <si>
    <t>A corte 31 de diciembre de 2021 el sector realizó 34 visitas de licenciamiento ambiental. El indicador registró un avance del 113% superando la meta programada para la vigencia.</t>
  </si>
  <si>
    <t>Conceptos técnicos emitidos para resolver las solicitudes de evaluación de licenciamiento ambiental</t>
  </si>
  <si>
    <t>Número de conceptos técnicos realizados para resolver las solicitudes de evaluación de licenciamiento ambiental</t>
  </si>
  <si>
    <t>A corte del 31 de enero se tienen 2 conceptos técnicos emitidos para resolver las solicitudes de evaluación de licenciamiento ambiental.</t>
  </si>
  <si>
    <t>A corte del 28 de febrero se han generado 2 conceptos técnicos emitidos para resolver las solicitudes de evaluación de licenciamiento ambiental.</t>
  </si>
  <si>
    <t>A corte del 31 de marzo se han generado tres (3) conceptos técnicos realizados para resolver las solicitudes de evaluación de licenciamiento ambiental.</t>
  </si>
  <si>
    <t>A corte del 30 de abril se han generado dieciseis (16) conceptos técnicos realizados para resolver las solicitudes de evaluación de licenciamiento ambiental</t>
  </si>
  <si>
    <t>A corte 31 de mayo de 2021 el sector finalizó veinte (20) CT para resolver las solicitudes de evaluación de licenciamiento ambiental</t>
  </si>
  <si>
    <t>A corte 30 de junio de 2021 el sector finalizó 22 CT para resolver las solicitudes de evaluación de licenciamiento ambiental.</t>
  </si>
  <si>
    <t>A corte 31 de julio de 2021 el sector finalizó 24 CT para resolver las solicitudes de evaluación de licenciamiento ambiental.  El indicador registra un 69% de avance.</t>
  </si>
  <si>
    <t>A corte 31 de agosto de 2021 el sector finalizó 29 CT para resolver las solicitudes de evaluación de licenciamiento ambiental. El indicador registra un avance del 83%.</t>
  </si>
  <si>
    <t>A corte  30 de septiembre de  2021 el sector finalizó 34 CT para resolver las solicitudes de evaluación de licenciamiento ambiental. El indicador registra un avance del 97%.</t>
  </si>
  <si>
    <t>A corte  31 de octubre de  2021 el sector finalizó 38 CT para resolver las solicitudes de evaluación de licenciamiento ambiental. El indicador registra un avance del 109%.</t>
  </si>
  <si>
    <t>A corte  30 de noviembre de 2021 el sector finalizó 44 CT para resolver las solicitudes de evaluación de licenciamiento ambiental. El indicador registra un avance del 126% superando la meta programda para vigencia.</t>
  </si>
  <si>
    <t>A corte 31 de diciembre de 2021 el sector finalizó 47 CT para resolver las solicitudes de evaluación de licenciamiento ambiental. El indicador registra un avance del 134% superando la meta programada para la vigencia.</t>
  </si>
  <si>
    <t>Porcentaje de conceptos técnicos con instrumentos acogidos en la etapa de evaluación de licenciamiento ambiental</t>
  </si>
  <si>
    <t>Número de conceptos técnicos de evaluación finalizados que implementan los instrumentos acogidos</t>
  </si>
  <si>
    <t>A corte del 31 de enero se realizaron 2  conceptos técnicos con instrumentos acogidos en la etapa de evaluación de licenciamiento ambiental.</t>
  </si>
  <si>
    <t>A corte del 28 de febrero se han generado 2 conceptos técnicos con instrumentos acogidos en la etapa de evaluación de licenciamiento ambiental.</t>
  </si>
  <si>
    <t>A corte del 31 de marzo se han aplicado a un total de tres (3) Conceptos Tecnicos con instrumentos acogidos.</t>
  </si>
  <si>
    <t>A corte 30 de abril de 2021 se registra un total de 5 conceptos técnicos de evaluación finalizados por el sector que implementaron los instrumentos acogidos. El indicador registra un 100% de cumplimiento.</t>
  </si>
  <si>
    <t>A corte 31 de mayo de 2021 el sector ha implementado en 7 conceptos técnicos los instrumentos acogidos en la etapa de evaluación de licenciamiento ambiental.</t>
  </si>
  <si>
    <t>A corte 30 de junio de 2021 el sector finalizó un total de 8 CT con instrumentos acogidos para resolver las solicitudes de evaluación de licenciamiento ambiental.</t>
  </si>
  <si>
    <t>A corte de 31 de julio el grupo de energia lleva ejecutado el 100% de conceptos técnicos con instrumentos acogidos en la etapa de evaluación de licenciamiento ambiental.</t>
  </si>
  <si>
    <t>A corte 31 de agosto de 2021 el Grupo de Energía  finalizó 13 Conceptos técnicos con instrumentos acogidos para resolver las solicitudes de evaluación de licenciamiento ambiental. El indicador registra un avance del 100%.</t>
  </si>
  <si>
    <t>A corte 30 de septiembre de  2021 el Grupo de Energía  finalizó un total de 18 CT con instrumentos acogidos para resolver las solicitudes de evaluación de licenciamiento ambiental. El indicador registra un avance del 100%.</t>
  </si>
  <si>
    <t>A corte  31 de octubre de 2021 el sector reporta 21 Conceptos técnicos con instrumentos acogidos. El indicador registra un avance del 100%.</t>
  </si>
  <si>
    <t>A corte  30 de noviembre de 2021 el sector debia elaborar 26 conceptos tecnicos con instrumentos acogidos en la etapa de evaluación de licenciamiento ambiental.  El indicador registra un 100% de avance de cumplimiento frente a la meta programada en la vigencia.</t>
  </si>
  <si>
    <t>A corte 31 de diciembre de 2021 el grupo de Energía registró un total de 28 conceptos técnicos de evaluación finalizados que implementan los instrumentos acogidos, estos CT corresponden a tramites de Licencia Ambiental (LA), Plan de Manejo Ambiental (PMA) y Diagnostico Ambiental Alternativas (DAA) en los casos que aplique. El indicador registra un 100% de avance frente a la meta programada.</t>
  </si>
  <si>
    <t>Grupo De Hidrocarburos</t>
  </si>
  <si>
    <t>A corte de 31 de enero se resolvieron el 100% de las solicitudes de evaluación a licencias ambientales (nuevas y modificaciones) resueltas dentro de los tiempos establecidos en la normatividad vigente.</t>
  </si>
  <si>
    <t>Se han generado 3 Actos Administrativos como respuesta a las solicitudes de evaluación a licencias ambientales (nuevas y modificaciones) resueltas dentro de los tiempos establecidos en la normatividad vigente.</t>
  </si>
  <si>
    <t>A corte del 31 de marzo se han realizado cinco (5) solicitudes de evaluación a licencias ambientales (nuevas y modificaciones) resueltas dentro de los tiempos establecidos en la normatividad vigente.</t>
  </si>
  <si>
    <t>A corte del 30 de abril se han realizado nueve (9) solicitudes de evaluación a licencias ambientales (nuevas y modificaciones) resueltas dentro de los tiempos establecidos en la normatividad vigente.</t>
  </si>
  <si>
    <t>A corte 31 de mayo de 2021 se han expedido 12 actos administrativos para resolver las solicitudes de evaluación de licenciamiento ambiental (nuevas y modificaciones), las cuales se resolvieron en los tiempos establecidos por la normatividad vigente.</t>
  </si>
  <si>
    <t>A corte 30 de junio de  2021 el sector debía resolver 13 solicitudes de licenciamiento ambiental;  (4) Nuevas, (9) Modificaciones,  las cuales se resolvieron oportunamente. </t>
  </si>
  <si>
    <t>A corte 31 de julio de  2021 el sector debía resolver 14 solicitudes de licenciamiento ambiental;  (4) Nuevas, (10) Modificaciones y  las cuales se resolvieron oportunamente. El indicador registra un 100% de avance y 109% de cumplimiento frente a la meta programada en la vigencia.</t>
  </si>
  <si>
    <t xml:space="preserve">A corte 31de agosto de  2021 el  Grupo de Hidrocarburos  debía resolver 15 solicitudes de licenciamiento ambiental; (4) Nuevas, y  (11) Modificaciones, las cuales se resolvieron oportunamente. El indicador registra un 100% de avance y 109% de cumplimiento frente a la meta programda en la vigencia. </t>
  </si>
  <si>
    <t>A corte 30 de septiembre de  2021 el  Grupo de Hidrocarburos  debía resolver 19 solicitudes de licenciamiento ambiental; (8) Nuevas, y  (11) Modificaciones, las cuales se resolvieron oportunamente. El indicador registra un 100% de avance y 109% de cumplimiento frente a la meta programda en la vigencia.</t>
  </si>
  <si>
    <t xml:space="preserve">A corte 31 de octubre de  2021 el  Grupo de Hidrocarburos debía resolver 20 solicitudes de licenciamiento ambiental; (8) Nuevas, y (12) Modificaciones, las cuales se resolvieron oportunamente. El indicador registra un 100% de avance y 109% de cumplimiento frente a la meta programda en la vigencia. </t>
  </si>
  <si>
    <t xml:space="preserve">A corte 30 de noviembre de 2021 el sector debía resolver 24 solicitudes de licenciamiento ambiental; (11) Nuevas, y (13) Modificaciones, las cuales se resolvieron oportunamente. El indicador registra un 100% de avance y 109% de cumplimiento frente a la meta programda en la vigencia. </t>
  </si>
  <si>
    <t xml:space="preserve">A corte 31 de diciembre de  2021 el  Grupo de Hidrocarburos debía resolver 25 solicitudes de licenciamiento ambiental; (11) Nuevas, y  (14) Modificaciones, las cuales se resolvieron oportunamente. El indicador registró un 100% de avance y 109% de cumplimiento frente a la meta programda en la vigencia. </t>
  </si>
  <si>
    <t>A corte de 31 de enero no tenemos visitas con vencimiento de terminos.</t>
  </si>
  <si>
    <t>Se han realizado 2 visitas a solicitudes de licenciamiento ambiental (nuevas y modificaciones)efectuadas dentro de los tiempos establecidos en la normatividad vigente.</t>
  </si>
  <si>
    <t>A corte del 31 de marzo se han realizado siete (7) visitas lo que corresponde al 100% de solicitudes de licenciamiento ambiental a atender dentro de términos del decreto 1076.</t>
  </si>
  <si>
    <t xml:space="preserve">A corte 31 de mayo de 2021 el sector debía realizar 9 visitas a solicitudes de licenciamiento ambiental (nuevas y modificaciones) , las cuales se realizaron oportunamente. </t>
  </si>
  <si>
    <t>A corte 30 de junio de 2021 el sector debía realizar 11 visitas técnicas, las cuales se realizaron todas oportunamente.</t>
  </si>
  <si>
    <t>A corte 31 de julio de 2021 el sector debía realizar 13 visitas técnicas, las cuales se realizaron oportunamente. El indicador registra un 100% de avance y 109% de cumplimiento frente a la meta programada en la vigencia.</t>
  </si>
  <si>
    <t>A corte 31 de agosto de  2021  el Grupo de Hidrocarburos  debía realizar 16 visitas técnicas, las cuales se realizaron oportunamente. El indicador registra un 100% de avance y 109% de cumplimiento frente a la meta programda en la vigencia.</t>
  </si>
  <si>
    <t>A corte 30 de septiembre de  2021 el Grupo de Hidrocarburos debia realizar 18 visitas técnicas, las cuales se realizaron oportunamente. El indicador registra un 100% de avance y 109% de cumplimiento frente a la meta programada en la vigencia.</t>
  </si>
  <si>
    <t>A corte 31 de octubre de  2021 el Grupo de Hidrocarburos debia realizar 20 visitas técnicas, las cuales se realizaron oportunamente. El indicador registra un 100% de avance y 109% de cumplimiento frente a la meta programada en la vigencia.</t>
  </si>
  <si>
    <t>A corte 30 de noviembre de 2021  el sector debia realizar 24 visitas técnicas, las cuales se realizaron oportunamente. El indicador registra un 100% de avance y 109% de cumplimiento frente a la meta programda en la vigencia.</t>
  </si>
  <si>
    <t>A corte 31 de diciembre de  2021 el Grupo de Hidrocarburos debia realizar 28 visitas técnicas, las cuales se realizaron oportunamente. El indicador registró un 100% de avance y 109% de cumplimiento frente a la meta programada en la vigencia.</t>
  </si>
  <si>
    <t>A corte de 31 de enero se realizaron 2 Conceptos Técnicos finalizados a solicitudes de evaluación (nuevas y modificaciones) fuera de los tiempos establecidos internamente, por lo tanto el reporte es 0.</t>
  </si>
  <si>
    <t>A corte del 28 de febrero se han generado 4 Conceptos Técnicos finalizados fuera de los tiempos establecidos.</t>
  </si>
  <si>
    <t>A corte de 31 de marzo se finalizó un (1) concepto técnico dentro de los términos internos, de ocho (8) conceptos técnicos aprobados .</t>
  </si>
  <si>
    <t xml:space="preserve">A corte de 30 de abril se finalizó un (1) concepto técnico dentro de los términos internos, de once (11) conceptos técnicos aprobados </t>
  </si>
  <si>
    <t>A corte 30 de junio de 2021 el sector debía elaborar 12 conceptos técnicos, de los cuales uno (1) se realizaron oportunamente. El indicador registra un 8% de avance</t>
  </si>
  <si>
    <t>A corte 31 de julio de 2021 el sector debía elaborar 14 conceptos técnicos, de los cuales uno (1) se realizaron oportunamente. El indicador registra un 7% de avance y 8% de cumplimiento frente a la meta programada en la vigencia.</t>
  </si>
  <si>
    <t>A corte 31 de agosto de  2021  el Grupo de Hidrocarburos  debía elaborar 17 conceptos técnicos, de los cuales se finalizaron oportunamente 3.  El indicador registra un 18% de avance y 19% de cumplimiento frente a la meta programada en la vigencia.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</si>
  <si>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30 de Septiembre de  2021  el Grupo de Hidrocarburos  debia elaborar 18 conceptos técnicos, de los cuales 3 se finalizaron oportunamente.  El indicador registra un 17% de avance y 18% de cumplimiento frente a la meta programda en la vigencia.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</si>
  <si>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31 de Octubre de  2021  el Grupo de Hidrocarburos  debia elaborar 20 conceptos tecnicos, de los cuales 4 se finalizaron oportunamente.  El indicador registra un 20% de avance y 22% de cumplimiento frente a la meta programada en la vigencia.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</si>
  <si>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30 de noviembre de 2021 el sector debia elaborar 23 conceptos tecnicos de los cuales 7 se finalizaron de manera oportuna.  El indicador registra un 30% de avance y 33% de cumplimiento frente a la meta programada en la vigencia.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</si>
  <si>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31 de dicembre de  2021  el Grupo de Hidrocarburos debia elaborar 24 conceptos tecnicos, de los cuales 7 se finalizaron oportunamente.  El indicador registró un 29% de avance y 32% de cumplimiento frente a la meta programada en la vigencia.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</si>
  <si>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del 31 de enero se han expedido 2 actos administrativos que resuelven solicitudes de evaluación de licenciamiento ambiental.</t>
  </si>
  <si>
    <t>Se generaron 6 Actos administrativos en respuesta a la evaluación de solicitudes de licenciamiento ambiental.</t>
  </si>
  <si>
    <t>A corte del 31 de marzo se han generado seis (6) actos administrativos que resuelven solicitudes de evaluación de licenciamiento ambiental.</t>
  </si>
  <si>
    <t>A corte del 30 de abril se han generado trece (13) actos administrativos que resuelven solicitudes de evaluación de licenciamiento ambiental.</t>
  </si>
  <si>
    <t>A corte 31 de mayo de 2021 se han expedido 15 actos administrativos para resolver las solicitudes de evaluación de licenciamiento ambiental.</t>
  </si>
  <si>
    <t>A corte 30 de junio de 2021 se han expedido16 actos administrativos para resolver las solicitudes de evaluación de licenciamiento ambiental.</t>
  </si>
  <si>
    <t>A corte 31 de julio de 2021 se han expedido17 actos administrativos para resolver las solicitudes de evaluación de licenciamiento ambiental. El indicador registra un 47% de avance.</t>
  </si>
  <si>
    <t>A corte 31 de agosto de  2021 el Grupo de Hidrocarburos  ha expedido 20 actos administrativos para resolver las solicitudes de evaluación de licenciamiento ambiental. El indicador registra un avance del 56%.</t>
  </si>
  <si>
    <t>A corte 30 de septiembre de  2021 el Grupo de Hidrocarburos  ha expedido 26 actos administrativos para resolver las solicitudes de evaluación de licenciamiento ambiental. El indicador registra un avance del  72%.</t>
  </si>
  <si>
    <t>A corte 31 de octubre de  2021 el Grupo de Hidrocarburos  ha expedido 27 actos administrativos para resolver las solicitudes de evaluación de licenciamiento ambiental. El indicador registra un avance del  75%.</t>
  </si>
  <si>
    <t>A corte30 de noviembre de 2021 se han expedido 31 actos administrativos para resolver las solicitudes de evaluación de licenciamiento ambiental. El indicador registra un avance del 86%.</t>
  </si>
  <si>
    <t>A corte 31 de diciembre de  2021 el Grupo de Hidrocarburos  ha expedido 32 actos administrativos para resolver las solicitudes de evaluación de licenciamiento ambiental. El indicador registró un avance del  89%.</t>
  </si>
  <si>
    <t>A corte del 31 de enero se han realizado 2 visitas tecnicas de evaluación finalizados que implementan los instrumentos acogidos.</t>
  </si>
  <si>
    <t>A corte del 28 de febrero se han realizado 3 visitas técnicas de evaluación de solicitudes de licenciamiento ambiental.</t>
  </si>
  <si>
    <t>A corte del 31 de marzo se han generado ocho (8) visitas técnicas realizadas para el proceso de evaluación de licencias ambientales.</t>
  </si>
  <si>
    <t>A corte del 30 de abril se han generado diez (10) visitas técnicas realizadas para el proceso de evaluación de licencias ambientales</t>
  </si>
  <si>
    <t>A corte 31 de mayo de 2021 el sector finalizó 11 visitas para resolver las solicitudes de evaluación de licenciamiento ambiental.</t>
  </si>
  <si>
    <t>A corte 30 de junio de 2021 el sector realizó 13 visitas de licenciamiento ambiental.  </t>
  </si>
  <si>
    <t>A corte 31 de julio de 2021 el sector realizó 17 visitas de licenciamiento ambiental.  El indicador registra un 59% de avance.</t>
  </si>
  <si>
    <t xml:space="preserve">A corte 31 de agosto de 2021 el Grupo de Hidrocarburos  realizó 19 visitas  técnicas de licenciamiento ambiental.  El indicador registra un 66% de avance. </t>
  </si>
  <si>
    <t>A corte 30 de septiembre de  2021 el Grupo de Hidrocarburos  realizó 21 visitas  técnicas de licenciamiento ambiental.  El indicador resgistra un 72% de avance.</t>
  </si>
  <si>
    <t>A corte 31 de octubre de 2021 el Grupo de Hidrocarburos realizó 23 visitas técnicas de licenciamiento ambietal.  El indicador resgistra un 79% de avance. </t>
  </si>
  <si>
    <t>A corte 30 de noviembre de 2021 el sector realizó 28 visitas de licenciamiento ambiental. El indicador registra un avance del 97% de la meta programda para la vigencia.</t>
  </si>
  <si>
    <t xml:space="preserve">A corte 31 de diciembre de  2021 el Grupo de Hidrocarburos  realizó 33 visitas  técnicas de licenciamiento ambietal.  El indicador resgistró un 114% de avance, superando la meta programada para la vigencia. </t>
  </si>
  <si>
    <t>A corte del 31 de enero se expidio 3 conceptos técnicos de evaluación emitidos.</t>
  </si>
  <si>
    <t>Se han generado 6 conceptos técnicos realizados para resolver las solicitudes de evaluación de licenciamiento ambiental.</t>
  </si>
  <si>
    <t>A corte del 31 de marzo se han generado siete (7) conceptos técnicos realizados para resolver las solicitudes de evaluación de licenciamiento ambiental.</t>
  </si>
  <si>
    <t>A corte del 30 de abril se han generado trece (13) conceptos técnicos realizados para resolver las solicitudes de evaluación de licenciamiento ambiental</t>
  </si>
  <si>
    <t>A corte 31 de mayo de 2021 el sector emitió quince (15) CT para resolver las solicitudes de evaluación de licenciamiento ambiental</t>
  </si>
  <si>
    <t>A corte 30 de junio de 2021 el sector realizó 15 conceptos tecnicos de para licenciamientos ambientales. </t>
  </si>
  <si>
    <t>A corte 31 de julio de 2021 el sector finalizó 17 CT para resolver las solicitudes de evaluación de licenciamiento ambiental.  El indicador registra un 50% de avance</t>
  </si>
  <si>
    <t>A corte 31 de agosto de 2021 el Grupo de Hidrocarburos  finalizó 19 CT para resolver las solicitudes de evaluación de licenciamiento ambiental. El indicador registra un avance del 56%.</t>
  </si>
  <si>
    <t>A corte 30 de septiembre de  2021 el Grupo de Hidrocarburos  finalizó 25 CT para resolver las solicitudes de evaluación de licenciamiento ambiental. El indicador registra un avance del 74%.</t>
  </si>
  <si>
    <t>A corte 31 de octubre de  2021 el Grupo de Hidrocarburos  finalizó 27 CT para resolver las solicitudes de evaluación de licenciamiento ambiental. El indicador registra un avance del 79%.</t>
  </si>
  <si>
    <t>A corte  30 de noviembre de 2021 el sector finalizó 30 CT para resolver las solicitudes de evaluación de licenciamiento ambiental. El indicador registra un avance del 88% de la meta programda para vigencia..</t>
  </si>
  <si>
    <t>A corte 31 de  diciembre 2021 el Grupo de Hidrocarburos  finalizó 31 CT para resolver las solicitudes de evaluación de licenciamiento ambiental. El indicador registró un avance del 91%.</t>
  </si>
  <si>
    <t>A corte del 31 de enero se expidio 1 conceptos técnicos de evaluación finalizados que implementan los instrumentos acogidos.</t>
  </si>
  <si>
    <t>A corte del 28 de febrero se han generado 4 conceptos tecnicos de evaluación finalizados que implementan los instrumentos acogidos.</t>
  </si>
  <si>
    <t>A corte del 31 de marzo se aplicado a un total de siete (7) CT con instrumentos acogidos.</t>
  </si>
  <si>
    <t>A corte 30 de abril de 2021 se registra un total de 9 conceptos técnicos de evaluación finalizados por el sector que implementaron los instrumentos acogidos. El indicador registra un 100% de cumplimiento.</t>
  </si>
  <si>
    <t>A corte 31 de mayo de 2021 el sector ha implementado en 12 conceptos técnicos los instrumentos acogidos en la etapa de evaluación de licenciamiento ambiental.</t>
  </si>
  <si>
    <t>A corte del 30 de junio el sector ha generado un total de 13 CT con instrumentos acogidos.</t>
  </si>
  <si>
    <t>A corte de 31 de julio el grupo de hidrocarburos lleva ejecutado el 100% de conceptos técnicos con instrumentos acogidos en la etapa de evaluación de licenciamiento ambiental.</t>
  </si>
  <si>
    <t>A corte 31 de agosto de 2021 el Grupo de Hidrocarburos  finalizó 16 Conceptos técnicos con instrumentos acogidos para resolver las solicitudes de evaluación de licenciamiento ambiental. El indicador registra un avance del 100%.</t>
  </si>
  <si>
    <t>A corte 30 de septiembre de  2021 el Grupo de Hidrocarburos  finalizó un total de 21 CT con instrumentos acogidos para resolver las solicitudes de evaluación de licenciamiento ambiental. El indicador registra un avance del 100%.</t>
  </si>
  <si>
    <t>A corte 31 de octubre de  2021 el Grupo de Hidrocarburos, generaron 23 Conceptos técnicos con instrumentos acogidos, registrando asi un 100% de avance.</t>
  </si>
  <si>
    <t>A corte 30 de noviembre de 2021 el sector realizó 26 conceptos técnicos con instrumentos acogidos en la etapa de evaluación de licenciamiento ambiental. El indicador registra un avance del 100%  de cumplimiento frente a la meta programda en la vigencia.</t>
  </si>
  <si>
    <t>A corte 31 de diciembre de 2021 el grupo de Hidroburos registró un total de 27 conceptos técnicos de evaluación finalizados que implementan los instrumentos acogidos, estos CT corresponden a tramites de Licencia Ambiental (LA), Plan de Manejo Ambiental (PMA) y Diagnostico Ambiental Alternativas (DAA) en los casos que aplique. El indicador registra un 100% de avance frente a la meta programada.</t>
  </si>
  <si>
    <t>Grupo De Infraestructura</t>
  </si>
  <si>
    <t>Durante el mes de enero, se finalizaron 6 AA, de los cuales fueron para NAD y los 4 restantes, para modificaciones.</t>
  </si>
  <si>
    <t>A corte 28 de febrero de  2021 se han expedido10 actos administrativos para resolver las solicitudes de evaluación de licencianto ambiental.</t>
  </si>
  <si>
    <t>A corte 31 de marzo de  2021 se han expedido 14 actos administrativos para resolver las solicitudes de evaluación de licencianto ambiental, de los caules tres (3) se resolvieron en marzo, todas en términos.</t>
  </si>
  <si>
    <t>A corte 30 de abril de  2021 se han expedido 17 actos administrativos para resolver las solicitudes de evaluación de licencianto ambienta</t>
  </si>
  <si>
    <t>A corte 31 de mayo de  2021 se han expedido 21 actos administrativos para resolver las solicitudes de evaluación de licenciante ambiental. El indicador registra un 42% de avance.</t>
  </si>
  <si>
    <t>A corte 30 de junio de  2021 se han expedido 23 actos administrativos para resolver las solicitudes de evaluación de licencianto ambiental. El indicador registra un avance del 46%.</t>
  </si>
  <si>
    <t>A corte 31 de julio de  2021 se han expedido 26 actos administrativos para resolver las solicitudes de evaluación de licencianto ambiental. El indicador registra un avance del 52%.</t>
  </si>
  <si>
    <t>A corte 31 de agosto de  2021 se han expedido 29 actos administrativos para resolver las solicitudes de evaluación de licencianto ambiental. El indicador registra un avance del 58%.</t>
  </si>
  <si>
    <t>A corte 30 de septiembre de  2021 se han expedido 36 actos administrativos para resolver las solicitudes de evaluación de licencianto ambiental. El indicador registra un avance del 72%.</t>
  </si>
  <si>
    <t>A corte 31 de octubre de  2021 se han expedido 49 actos administrativos para resolver las solicitudes de evaluación de licencianto ambiental. El indicador registra un avance del 98%.</t>
  </si>
  <si>
    <t>A corte 30 de noviembre de  2021 se han expedido 52 actos administrativos para resolver las solicitudes de evaluación de licencianto ambiental. El indicador registra un avance del 104%, lo que indica que a este corte ya se superó la meta en 2 AA emitidos</t>
  </si>
  <si>
    <t>A corte 31 de diciembre de  2021 se han expedido 56 actos administrativos para resolver las solicitudes de evaluación de licencianto ambiental. El indicador registró un avance del 112%, superando en 6 AA la meta programada para la vigencia.</t>
  </si>
  <si>
    <t>Durante el mes de enero se realizón una visita de evaluación .</t>
  </si>
  <si>
    <t xml:space="preserve">A corte 28 de febrero de  2021 se han realizado 4 visitas técnicas  para el proceso de evaluación de licenciamiento ambiental.  </t>
  </si>
  <si>
    <t>A corte 31 de marzo de 2021 el sector realizó ocho (8) visitas de licenciamiento ambiental, de las cuales tres (3) se realizaron en marzo.</t>
  </si>
  <si>
    <t>A corte 30 de abril de  2021 el sector realizó once (11) visitas de licenciamiento ambiental</t>
  </si>
  <si>
    <t>A corte 31 de mayo de 2021 el sector realizó trece (13) visitas de licenciamiento ambiental.  El indicador registra un 33% de avance.</t>
  </si>
  <si>
    <t>A corte 30 de junio de 2021 el sector realizaron 17 visitas de licenciamiento ambiental. El indicador registra un avance del 43%.</t>
  </si>
  <si>
    <t>A corte 31 de ju1io de 2021 el sector realizaó 18 visitas de licenciamiento ambiental. El indicador registra un avance del 45%.</t>
  </si>
  <si>
    <t>A corte 31 de agosto de 2021 el sector realizó 22 visitas de licenciamiento ambiental. El indicador registra un avance del 73%.</t>
  </si>
  <si>
    <t>A corte 30 de septiembre de 2021 el sector realizó 23 visitas de licenciamiento ambiental. El indicador registra un avance del 77%.</t>
  </si>
  <si>
    <t>A corte 31 de octubre de 2021 el sector realizó 25 visitas de licenciamiento ambiental. El indicador registra un avance del 83%.</t>
  </si>
  <si>
    <t>A corte 30 de noviembre de 2021 el sector ha  realizado 25 visitas de licenciamiento ambiental. El indicador registra un avance del 83% frenta a la meta programada.</t>
  </si>
  <si>
    <t>A corte 31 de diciembre de 2021 el sector realizó 26 visitas de licenciamiento ambiental. El indicador registró un avance del 87% frenta a la meta programada.</t>
  </si>
  <si>
    <t>Durante el mes de enero se finalizaron 5 CT, de los cuales 2 fueron para NDA.</t>
  </si>
  <si>
    <t>A corte  28 de febrero de  2021 se han elaborado 9 conceptos técnicos para resolver las solicitudes de evaluación de licencias ambientales.</t>
  </si>
  <si>
    <t>A corte 31 de marzo de 2021 el sector finalizó 13 CT para resolver las solicitudes de evaluación de licenciamiento ambiental, de los cuales cuatro (4) se finalizaron en marzo.</t>
  </si>
  <si>
    <t>A corte 30 de abril de  2021 el sector finalizaron quince (15) CT para resolver las solicitudes de evaluación de licenciamiento ambiental</t>
  </si>
  <si>
    <t>A corte 31 de mayo de 2021 el sector finalizó 19 CT para resolver las solicitudes de evaluación de licenciamiento ambiental.  El indicador registra un 42% de avance.</t>
  </si>
  <si>
    <t>A corte 30 de junio de 2021 el sector finalizó 20 CT para resolver las solicitudes de evaluación de licenciamiento ambiental. El indicador registra un avance del 44%.</t>
  </si>
  <si>
    <t>A corte 31 de ju1io de 2021 el sector finalizó 23 CT para resolver las solicitudes de evaluación de licenciamiento ambiental. El indicador registra un avance del 51%.</t>
  </si>
  <si>
    <t>A corte 31 de agosto de 2021 el sector finalizó 27 CT para resolver las solicitudes de evaluación de licenciamiento ambiental. El indicador registra un avance del 60%.</t>
  </si>
  <si>
    <t>A corte 30 de septiembre de 2021 el sector finalizó 32 CT para resolver las solicitudes de evaluación de licenciamiento ambiental. El indicador registra un avance del 71%.</t>
  </si>
  <si>
    <t>A corte 31 de octubre de 2021 el sector finalizó 45 CT para resolver las solicitudes de evaluación de licenciamiento ambiental. El indicador registra un avance del 100%.</t>
  </si>
  <si>
    <t>A corte 30 de noviembre de 2021 el sector finalizó 49 CT para resolver las solicitudes de evaluación de licenciamiento ambiental. El indicador registra un avance del 109%, lo que indica que a este corte ya se superó la meta en 4 CT emitidos</t>
  </si>
  <si>
    <t>A corte 31 de diciembre de 2021 el sector finalizó 53 CT para resolver las solicitudes de evaluación de licenciamiento ambiental. El indicador registró un avance del 118%, suuperando en 8 CT la meta programada para la vigencia.</t>
  </si>
  <si>
    <t>Durante este periodo se le implementaron instrumentos a 3 CT de los 3 a los cuales les aplica. (Modificaciones de LA).</t>
  </si>
  <si>
    <t>A cotrte de 28 de febrero se aplicaron los instrumentos a los 5 Conceptos técnicos acogidos mediante AA.</t>
  </si>
  <si>
    <t>Se implementaron instrumentos a ocho (8) CT acogidos con instrumento.</t>
  </si>
  <si>
    <t>De los once (11) CT finalizados en el 2021, a diez (10) les aplicó la implementacion de instrumentos; correspondiendo dos (2) de ellos al mes de abril, equivalentes al 100% de los CT a los cuales era posible, durante el referido mes</t>
  </si>
  <si>
    <t>Durante el mes de mayo se les aplicó instrumentos a 12 CT acogidos mediante acto administrativo, siendo este número el total de CT a los cuales era posible implementar los instrumentos </t>
  </si>
  <si>
    <t>Para el sector de infraestructura 16 conceptos técnicos de evaluación se han finalizado con implementación de instrumentos acogidos, corrspondieno al 100% de los conceptos técnicos finalizados a Julio de 2021.</t>
  </si>
  <si>
    <t>En el sector de Infraestructura, se acogieron 19 conceptos técnicos con instrumentos acogidos, que equivalen al 100% de los CT a los que les aplicaba, durante el mes de agosto de 2021</t>
  </si>
  <si>
    <t>A corte 30 de septiembre de 2021 el grupo de Infraestructura  registra un total de 20 conceptos técnicos de evaluación finalizados que implementan los instrumentos acogidos, estos CT corresponden a tramites de Licencia Ambiental (LA), Plan de Manejo Ambiental (PMA) y Diagnostico Ambiental Alternativas (DAA) en los casos que aplique. El indicador registra un 100% de avance frente a la meta programada.</t>
  </si>
  <si>
    <t>A corte de octubre 31 de 2021, se les implementó al 100% de  los CT, a los cuales se les podía implementar instrumentos acogidos, correspondiendo en número, a 24 CT.</t>
  </si>
  <si>
    <t xml:space="preserve">Se procede a publicar el reporte habiendo verificado lo reportado. </t>
  </si>
  <si>
    <t>A diciembre de 2021, los conceptos técnicos de evaluación finalizados que implementaron los instrumentos acogidos fueron 30, equivalente a la totalidad (100%) de los CT a los cuales era posible impletar instrumentos</t>
  </si>
  <si>
    <t>Se finalizaron en términos 5 Actos Administrativos en términos, de los 5 programados para este mes; de los cuales 2 son para LA nuevas y 3 pra modificiones.</t>
  </si>
  <si>
    <t>A corte 28 de febrero de  2021 el sector debían resolver 9 solicitudes de licenciamiento ambiental;  (3) Nuevas, (6) Modificaciones, las cuales se resolvieron oportunamente.</t>
  </si>
  <si>
    <t xml:space="preserve">A corte 31 de marzo de  2021 el sector debía resolver 12 solicitudes de licenciamiento ambiental;  tres (3) Nuevas y nueve (9) Modificaciones, las cuales se resolvieron oportunamente. </t>
  </si>
  <si>
    <t>A corte 30 de abril de  2021 el sector debía resolver 15 solicitudes de licenciamiento ambiental; (4) Nuevas, (11) Modificaciones, la cuales se resolvieron oportunamente.</t>
  </si>
  <si>
    <t>A corte 31 de mayo de  2021 el sector debía resolver 17 solicitudes de licenciamiento ambiental;  (4) Nuevas, (13) Modificaciones  las cuales se resolvieron oportunamente. El indicador registra un 100% de avance y 109% de cumplimiento frente a la meta programada en la vigencia.</t>
  </si>
  <si>
    <t>A corte 30 de junio  de  2021 el sector debía resolver 19 solicitudes de licenciamiento ambiental; (5) Nuevas, y (14) Modificaciones, las cuales se resolvieron oportunamente. El indicador registra un 100% de avance y 109% de cumplimiento frente a la meta programda en la vigencia. </t>
  </si>
  <si>
    <t xml:space="preserve">A corte 31de ju1io de  2021 el sector debía resolver 21 solicitudes de licenciamiento ambiental; (5) Nuevas, y (16) Modificaciones, las cuales se resolvieron oportunamente. El indicador registra un 100% de avance y 109% de cumplimiento frente a la meta programda en la vigencia. </t>
  </si>
  <si>
    <t xml:space="preserve">A corte 31de agosto de  2021 el sector debía resolver 25 solicitudes de licenciamiento ambiental; 6 Nuevas, y 19 Modificaciones, las cuales se resolvieron oportunamente. El indicador registra un 100% de avance y 109% de cumplimiento frente a la meta programda en la vigencia. </t>
  </si>
  <si>
    <t>A corte 30 de septiembre de  2021 el sector debía resolver 28 solicitudes de licenciamiento ambiental; (6) Nuevas, y  (22) Modificaciones, las cuales se resolvieron oportunamente. El indicador registra un 100% de avance y 109% de cumplimiento frente a la meta programda en la vigencia</t>
  </si>
  <si>
    <t>A corte 31 de octubre de  2021 el sector debía resolver 33 solicitudes de licenciamiento ambiental; (7) Nuevas, y  (26) Modificaciones, las cuales se resolvieron oportunamente. El indicador registra un 100% de avance y 109% de cumplimiento frente a la meta programda en la vigencia</t>
  </si>
  <si>
    <t xml:space="preserve">A  corte 30 de noviembre de  2021 el sector debía resolver 35 solicitudes de licenciamiento ambiental; (7) Nuevas, y  (28) Modificaciones, las cuales se resolvieron oportunamente. El indicador registra un 100% de avance y 109% de cumplimiento frente a la meta programda en la vigencia, </t>
  </si>
  <si>
    <t xml:space="preserve">A corte 31 de diciembre de  2021 el sector debía resolver 36 solicitudes de licenciamiento ambiental; (8) Nuevas, y  (28) Modificaciones, las cuales se resolvieron oportunamente. El indicador registró un 100% de avance y 109% de cumplimiento frente a la meta programda en la vigencia, </t>
  </si>
  <si>
    <t>El sector tenía una visita programada en términos para enero, la cual se relaizó en tiempos .</t>
  </si>
  <si>
    <t>A corte 28 de febrero de  2021  el sector debia realizar 5 visitas técnicas, las cuales se realizaron oportunamente.</t>
  </si>
  <si>
    <t>A corte 31 de marzo de  2021  el sector debia realizar 6 visitas técnicas, las cuales se realizaron oportunamente.</t>
  </si>
  <si>
    <t>A corte 30 de abril de  2021  el sector debia realizar 10 visitas técnicas, las cuales se realizaron oportunamente.</t>
  </si>
  <si>
    <t>A corte 31 de mayo de  2021  el sector debía realizar 13 visitas técnicas, las cuales se realizaron oportunamente. El indicador registra un 100% de avance y 109% de cumplimiento frente a la meta programada en la vigencia.</t>
  </si>
  <si>
    <t>A corte 30 de junio de  2021  el sector debia realizar 16 visitas técnicas, las cuales se realizaron oportunamente. El indicador registra un 100% de avance y 109% de cumplimiento frente a la meta programda en la vigencia.</t>
  </si>
  <si>
    <t>A corte 31 de julio de  2021  el sector debia realizar 17 visitas técnicas, las cuales se realizaron oportunamente. El indicador registra un 100% de avance y 109% de cumplimiento frente a la meta programda en la vigencia.</t>
  </si>
  <si>
    <t>A corte 31 de agosto de  2021  el sector debia realizar 18 visitas técnicas, las cuales se realizaron oportunamente. El indicador registra un 100% de avance y 109% de cumplimiento frente a la meta programda en la vigencia.</t>
  </si>
  <si>
    <t>A corte 30 de septiembre de  2021  el sector debia realizar 22 visitas técnicas, las cuales se realizaron oportunamente. El indicador registra un 100% de avance y 109% de cumplimiento frente a la meta programda en la vigencia.</t>
  </si>
  <si>
    <t>A corte 31 de octubre de  2021 el sector debia realizar 23 visitas técnicas, las cuales se realizaron oportunamente. El indicador registra un 100% de avance y 109% de cumplimiento frente a la meta programda en la vigencia.</t>
  </si>
  <si>
    <t>A corte 30 de noviembre de  2021 el sector debia realizar 24 visitas técnicas, las cuales se realizaron oportunamente. El indicador registra un 100% de avance y 109% de cumplimiento frente a la meta programda en la vigencia.</t>
  </si>
  <si>
    <t>A corte 31 de diciembre de  2021 el sector debia realizar 24 visitas técnicas, las cuales se realizaron oportunamente. El indicador registró un 100% de avance y 109% de cumplimiento frente a la meta programda en la vigencia.</t>
  </si>
  <si>
    <t>De los 4 CT programados para finalizar en el mes, se finalizaron 2 en términos .</t>
  </si>
  <si>
    <t>A corte 28 de febrero de  2021  el sector debian elaborar 8 conceptos tecnicos, de los cuales 4 se realizaron oportunamente.</t>
  </si>
  <si>
    <t>A corte 31 de marzo de  2021  el sector debia elaborar 11 conceptos tecnicos, de los cuales 4 se realizaron oportunamente.</t>
  </si>
  <si>
    <t>A corte 30 de abril de  2021  el sector debia elaborar 14 conceptos tecnicos, de los cuales 5 se realizaron oportunamente.</t>
  </si>
  <si>
    <t>A corte 31 de mayo de  2021  el sector debía elaborar 16 conceptos técnicos, de los cuales seis (6)  se realizaron oportunamente. El indicador registra un 38% de avance y 41% de cumplimiento frente a la meta programada en la vigencia.</t>
  </si>
  <si>
    <t>A corte 30 de junio de  2021  el sector debia elaborar 18 conceptos tecnicos, de los cuales ocho (8) se realizaron oportunamente.  El indicador registra un 44% de avance y 48% de cumplimiento frente a la meta programda en la vigencia.</t>
  </si>
  <si>
    <t>A corte 31 de julio de  2021  el sector debia elaborar 22 conceptos tecnicos, de los cuales nueve (9) se realizaron oportunamente.  El indicador registra un 41% de avance y 44% de cumplimiento frente a la meta programda en la vigencia.</t>
  </si>
  <si>
    <t>A corte 31 de agosto de  2021  el sector debia elaborar 24 conceptos tecnicos, todos finalizados de manera oportuna.  El indicador registra un 100% de avance y 109% de cumplimiento frente a la meta programda en la vigencia.</t>
  </si>
  <si>
    <t>A corte 30 de septiembre de  2021  el sector debia elaborar 28 conceptos tecnicos,  finalizando de manera oportuna 27.  El indicador registra un 96% de avance y 105% de cumplimiento frente a la meta programda en la vigencia.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</si>
  <si>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31 de octubre de 2021  el sector debia elaborar 31 conceptos tecnicos,  finalizando de manera oportuna 30.  El indicador registra un 97% de avance y 105% de cumplimiento frente a la meta programda en la vigencia.</t>
  </si>
  <si>
    <t>A corte 30 de noviembre de 2021  el sector debia elaborar 33 conceptos tecnicos,  finalizando de manera oportuna 32.  El indicador registra un 97% de avance y 105% de cumplimiento frente a la meta programda en la vigencia.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</si>
  <si>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31 de diciembre de 2021  el sector debia elaborar 35 conceptos tecnicos,  finalizando de manera oportuna 34.  El indicador registró un 97% de avance y 106% de cumplimiento frente a la meta programda en la vigencia.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</si>
  <si>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Grupo De Minería</t>
  </si>
  <si>
    <t>A corte 31 de enero de 2021 el sector no tiene solicitudes con vencimiento de términos.</t>
  </si>
  <si>
    <t xml:space="preserve">A corte 28 de febrero de 2021 el sector debía resolver 2 solicitudes de licenciamiento ambiental; (1) Nueva, (1) Modificación, de las cuales 1 fue resuelta oportumamente.
</t>
  </si>
  <si>
    <t>A corte 31 de marzo de 2021 el sector debía resolver 2 solicitudes de licenciamiento ambiental; (1) Nueva, (1) Modificación, de las cuales 1 fue resuelta oportumamente.</t>
  </si>
  <si>
    <t>A corte 30 de junio de 2021 el sector debía resolver 2 solicitudes de licenciamiento ambiental; (1) Nueva, (1) Modificación, de las cuales 1 fue resuelta oportumamente. El indicador registra un 50% de avance y 54% de cumplimiento frente la meta programada para la vigencia.</t>
  </si>
  <si>
    <t>A corte 31 de mayo de 2021 el sector de minería debía resolver 2 solicitudes de licenciamiento ambiental; (1) Nueva, (1) Modificación, de las cuales 1 fue resuelta oportunamente. El indicador registra un 50% de avance y 54% de cumplimiento frente la meta programada para la vigencia.</t>
  </si>
  <si>
    <t>A corte 31 de julio de 2021 el sector debía resolver 2 solicitudes de licenciamiento ambiental; (1) Nueva, (1) Modificación, de las cuales 1 fue resuelta oportumamente. El indicador registra un 50% de avance y 54% de cumplimiento frente la meta programada para la vigencia.</t>
  </si>
  <si>
    <t>A corte 31 de agosto de 2021 el sector debía resolver 2 solicitudes de licenciamiento ambiental; (1) Nueva, (1) Modificación, de las cuales 1 fue resuelta oportumamente. El indicador registra un 50% de avance y 54% de cumplimiento frente la meta programada para la vigencia.</t>
  </si>
  <si>
    <t>A corte 30 de septiembre de 2021 el sector debía resolver 2 solicitudes de licenciamiento ambiental; (1) Nueva, (1) Modificación, de las cuales 1 fue resuelta oportumamente. El indicador registra un 50% de avance y 54% de cumplimiento frente la meta programada para la vigencia</t>
  </si>
  <si>
    <t>A corte 31 de octubre de 2021 el sector debía resolver 3 solicitudes de licenciamiento ambiental; (1) Nueva, (2) Modificación, de las cuales 2 fueron resueltas oportumamente. El indicador registra un 67% de avance y 72 % de cumplimiento frente la meta programada para la vigencia.</t>
  </si>
  <si>
    <t>A corte 30 de noviembre de 2021 el sector debía resolver 3 solicitudes de licenciamiento ambiental; (1) Nueva, (2) Modificación, de las cuales 2 fueron resueltas oportumamente. El indicador registra un 67% de avance y 72 % de cumplimiento frente la meta programada para la vigencia.</t>
  </si>
  <si>
    <t>A corte 31 de diciembe de 2021 el sector debía resolver 4 solicitudes de licenciamiento ambiental; (1) Nueva, (3) Modificación, de las cuales 3 fueron resueltas oportumamente. El indicador registró un 75% de avance y 82% de cumplimiento frente la meta programada para la vigencia.</t>
  </si>
  <si>
    <t>A corte 31 de enero de 2021 el sector de minería no tiene visitas pendientes por resolver con vencimiento de términos.</t>
  </si>
  <si>
    <t>A corte 28 de febrero de 2021 el sector de Mineria no tenia visitas con vencimiento de términos para el proceso de evaluación de licenciamiento ambiental.</t>
  </si>
  <si>
    <t>A corte 31 de marzo de 2021 el sector de Mineria no tenia visitas con vencimiento de términos para el proceso de evaluación de licenciamiento ambiental.</t>
  </si>
  <si>
    <t>A corte 30 de abril de 2021 el sector de Mineria no tenia visitas con vencimiento de términos para el proceso de evaluación de licenciamiento ambiental.</t>
  </si>
  <si>
    <t xml:space="preserve">A corte 31 de mayo de 2021 el sector de Minería no tenia visitas con vencimiento de términos para el proceso de evaluación de licenciamiento ambiental. </t>
  </si>
  <si>
    <t>A corte 30 de junio de 2021 el sector de Mineria tenia 1 visita con vencimiento de términos para el proceso de evaluación de licenciamiento ambiental, la cual se realizó oportunamente. El indicador registra 100% de avance y 109% de cumplimiento frente a la meta programada.</t>
  </si>
  <si>
    <t xml:space="preserve">A corte 31 de julio de 2021 el sector de Mineria tenia 1 visita con vencimiento de términos para el proceso de evaluación de licenciamiento ambiental, la cual se realizó oportunamente. El indicador registra 100% de avance y 109% de cumplimiento frente a la meta programada. </t>
  </si>
  <si>
    <t xml:space="preserve">A corte 31 de agosto de 2021 el sector de Mineria tenia 2 visita con vencimiento de términos para el proceso de evaluación de licenciamiento ambiental, la cual se realizó oportunamente. El indicador registra 100% de avance y 109% de cumplimiento frente a la meta programada. </t>
  </si>
  <si>
    <t>A corte 30 de septiembre de 2021 el sector de Mineria tenia 2 visitas con vencimiento de términos para el proceso de evaluación de licenciamiento ambiental, las cuales se realizaron oportunamente. El indicador registra 100% de avance y 109% de cumplimiento frente a la meta programada.</t>
  </si>
  <si>
    <t>A corte 31 de octubre de 2021 el sector de Mineria tenia 2 visitas con vencimiento de términos para el proceso de evaluación de licenciamiento ambiental, las cuales se realizaron oportunamente. El indicador registra 100% de avance y 109% de cumplimiento frente a la meta programada. </t>
  </si>
  <si>
    <t>A corte 30 de noviembre de 2021 el sector de Mineria tenia 3 visitas con vencimiento de términos para el proceso de evaluación de licenciamiento ambiental, las cuales se realizaron oportunamente. El indicador registra 100% de avance y 109% de cumplimiento frente a la meta programada.</t>
  </si>
  <si>
    <t xml:space="preserve">A corte 31 de diciembre de 2021 el sector de Mineria tenia 3 visitas con vencimiento de términos para el proceso de evaluación de licenciamiento ambiental, las cuales se realizaron oportunamente. El indicador registró 100% de avance y 109% de cumplimiento frente a la meta programada para la vigencia. </t>
  </si>
  <si>
    <t>A corte 31 de enero de 2021 el sector de Minería  no tenía conceptos técnicos con vencimiento de términos (indicador por demanda).</t>
  </si>
  <si>
    <t>A corte 28 de febrero de 2021 el sector de Minería debía finalizar 1 concepto técnico el cual fue finalizado fuera de términos.</t>
  </si>
  <si>
    <t>A corte 31 de marzo de 2021 el sector de Minería debía finalizar 1 concepto técnico el cual fue finalizado fuera de términos.</t>
  </si>
  <si>
    <t>A corte 30 de abril de 2021 el sector de Minería debía finalizar 1 concepto técnico el cual fue finalizado fuera de términos.</t>
  </si>
  <si>
    <t>A corte 31 de mayo de 2021 el sector de Minería debía finalizar 1 concepto técnico el cual fue finalizado fuera de términos. El indicador registra un 0% de avance.</t>
  </si>
  <si>
    <t>A corte 30 de junio de 2021 el sector de Minería debía finalizar 1 concepto técnico los cuales fueron finalizados fuera de términos. El indicador registra un 0% de avance.</t>
  </si>
  <si>
    <t>A corte 31 de julio de 2021 el sector de Minería debía finalizar 1 concepto técnico el cual fue finalizado fuera de términos. El indicador registra un 0% de avance.</t>
  </si>
  <si>
    <t>A corte 31 de agosto de 2021 el sector de Minería debía finalizar 2 conceptos técnicos, los cuales fueron finalizados fuera de términos. El indicador registra un 0% de avance.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</si>
  <si>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30 de septiembre de 2021 el sector de Minería debía finalizar 2 conceptos técnicos, los cuales fueron finalizados fuera de términos. El indicador registra un 0% de avance.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</si>
  <si>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31 de octubre de 2021 el sector de Minería debía finalizar 3 conceptos técnicos, de los cuales 1 fue finalizado oportunamente. El indicador registra un 33 % de avance y 36  % de cumplimiento frente la meta programada para la vigencia.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</si>
  <si>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30 de noviembre de 2021 el sector de Minería debía finalizar 3 conceptos técnicos, de los cuales 1 fue finalizado oportunamente. El indicador registra un 33 % de avance y 36  % de cumplimiento frente la meta programada para la vigencia.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</si>
  <si>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31 de diciembre de 2021 el sector de Minería debía finalizar 4 conceptos técnicos, de los cuales 1 fue finalizado oportunamente. El indicador registró un 25 % de avance y 27% de cumplimiento frente la meta programada para la vigencia.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</si>
  <si>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31 de enero de 2021 el sector de Minería no ha expedido actos administrativos para resolver las solicitudes de evaluación de licenciamiento ambiental (Indicador por demanda).</t>
  </si>
  <si>
    <t xml:space="preserve">A corte 28 de febrero de 2021 el sector de Minería ha expedido 1 acto administrativo para resolver la solicitud de evaluación de licenciamiento ambiental y 1 acto administrativo para resolver la solicitud de permiso fuera de licencia.
</t>
  </si>
  <si>
    <t>A corte 31 de marzo de 2021 el sector de Minería ha expedido 1 acto administrativo para resolver la solicitud de evaluación de licenciamiento ambiental y 5 actos administrativos para resolver la solicitud de permiso fuera de licencia.</t>
  </si>
  <si>
    <t>A corte 30 de abril de 2021 el sector de Minería ha expedido 2 actos administrativos para resolver la solicitud de evaluación de licenciamiento ambiental y 7 actos administrativos para resolver la solicitud de permiso fuera de licencia.</t>
  </si>
  <si>
    <t>A corte 31 de mayo de 2021 el sector de Minería ha expedido 2 actos administrativos para resolver la solicitud de evaluación de licenciamiento ambiental y 9 actos administrativos para resolver la solicitud de permiso fuera de licencia. El indicador registra un 69% de avance.</t>
  </si>
  <si>
    <t>A corte 30 de junio de 2021 el sector de Minería ha expedido 3 actos administrativos para resolver la solicitud de evaluación de licenciamiento ambiental y 9 actos administrativos para resolver la solicitud de permiso fuera de licencia. El indicador registra un 75% de avance.</t>
  </si>
  <si>
    <t>A corte 31 de julio de 2021 el sector de Minería ha expedido 3 actos administrativos para resolver la solicitud de evaluación de licenciamiento ambiental y 9 actos administrativos para resolver la solicitud de permiso fuera de licencia. El indicador registra un 75% de avance.</t>
  </si>
  <si>
    <t>A corte 31 de agosto de 2021 el sector de Minería ha expedido 3 actos administrativos para resolver la solicitud de evaluación de licenciamiento ambiental y 10 actos administrativos para resolver la solicitud de permiso fuera de licencia. El indicador registra un 81% de avance.</t>
  </si>
  <si>
    <t>A corte 30 de septiembre de 2021 el sector de Minería ha expedido 3 actos administrativos para resolver las solicitudes de evaluación de licenciamiento ambiental y 11 actos administrativos para resolver las solicitudes de permiso fuera de licencia. El indicador registra un 88% de avance.</t>
  </si>
  <si>
    <t>A corte 31 de octubre de 2021 el sector de Minería ha expedido 8 actos administrativos para resolver las solicitudes de evaluación de licenciamiento ambiental y 11 actos administrativos para resolver las solicitudes de permiso fuera de licencia. El indicador registra un 119% de avance.</t>
  </si>
  <si>
    <t>A corte 30 de noviembre de 2021 el sector de Minería ha expedido 8 actos administrativos para resolver las solicitudes de evaluación de licenciamiento ambiental y 11 actos administrativos para resolver las solicitudes de permiso fuera de licencia. El indicador registra un 119% de avance.</t>
  </si>
  <si>
    <t>A corte 31 de diciembre de 2021 el sector de Minería ha expedió 10 actos administrativos para resolver las solicitudes de evaluación de licenciamiento ambiental, 3 actos administrativos para resolver las solicitudes de de visto bueno licencia minera y 11 actos administrativos para resolver las solicitudes de permiso fuera de licencia. El indicador registró un 150% de avance, superando la meta programada para la vigencia.</t>
  </si>
  <si>
    <t>A corte 31 de enero de 2021 el sector de Minería ha realizado  (1) visita técnica para el proceso de evaluación de licenciamiento ambiental.</t>
  </si>
  <si>
    <t>A corte 28 de febrero de 2021 el sector de Mineria ha realizado 1  visita técnica para el proceso de evaluación de licenciamiento ambiental y 2 visitas técnicas para el proceso de permisos fuera de licencia.</t>
  </si>
  <si>
    <t>A corte 31 de marzo de 2021 el sector de Mineria ha realizado 1  visita técnica para el proceso de evaluación de licenciamiento ambiental y 3 visitas técnicas para el proceso de permisos fuera de licencia.</t>
  </si>
  <si>
    <t>A corte 30 de abril de 2021 el sector de Mineria ha realizado 1  visita técnica para el proceso de evaluación de licenciamiento ambiental y 4 visitas técnicas para el proceso de permisos fuera de licencia.</t>
  </si>
  <si>
    <t>A corte 31 de mayo de 2021 el sector de Minería ha realizado 1  visita técnica para el proceso de evaluación de licenciamiento ambiental y 4 visitas técnicas para el proceso de permisos fuera de licencia. El indicador registra un 36% de avance.</t>
  </si>
  <si>
    <t>A corte 30 de junio de 2021 el sector de Mineria ha realizado 4  visita técnica para el proceso de evaluación de licenciamiento ambiental y 4 visitas técnicas para el proceso de permisos fuera de licencia. El indicador registra un 57% de avance.</t>
  </si>
  <si>
    <t>A corte 31 de julio de 2021 el sector de Mineria ha realizado 4  visita técnica para el proceso de evaluación de licenciamiento ambiental y 4 visitas técnicas para el proceso de permisos fuera de licencia. El indicador registra un 57% de avance.</t>
  </si>
  <si>
    <t>A corte 31 de agosto de 2021 el sector de Mineria ha realizado 5 visitas técnicas para el proceso de evaluación de licenciamiento ambiental y 5 visitas técnicas para el proceso de permisos fuera de licencia. El indicador registra un 71% de avance.</t>
  </si>
  <si>
    <t>A corte 30 de septiembre de 2021 el sector de Mineria ha realizado 6 visitas técnicas para el proceso de evaluación de licenciamiento ambiental y 5 visitas técnicas para el proceso de permisos fuera de licencia. El indicador registra un 79% de avance.</t>
  </si>
  <si>
    <t>A corte 31 de octubre de 2021 el sector de Mineria ha realizado 7 visitas técnicas para el proceso de evaluación de licenciamiento ambiental y 5 visitas técnicas para el proceso de permisos fuera de licencia. El indicador registra un 86% de avance.</t>
  </si>
  <si>
    <t>A corte 30 de noviembre de 2021 el sector de Mineria ha realizado 8 visitas técnicas para el proceso de evaluación de licenciamiento ambiental y 5 visitas técnicas para el proceso de permisos fuera de licencia. El indicador registra un 93% de avance.</t>
  </si>
  <si>
    <t>A corte 31 de diciembre de 2021 el sector de Mineria ha realizó 9 visitas técnicas para el proceso de evaluación de licenciamiento ambiental y 5 visitas técnicas para el proceso de permisos fuera de licencia. El indicador registró un 100% de avance cumpliendo la meta programada para la vigencia.</t>
  </si>
  <si>
    <t>A corte 28 de febreo de 2021 el sector de Mineria ha expedido 1 concepto técnico para resolver las solicitudes de evaluación de licenciamiento ambiental y 3 conceptos técnicos para resolver las solicitudes de permisos fuera de licencia.</t>
  </si>
  <si>
    <t>A corte 31 de marzo de 2021 el sector de Mineria ha expedido 1 concepto técnico para resolver las solicitudes de evaluación de licenciamiento ambiental y 5 conceptos técnicos para resolver las solicitudes de permisos fuera de licencia.</t>
  </si>
  <si>
    <t>A corte 30 de abril de 2021 el sector de Mineria ha expedido 2 concepto técnico para resolver las solicitudes de evaluación de licenciamiento ambiental y 6 conceptos técnicos para resolver las solicitudes de permisos fuera de licencia.</t>
  </si>
  <si>
    <t>A corte 31 de mayo de 2021 el sector de Minería ha expedido 2 concepto técnico para resolver las solicitudes de evaluación de licenciamiento ambiental y 8 conceptos técnicos para resolver las solicitudes de permisos fuera de licencia.  El indicador registra un 56% de avance.</t>
  </si>
  <si>
    <t>A corte 30 de junio de 2021 el sector de Mineria ha expedido 3 concepto técnico para resolver las solicitudes de evaluación de licenciamiento ambiental y 8 conceptos técnicos para resolver las solicitudes de permisos fuera de licencia.  El indicador registra un 61% de avance.</t>
  </si>
  <si>
    <t>A corte 31 de julio de 2021 el sector de Mineria ha expedido 3 conceptos técnicos para resolver las solicitudes de evaluación de licenciamiento ambiental y 8 conceptos técnicos para resolver las solicitudes de permisos fuera de licencia.  El indicador registra un 61% de avance.</t>
  </si>
  <si>
    <t>A corte 31 de agosto de 2021 el sector de Mineria ha expedido 3 conceptos técnicos para resolver las solicitudes de evaluación de licenciamiento ambiental y 9 conceptos técnicos para resolver las solicitudes de permisos fuera de licencia.  El indicador registra un 67% de avance.</t>
  </si>
  <si>
    <t>A corte 30 de septiembre de 2021 el sector de Mineria ha expedido 3 conceptos técnicos para resolver las solicitudes de evaluación de licenciamiento ambiental y 9 conceptos técnicos para resolver las solicitudes de permisos fuera de licencia.  El indicador registra un 67% de avance.</t>
  </si>
  <si>
    <t>A corte 31 de octubre de 2021 el sector de Mineria ha expedido 8 conceptos técnicos para resolver las solicitudes de evaluación de licenciamiento ambiental y 9 conceptos técnicos para resolver las solicitudes de permisos fuera de licencia.  El indicador registra un 94% de avance.</t>
  </si>
  <si>
    <t>A corte 30 de noviembre de 2021 el sector de Mineria ha expedido 8 conceptos técnicos para resolver las solicitudes de evaluación de licenciamiento ambiental y 9 conceptos técnicos para resolver las solicitudes de permisos fuera de licencia.  El indicador registra un 94% de avance.</t>
  </si>
  <si>
    <t>A corte 31 de diciembre de 2021 el sector de Mineria expedió 9 conceptos técnicos para resolver las solicitudes de evaluación de licenciamiento ambiental, 3 conceptos técnicos para resolver solicitudes de visto bueno licencia minera y 9 conceptos técnicos para resolver las solicitudes de permisos fuera de licencia.  El indicador registró un 117% de avance superando la meta programada para la vigencia.</t>
  </si>
  <si>
    <t>A corte 31 de enero de 2021 el sector no finalizó ningun CT, por lo tanto no se realizó la aplicacion de ningun de instrumento.</t>
  </si>
  <si>
    <t>A corte 28 de febrero el sector de minería finalizó un Concepto Técnico con instrumentos acogido.</t>
  </si>
  <si>
    <t xml:space="preserve">Acorte 31 de marzo de 2021 el sector de mineria registra 1 concepto técnico de evaluación finalizado, que implementa los instrumentos acogidos. </t>
  </si>
  <si>
    <t>Al corte de 30 de abril el sector de minería finalizó 2 Conceptos técnicos con instrumentos acogidos.</t>
  </si>
  <si>
    <t>A corte 31 de mayo de 2021 se finalizaron 2 Conceptos técnicos con instrumentos acogidos, el indicador registra un cumplimiento del 100%</t>
  </si>
  <si>
    <t>A corte 30 de junio se finalizaron 3 Conceptos Técnicos con instrumentos acogidos, cumpliendo así con el 100%</t>
  </si>
  <si>
    <t>Al corte de 31de julio del 2021 se finalizaron 3 Conceptos técnicos con instrumentos acogidos, correspondiendo 1 a febrero, 1 a abril y 1 a junio y cumpliendo así con el 100%</t>
  </si>
  <si>
    <t>A corte 31 de agosto de 2021 se finalizaron 3 Conceptos técnicos con instrumentos acogidos, el indicador registra un cumplimiento del 100%</t>
  </si>
  <si>
    <t>A corte 30 de septiembre del 2021 el grupo de minería ha finalizado 3 conceptos técnicos con instrumentos acogidos, cumpliendo asi con la meta programda.</t>
  </si>
  <si>
    <t>A corte 31 de noviembre de 2021 el grupo de minería registra un total de 7 conceptos técnicos de evaluación finalizados que implementan los instrumentos acogidos, estos CT corresponden a tramites de Licencia Ambiental (LA) y Plan de Manejo Ambiental (PMA) en los casos que aplique. El indicador registra un 100% de avance frente a la meta programada</t>
  </si>
  <si>
    <t>El grupo de mineria a corte 30 de noviembre de 2021 registra un total de 7 conceptos técnicos de evaluación finalizados que implementan los instrumentos acogidos, estos CT corresponden a tramites de Licencia Ambiental (LA), Plan de Manejo Ambiental (PMA) en los casos que aplique. El indicador registra un 100% de avance frente a la meta programada</t>
  </si>
  <si>
    <t>A corte 31 de diciembre de 2021 el grupo de Minería registró un total de 8 conceptos técnicos de evaluación finalizados que implementaron los instrumentos acogidos, estos CT corresponden a tramites de Licencia Ambiental (LA) y Plan de Manejo Ambiental (PMA) en los casos que aplique. El indicador registró un 100% de avance frente a la meta programada.</t>
  </si>
  <si>
    <t>Grupo de Evaluación de Agroquímicos y Proyectos Especiales</t>
  </si>
  <si>
    <t>A corte 31 de enero de 2021 el Grupo de Agroquímicos debía resolver 2 solicitudes de Licenciamiento Ambiental;  (1) Nueva y (1) Modificación, de las cuales se resolvio (1) Nueva oportunamente.</t>
  </si>
  <si>
    <t>A corte del 28 de  febrero  de 2021 el grupo de agroquimios y Proyectos Especiales debía resolver 5 solicitudes; (4) Nuevas, (1) Modificacion, de las cuales   se resolvieron   (4) Nuevas oportunamente.</t>
  </si>
  <si>
    <t>A corte del 31 de marzo  de 2021 el grupo de Agroquimios y Proyectos Especiales debía resolver 8 solicitudes; (7) Nuevas, (1) Modificacion de las cuales   se resolvieron   (7) Nuevas oportunamente.</t>
  </si>
  <si>
    <t>A corte del 30 de abril  de 2021 el grupo de Agroquimios y Proyectos Especiales debía resolver 9 solicitudes; (7) Nuevas, (2) Modificacion de las cuales   se resolvieron   (8) Nuevas oportunamente.</t>
  </si>
  <si>
    <t>A corte del 31 de Mayo  de 2021 el grupo de agroquímicos y Proyectos Especiales debía resolver 9 solicitudes; (7) Nuevas, (2) Modificación de las cuales   se resolvieron   (8) Nuevas oportunamente.  El indicador registra un 89% de avance y un 97% de cumplimiento frente a la meta programada.</t>
  </si>
  <si>
    <t>A corte del 30 de Junio  de 2021 el grupo de agroquimios y Proyectos Especiales debía resolver 11 solicitudes; (9) Nuevas, (2) Modificacion de las cuales   se resolvieron   (10) Diez  oportunamente.  El indicador resgistra un 91% de avance y un 99% de cumplimiento frente a la meta programda.</t>
  </si>
  <si>
    <t>A corte del 31 de Julio  de 2021 el grupo de agroquimios y Proyectos Especiales debía resolver 17 solicitudes; (11) Nuevas, (6) Modificacion de las cuales   se resolvieron   (15)   oportunamente.  El indicador resgistra un 88% de avance y un 96% de cumplimiento frente a la meta programda.</t>
  </si>
  <si>
    <t>A corte del 31 de agosto  de 2021 el Grupo de Agroquimicos y Proyectos Especiales debía resolver 21 solicitudes; (15) Nuevas y (6) Modificacion de las cuales se resolvieron (19) oportunamente.  El indicador resgistra un 90% de avance y un 98% de cumplimiento frente a la meta programada.</t>
  </si>
  <si>
    <t>A corte del 30 de  septiembre de 2021 el grupo de Agroquímicos y Proyectos Especiales debía resolver 24 solicitudes de evaluación de licenciamiento ambiental; (18) Nuevas y (6) Modificaciones de las cuales se resolvieron (22)   oportunamente.  El indicador resgistra un 92% de avance y un 100% de cumplimiento frente a la meta programada.</t>
  </si>
  <si>
    <t>A corte del 31 de octubre de 2021 el grupo de Agroquimicos y Proyectos Especiales debía resolver 28 solicitudes; (22) Nuevas y (6) Modificacion de las cuales   se resolvieron (26) oportunamente.  El indicador resgistra un 93% de avance y un 101% de cumplimiento frente a la meta programada.</t>
  </si>
  <si>
    <t>A corte del 30 de noviembre de 2021 el grupo de Agroquimicos y Proyectos Especiales debía resolver 32 solicitudes de evaluación de licenciamiento ambiental; (26) Nuevas y (6) Modificaciones, de las cuales (30) se resolvieron  oportunamente.  El indicador resgistra un 94% de avance y un 102% de cumplimiento frente a la meta programada</t>
  </si>
  <si>
    <t>A corte del 31 de diciembre de 2021 el grupo de Agroquimicos y Proyectos Especiales debía resolver 38 solicitudes de evaluación de licenciamiento ambiental; (32) Nuevas y (6) Modificaciones, de las cuales (36) se resolvieron  oportunamente.  El indicador resgistra un 95% de avance y un 103% de cumplimiento frente a la meta programada</t>
  </si>
  <si>
    <t>A corte 31 de de enero de 2021 el sector de Agroquímicos no tenia visitas con vencimiento de términos.</t>
  </si>
  <si>
    <t>A corte 28 de febrero de 2021 el Sector de Agroquímcios y Proyectos Especiales no tenia visitas con venciminto de términos en el mes de febrero de 2021.</t>
  </si>
  <si>
    <t>A corte 31 de marzo de 2021 el Sector de Agroquímcios y Proyectos Especiales tenia 4 visitas con venciminto de términos las cuales se realizaron oportunamente.</t>
  </si>
  <si>
    <t xml:space="preserve">A corte 30 de abril  de 2021 el Sector de Agroquímcios y Proyectos Especiales tenia 4 visitas con venciminto de términos y se realizarpn las 4 visitas en términos </t>
  </si>
  <si>
    <t>A corte 31 de Mayo  de 2021 el Sector de Agroquímicos y Proyectos Especiales tenia 5 visitas con vencimiento de términos, las cuales se realizaron oportunamente.   El indicador registra un 100% de avance y un 109% de cumplimiento frente a la meta programada.</t>
  </si>
  <si>
    <t>A corte 31 de Julio  de 2021 el Sector de Agroquímcios y Proyectos Especiales tenia 6 visitas con vencimiento de términos, las cuales se realizaron oportunamente.   El indicador resgistra un 100% de avance y un 109% de cumplimiento frente a la meta programda.</t>
  </si>
  <si>
    <t>A corte 31 de agosto  de 2021 el Sector de Agroquímicos y Proyectos Especiales tenia 6 visitas con vencimiento de términos, las cuales se realizaron oportunamente.   El indicador resgistra un 100% de avance y un 109% de cumplimiento frente a la meta programda.</t>
  </si>
  <si>
    <t>A corte 30 de septiembre  de 2021 el Sector de Agroquímicos y Proyectos Especiales tenia 6 visitas con vencimiento de términos, las cuales se realizaron oportunamente.   El indicador resgistra un 100% de avance y un 109% de cumplimiento frente a la meta programada.</t>
  </si>
  <si>
    <t>A corte 31 de octubre de 2021 el Sector de Agroquímcios y Proyectos Especiales tenia 6 visitas con vencimiento de términos, las cuales se realizaron oportunamente.  El indicador resgistra un 100% de avance y un 109% de cumplimiento frente a la meta programada.</t>
  </si>
  <si>
    <t>A corte 30 de noviembre de 2021 el Sector de Agroquímcios y Proyectos Especiales tenia 7 visitas con vencimiento de   términos, las cuales se realizaon oportunamente. El indicador resgistra un 100% de avance y un 109% de cumplimiento frente a la meta programda.</t>
  </si>
  <si>
    <t>A corte 31 de diciembre de 2021 el Sector de Agroquímcios y Proyectos Especiales tenia 7 visitas con vencimiento de   términos, las cuales se realizaon oportunamente. El indicador resgistró un 100% de avance y un 109% de cumplimiento frente a la meta programada para la vigencia.</t>
  </si>
  <si>
    <t>A corte 31 de enero de 2021 el Grupo de Evaluación de Agroquímicos y Proyectos Especiales debía  expedir un Concepto Técnico, el cual se salió en términos.</t>
  </si>
  <si>
    <t>A corte 28 de febrero de 2021 el Grupo de Agroquímcios y Proyectos Especiales  debía emitir 4 CT  los cuales se finalizaron oportunamente.</t>
  </si>
  <si>
    <t>A corte 31 de marzo de 2021 el Grupo de Agroquímcios y Proyectos Especiales  debía emitir 5 CT  los cuales se finalizaron oportunamente.</t>
  </si>
  <si>
    <t xml:space="preserve">A corte 30 de Abril  de 2021 el Grupo de Agroquímcios y Proyectos Especiales  debía emitir 5 CT  los cuales se finalizaron oportunamente </t>
  </si>
  <si>
    <t>A corte 31 de Mayo  de 2021 el Grupo de Agroquímicos y Proyectos Especiales  debía emitir 5 CT,  los cuales se finalizaron oportunamente. El indicador registra un 100% de avance y un 109% de cumplimiento frente a la meta programada.</t>
  </si>
  <si>
    <t>A corte 31 de Julio  de 2021 el Grupo de Agroquímcios y Proyectos Especiales  debía emitir 14 CT,  de los cuales 13 se finalizaron oportunamente. El indicador resgistra un 93% de avance y un 101% de cumplimiento frente a la meta programda.</t>
  </si>
  <si>
    <t>A corte 31 de agosto  de 2021 el Grupo de Agroquímicos y Proyectos Especiales  debía emitir 17 CT,  de los cuales 16 se finalizaron oportunamente. El indicador resgistra un 94% de avance y un 102% de cumplimiento frente a la meta programda.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</si>
  <si>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30 de  septiembre  de 2021 el Grupo de Agroquímcios y Proyectos Especiales  debía emitir 20 CT,  de los cuales 19 se finalizaron oportunamente. El indicador resgistra un 95% de avance y un 103% de cumplimiento frente a la meta programda. </t>
  </si>
  <si>
    <t>A corte 31 de octubre de 2021 el Grupo de Agroquímcios y Proyectos Especiales  debía emitir 23 CT,  de los cuales 22 se finalizaron en términos. El indicador resgistra un 96% de avance y un 104% de cumplimiento frente a la meta programda.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</si>
  <si>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30 de noviembre de 2021 el Grupo de Agroquímcios y Proyectos Especiales  debía emitir 27 CT,  de los cuales 26 se finalizaron en términos. El indicador resgistra un 96% de avance y un 105% de cumplimiento frente a la meta programada.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</si>
  <si>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31 de diciembre de 2021 el Grupo de Agroquímcios y Proyectos Especiales  debía emitir 33 CT,  de los cuales 32 se finalizaron en términos. El indicador resgistró un 97% de avance y un 105% de cumplimiento frente a la meta programada para la vigencia. 
Nota: A partir del mes de agosto de 2021 se modifica la metodología de medición del indicador, se ajustaron los tiempos internos definidos para la finalización de CT teniendo en cuenta la operación normal de los sectores y los datos históricos de las vigencias 2019-2021, lo cual generó como resultado los siguientes tiempos:
•    Licencia Ambiental Nueva: 85 días hábiles contados a partir de la expedición del auto de inicio hasta la finalización del CT. 
•    Modificación de Licencia Ambiental: 55 días hábiles contados a partir de la expedición del auto de inicio hasta la finalización del CT.</t>
  </si>
  <si>
    <t>A corte 31 de enero de 2021 el sector de Evalaución de Agroquímicos y Proyectos Especiales ha expedido 5 actos administrativos para resolver las solicitudes de evaluación de licenciamiento ambiental.</t>
  </si>
  <si>
    <t>A corte 28 de febrero de 2021 el Grupo de Agroquímicos y Proyectos Especiales   Expidio  45 Actos administratvios de los cuales fueorn 39 DTA, 5 LA y 1 PMA.</t>
  </si>
  <si>
    <t>A corte 31 de Marzo de 2021 el Grupo de Agroquímicos y Proyectos Especiales  expidio  56 Actos administratvios de los cuales fueron 48 DTA, 6 LA y 2 PMA.</t>
  </si>
  <si>
    <t>A corte 30 de abril de 2021 el Grupo de Agroquímicos y Proyectos Especiales expidio  68 Actos administratvios de los cuales fueron 58 DTA, 6 LA y 4 PMA</t>
  </si>
  <si>
    <t>A corte 31 de Mayo de 2021 el Grupo de Agroquímicos y Proyectos Especiales expidió 85 Actos administrativos de los cuales fueron 72 DTA,  9 LA y 4 PMA. El indicador registra un 32% de avance.</t>
  </si>
  <si>
    <t>A corte 30 de  Junio de 2021 el Grupo de Agroquímicos y Proyectos Especiales   Expidio 100 Actos administratvios de los cuales fueron 84 DTA,  12 LA y 4 PMA. El indicador resgistra un 38% de avance.</t>
  </si>
  <si>
    <t>A corte 31 de  Julio de 2021 el Grupo de Agroquímicos y Proyectos Especiales   Expidio 145 Actos administratvios de los cuales fueron 123 DTA,  18 LA y 4 PMA. El indicador resgistra un 55% de avance.</t>
  </si>
  <si>
    <t>A corte 31 de  agosto de 2021 el Grupo de Agroquímicos y Proyectos Especiales   Expidio 166 Actos administratvios de los cuales fueron 142 DTA,  20 LA y 4 PMA. El indicador resgistra un 63% de avance</t>
  </si>
  <si>
    <t>A corte 30 de  septiembre de 2021 el Grupo de Agroquímicos y Proyectos Especiales  expidio 182 Actos administrativos de los cuales fueron 156 DTA,  21 LA y 5 PMA. El indicador resgistra un 69% de avance frente la meta programada.</t>
  </si>
  <si>
    <t>A corte 31 de octubre de 2021 el Grupo de Agroquímicos y Proyectos Especiales expidio 202 actos administratvios, de los cuales correspondía a 172 DTA,  24 LA y 6 PMA. El indicador resgistra un 88% de avance frente a la meta programada para la vigencia, la cual se ajustó de 265 a 230 el 05 de noviembre del 2021.</t>
  </si>
  <si>
    <t>A corte 30 de noviembre de 2021 el Grupo de Agroquímicos y Proyectos Especiales expidio 220 actos administratvios, de los cuales correspondía a 183 DTA,  31 LA y 6 PMA. El indicador resgistra un 96% de avance frente a la meta programada para la vigencia 2021.</t>
  </si>
  <si>
    <t>A corte 31 de diciembre de 2021 el Grupo de Agroquímicos y Proyectos Especiales expidio 249 actos administratvios, de los cuales correspondía a 207 DTA,  36 LA y 6 PMA. El indicador resgistró un 108% de avance superando la meta programada para la vigencia 2021.</t>
  </si>
  <si>
    <t>A corte 31 de enero de 2021 el sector no realizo  visitas técnicas de evalauicón.</t>
  </si>
  <si>
    <t>A corte 28 de febrero de 2021 el Grupo de Agroquímicos y Proyectos especiales  realizó 4 visitas correspondientes a 3 LA y 1 PMA.</t>
  </si>
  <si>
    <t>A corte 31 de MArzo de 2021 el Grupo de Agroquímicos y Proyectos especiales  realizó 5 visitas correspondientes a 4 LA y 1 PMA.</t>
  </si>
  <si>
    <t>A corte 30 de abril de 2021 el Grupo de Agroquímicos y Proyectos especiales realizó 6 visitas correspondientes a 4 LA y 2 PMA</t>
  </si>
  <si>
    <t xml:space="preserve">A corte 31 de Mayo de 2021 el Grupo de Agroquímicos y Proyectos especiales  realizó 7 visitas correspondientes a 5 LA y 2 PMA.  El indicador registra un 117% de avance. </t>
  </si>
  <si>
    <t xml:space="preserve">A corte 31 de Julio de 2021 el Grupo de Agroquímicos y Proyectos especiales  realizó 9 visitas correspondientes a 6 LA y 3 PMA.  El indicador resgistra un 90% de avance. </t>
  </si>
  <si>
    <t xml:space="preserve">A corte 31 de agosto de 2021 el Grupo de Agroquímicos y Proyectos Especiales  realizó 9 visitas correspondientes a 6 LA y 3 PMA.  El indicador resgistra un 90% de avance. </t>
  </si>
  <si>
    <t>A corte 30 de  septiembre de 2021 el Grupo de Agroquímicos y Proyectos Especiales  realizó 10 visitas correspondientes a 6 LA y 4 PMA.  El indicador resgistra un 100% de avance frente la meta programada. </t>
  </si>
  <si>
    <t>A corte 31 de octubre de 2021 el Grupo de Agroquímicos y Proyectos Especiales  realizó 10 visitas correspondientes a 6 LA y 4 PMA.  El indicador resgistra un 100% de avance. </t>
  </si>
  <si>
    <t>A corte 30 de  noviembre de 2021 el Grupo de Agroquímicos y Proyectos Especiales  realizó 11 visitas correspondientes a 7 LA y 4 PMA.  El indicador resgistra un 110% de avance frente a la meta programada para la vigencia 2021.</t>
  </si>
  <si>
    <t>A corte 31 de  diciembre de 2021 el Grupo de Agroquímicos y Proyectos Especiales  realizó 11 visitas correspondientes a 7 LA y 4 PMA.  El indicador resgistró un 110% de avance superando la meta programada para la vigencia 2021.</t>
  </si>
  <si>
    <t>A corte 31 de enero de 2021 el   Grupo de Evalaución de Agroquímicos y Proyectos Especiales  ha expedido 13 CT  para resolver las solicitudes de evaluación de licenciamiento ambiental.</t>
  </si>
  <si>
    <t>A corte 28 de febrero de 2021 el Grupo de agroquímcios y Proyectos Especiales emitió   34 CT de los cuales correponden a  33 DTA y 1 LA.</t>
  </si>
  <si>
    <t>Acorte 31 de Marzo de 2021 el Grupo de agroquímcios y Proyectos Especiales emitió   44 CT de los cuales correponden a  42 DTA, 1 LA y 1 PMA.</t>
  </si>
  <si>
    <t>Acorte 30 de abril  de 2021 el Grupo de agroquímcios y Proyectos Especiales emitió 54 CT de los cuales correponden a 50 DTA, 2 LA y 2 PMA</t>
  </si>
  <si>
    <t>Acorte 31 de Mayo  de 2021 el Grupo de agroquímicos y Proyectos Especiales emitió   67 CT de los cuales corresponden a  61 DTA, 4 LA y 2 PMA.  El indicador registra un 25% de avance.</t>
  </si>
  <si>
    <t>Acorte 31 de Julio  de 2021 el Grupo de agroquímcios y Proyectos Especiales emitió   128 CT de los cuales correponden a  112 DTA, 14 LA y 2 PMA.  El indicador resgistra un 48% de avance.</t>
  </si>
  <si>
    <t>A corte 31 de agosto de 2021 el Grupo de Agroquímicos y Proyectos Especiales emitió 148 CT, de los cuales correponden a 131 DTA, 14 LA y 3 PMA.  El indicador resgistra un 56% de avance.</t>
  </si>
  <si>
    <t>A corte 30 de  septiembre de 2021 el Grupo de Agroquímicos y Proyectos Especiales emitió   158 CT, de los cuales correponden a  139 DTA, 16 LA y 3 PMA.  El indicador resgistra un 60% de avance  frente la meta programada.</t>
  </si>
  <si>
    <t>A corte 31 de  octubre de 2021  el Grupo de Agroquímicos y Proyectos Especiales emitió 179 CT, de los cuales correponden a 152 DTA, 23 LA y 4 PMA. El indicador resgistra un 90% de avance frente a la meta programada para la vigencia, la cual se ajustó de 265 a 200 el 05 de noviembre de 2021.</t>
  </si>
  <si>
    <t>A corte 30 de  noviembre de 2021  el Grupo de Agroquímicos y Proyectos Especiales emitió 205 CT, de los cuales correponden a 176 DTA, 25 LA y 4 PMA. El indicador resgistra un 103% de avance  frente a la meta programada para la vigencia, 2021.</t>
  </si>
  <si>
    <t>A corte 31 de  diciembre de 2021  el Grupo de Agroquímicos y Proyectos Especiales emitió 231 CT, de los cuales correponden a 195 DTA, 31 LA y 5 PMA. El indicador resgistró un 116% de avance superando la meta programada para la vigencia 2021.</t>
  </si>
  <si>
    <t>A corte 31 de enero de 2021, el sector de Agroquimico y PE finalizó 13 CT correspondientes a solicitudes de DTA, a estos tràmites no les aplica la implementación de instrumentos.</t>
  </si>
  <si>
    <t>A corte 28 de febrero de 2021, el sector de Agroquímicos y PE finalizó 34 CT correspondientes a solicitudes de 33 DTA y 1 LA, a estos trámites no les aplica la implementación de instrumentos.</t>
  </si>
  <si>
    <t>A corte 31 de marzo de 2021 se registra un total de 2 conceptos técnicos de evaluación finalizados que implementan los instrumentos acogidos.</t>
  </si>
  <si>
    <t>A corte 30 de abril de 2021 se registra un total de 3 conceptos técnicos de evaluación finalizados que implementan los instrumentos acogidos</t>
  </si>
  <si>
    <t>A corte 31 de mayo de 2021 se finalizaron 2 Conceptos técnicos con instrumentos acogidos, el indicador registra un cumpliendo del 100%.</t>
  </si>
  <si>
    <t xml:space="preserve">A corte 31 de julio de 2021 el Grupo de Evaluación de Agroquímicos y Proyectos Especiales registra un total de 5 conceptos técnicos de evaluación finalizados que aplican los instrumentos  acogidos. El indicador registra un 100% de avance. </t>
  </si>
  <si>
    <t>A corte 31 de agosto de 2021 el Grupo de Evaluación de Agroquímicos y Proyectos Especiales registra un total de 7 conceptos técnicos de evaluación finalizados que implementan los instrumentos acogidos. El indicador registra un porcentaje de avance de 100%</t>
  </si>
  <si>
    <t>A corte 30 de septiembre de 2021 el Grupode de Agroqímicos y Proyectos Especiales registra un total de 8 conceptos técnicos de evaluación finalizados que implementan los instrumentos acogidos. El indicador presenta 100% de cumplimiento frente a la meta  a la meta programada para la vigencia. </t>
  </si>
  <si>
    <t>A corte 31 de octubre de 2021 el grupo de Agroquimicos y Proyectos Especiales registra un total de 10 conceptos técnicos de evaluación finalizados que implementan los instrumentos acogidos, estos CT corresponden a tramites de Licencia Ambiental (LA), Plan de Manejo Ambiental (PMA) y Diagnostico Ambiental Alternativas (DAA) en los casos que aplique. El indicador registra un 100% de avance frente a la meta programada.</t>
  </si>
  <si>
    <t>A corte 30 de noviembre de 2021 se registra un total de 11 conceptos técnicos de evaluación finalizados que implementan los instrumentos acogidos, El indicador indica un 100% de avance frente a la meta programada para la vigencia.</t>
  </si>
  <si>
    <t>A corte 31 de diciembre de 2021 se registra un total de 14 conceptos técnicos de evaluación finalizados por el Grupo de Agroquímicos que implementan los instrumentos acogidos, estos CT corresponden a tramites de Licencia Ambiental (LA) y Plan de Manejo Ambiental (PMA) en los casos que aplique. El indicador registra un 100% de avance frente a la meta programada.</t>
  </si>
  <si>
    <t>Subdirección de Evaluación de Licencias Ambientales</t>
  </si>
  <si>
    <t>A corte 31 de enero de 2021 la entidad debía resolver 11 solicitudes de licenciamiento ambiental; (6) Nuevas y (5) Modificaciones, de las cuales 10 se resolvieron oportunamente, como se muestra a continuación: E1.</t>
  </si>
  <si>
    <t>A corte 28 de febrero de 2021 la entidad debía resolver 22 solicitudes de licenciamiento ambiental; (11) Nuevas y (10) Modificaciones, de las cuales 20 se resolvieron oportunamente (10) Nuevas, (10) modificaciones., como se muestra a continuación: E4.</t>
  </si>
  <si>
    <t>A corte 31 de marzo de 2021 la entidad debía resolver 31 solicitudes de licenciamiento ambiental; (15) Nuevas y (16) Modificaciones, de las cuales 29 se resolvieron oportunamente (14) Nuevas, (15) modificaciones.</t>
  </si>
  <si>
    <t>A corte 30 de abril de 2021 la entidad debía resolver 40 solicitudes de licenciamiento ambiental; (18) Nuevas y (22) Modificaciones, de las cuales 38 se resolvieron oportunamente (17) Nuevas, (21) modificaciones.</t>
  </si>
  <si>
    <t>A corte 31 de mayo de  2021 ANLA debía resolver 45 solicitudes de licenciamiento ambiental;  (19) Nuevas, (26) Modificaciones, de las cuales 43 solicitudes se resolvieron oportunamente (18) Nuevas, (25) Modificaciones. El indicador registra un 96% de avance y un cumplimiento de 104% frente a la meta programada para la vigencia.</t>
  </si>
  <si>
    <t>A corte 30 de junio de 2021 ANLA debía resolver 52 solicitudes de licenciamiento ambiental; (23) Nuevas, (29) Modificaciones, de las cuales 50 solicitudes se resolvieron oportunamente (22) Nuevas, (28) Modificaciones. El indicador registra un 96% de avance y un cumplimiento de 105% frente a la meta programada para la vigencia.</t>
  </si>
  <si>
    <t>A corte 31 de julio de 2021 ANLA debía resolver 62 solicitudes de licenciamiento ambiental; (26) Nuevas, (26) Modificaciones, de las cuales 59 solicitudes se resolvieron oportunamente (25) Nuevas, (34) Modificaciones. El indicador registra un 95% de avance y un cumplimiento de 103% frente a la meta programada para la vigencia. A continuación se muestra el avance por sectores: E3</t>
  </si>
  <si>
    <t>A corte 31 de agosto de 2021 ANLA debía resolver 74 solicitudes de licenciamiento ambiental; (33) Nuevas, (41) Modificaciones, de las cuales 71 solicitudes se resolvieron oportunamente (32) Nuevas y (39) Modificaciones. El indicador registra un 96% de avance y un cumplimiento de 104% frente a la meta programada para la vigencia. A continuación se presenta el avance por grupo:</t>
  </si>
  <si>
    <t>A corte 30 de septiembre de 2021 ANLA debía resolver 89 solicitudes de licenciamiento ambiental; (43) Nuevas, (46) Modificaciones, de las cuales 86 solicitudes se resolvieron oportunamente (42) Nuevas y (44) Modificaciones. El indicador registra un 97% de avance y un cumplimiento de 105% frente a la meta programada para la vigencia. A continuación, se presenta el avance por grupo:</t>
  </si>
  <si>
    <t>A corte 31 de octubre de 2021 ANLA debía resolver 101 solicitudes de licenciamiento ambiental; (48) Nuevas, (53) Modificaciones, de las cuales 98 solicitudes se resolvieron oportunamente (47) Nuevas y (51) Modificaciones. El indicador registra un 97% de avance y un cumplimiento de 105% frente a la meta programada para la vigencia. A continuación, se presenta el avance por grupo:</t>
  </si>
  <si>
    <t>A corte 30 de noviembre de 2021 ANLA debía resolver 114 solicitudes de licenciamiento ambiental; (58) Nuevas, (56) Modificaciones, de las cuales 111 solicitudes se resolvieron oportunamente (57) Nuevas y (54) Modificaciones. El indicador registra un 97% de avance y un cumplimiento de 106% frente a la meta programada para la vigencia. A continuación, se presenta el avance por grupo:</t>
  </si>
  <si>
    <t xml:space="preserve">A corte 31 de diciembre de 2021 ANLA debía resolver 127 solicitudes de licenciamiento ambiental; (68) Nuevas, (59) Modificaciones, de las cuales 124 solicitudes se resolvieron oportunamente (67) Nuevas y (57) Modificaciones. El indicador registra un 98% de avance y un cumplimiento de 106% frente a la meta programada para la vigencia. </t>
  </si>
  <si>
    <t>A corte 31 de enero de  2021 se han expedido 16 actos administrativos para resolver las solicitudes de evaluación de licenciamiento ambiental, distribuidas por sector de la siguiente manera: E2.</t>
  </si>
  <si>
    <t>A corte 28 de febrero de  2021 se han expedido 66 actos administrativos para resolver las solicitudes de evaluación de licenciamiento ambiental, distribuidas por sector e instrumento de la siguiente manera: E1.</t>
  </si>
  <si>
    <t>A corte 31 de marzo de 2021 se han expedido 86 actos administrativos para resolver las solicitudes de evaluación de licenciamiento ambiental, distribuidas por sector e instrumento.</t>
  </si>
  <si>
    <t>A corte 30 de abril de 2021 se han expedido 124 actos administrativos para resolver las solicitudes de evaluación de licenciamiento ambiental.</t>
  </si>
  <si>
    <t>A corte 31 de mayo de  2021 se han expedido 152 actos administrativos para resolver las solicitudes de evaluación de licenciamiento ambiental. El indicador registra un 37% de avance.</t>
  </si>
  <si>
    <t>A  corte 30 de junio de 2021 se han expedido 174 actos administrativos para resolver las solicitudes de evaluación de licenciamiento ambiental. El indicador registra un 42% de avance frente la meta programada para la vigencia.</t>
  </si>
  <si>
    <t>A corte 31 de julio de 2021 se han expedido 225 actos administrativos para resolver las solicitudes de evaluación de licenciamiento ambiental, distribuidos por sector de la siguiente manera: Agroquimicos 139, Energia 25, Hidrocarburos 17, Infraestructura 26, Mineria 12 y Poryectos especiales 6. Para un total de 225 Actos administrativos.</t>
  </si>
  <si>
    <t>A corte 31 de agosto de 2021 se han expedido 257 actos administrativos para resolver las solicitudes de evaluación de licenciamiento ambiental, el indicador registra un 62% de avance frente la meta programada para la vigencia. A continuación se presenta el avance por grupo: Agroquímicos y PE	166, Energía	29, Hidrocarburos	20, Infraestructura	29 Y Minería	13.</t>
  </si>
  <si>
    <t>A corte 30 de septiembre de 2021 se han expedido 293 actos administrativos para resolver las solicitudes de evaluación de licenciamiento ambiental, el indicador registra un 71% de avance frente la meta programada para la vigencia. A continuación, se presenta el avance por grupo: Agroquímicos y PE	182, Energía	35, Hidrocarburos	26, Infraestructura	36 Y Minería	14.</t>
  </si>
  <si>
    <t>A corte 30 de noviembre de 2021 se han expedido 365 actos administrativos para resolver las solicitudes de evaluación de licenciamiento ambiental, el indicador registra un 97% de avance frente la meta programada para la vigencia. A continuación, se presenta el avance por grupo:  Agroquímicos y PE	220, Energía	43, Hidrocarburos	31, Infraestructura	52 Y Minería	19.</t>
  </si>
  <si>
    <t xml:space="preserve">A corte 31 de diciembre de 2021 se expidieron 409 actos administrativos para resolver las solicitudes de evaluación de licenciamiento ambiental, el indicador registró un 108% de avance superando la meta programada para la vigencia. </t>
  </si>
  <si>
    <t>A corte 31 de enero de  2021 se han realizado 5 visitas técnicas para el proceso de evaluación de licenciamiento ambiental, distribuidas por sector asi: E3</t>
  </si>
  <si>
    <t>A corte 28 de febrero de  2021 se han realizado 18 visitas técnicas para el proceso de evaluación de licenciamiento ambiental, distribuidas por instrumento y sector asi: E3.</t>
  </si>
  <si>
    <t>A corte 31 de marzo de 2021 se han realizado 35 visitas técnicas para el proceso de evaluación de licenciamiento ambiental, distribuidas por instrumento y sector.</t>
  </si>
  <si>
    <t>A corte 30 de abril de 2021 se han realizado 45 visitas técnicas para el proceso de evaluación de licenciamiento ambiental, distribuidas por instrumento y sector así…</t>
  </si>
  <si>
    <t>A corte 31 de mayo de 2021 se han realizado 51 visitas de licenciamiento ambiental.  El indicador registra un 43% de avance.</t>
  </si>
  <si>
    <t>A corte 30 de junio de 2021 se han realizado 66 visitas técnicas de licenciamiento ambiental, el indicador registra un 55% de avance. </t>
  </si>
  <si>
    <t xml:space="preserve">A corte 31 de julio de 2021 se han realizado 74 visitas técnicas de licenciamiento ambiental, el indicador registra un 62% de avance. Las visitas se distribuyen por sector de la siguiente manera:  </t>
  </si>
  <si>
    <t>A corte 31 de agosto de 2021 se han realizado 86 visitas técnicas de evaluación de licenciamiento ambiental, el indicador registra un 76% de avance frente a la meta programada para la vigencia. Las visitas se distribuyeron por grupo de la siguiente manera:</t>
  </si>
  <si>
    <t>A corte 30 de septiembre de 2021 se han realizado 93 visitas técnicas de evaluación de licenciamiento ambiental, el indicador registra un 82% de avance frente a la meta programada para la vigencia. Las visitas se distribuyeron por grupo de la siguiente manera:</t>
  </si>
  <si>
    <t>A corte 31 de octubre de 2021 se han realizado 100 visitas técnicas de evaluación de licenciamiento ambiental, el indicador registra un 88% de avance frente a la meta programada para la vigencia. Las visitas se distribuyeron por grupo de la siguiente manera:</t>
  </si>
  <si>
    <t>A corte 30 de noviembre de 2021 se han realizado 109 visitas técnicas de evaluación de licenciamiento ambiental, el indicador registra un 96% de avance frente a la meta programada para la vigencia. Las visitas se distribuyeron por grupo de la siguiente manera:</t>
  </si>
  <si>
    <t xml:space="preserve">A corte 31 de diciembre de 2021 se realizaron 118 visitas técnicas de evaluación de licenciamiento ambiental, el indicador registró un 104% de avance superando la meta programada para la vigencia. </t>
  </si>
  <si>
    <t>A corte 31 de enero de  2021 se han elaborado 23 conceptos técnicos para resolver las solicitudes de evaluación de licenciamiento ambiental, distribuidos por sector de la siguiente manera: E4</t>
  </si>
  <si>
    <t>A corte 28 de febrero de  2021 se han elaborado 55 conceptos técnicos para resolver las solicitudes de evaluación de licenciamiento ambiental, distribuidos por sector e instrumento de la siguiente manera: E2.</t>
  </si>
  <si>
    <t>A corte 31 de marzo de 2021 se han elaborado 73 conceptos técnicos para resolver las solicitudes de evaluación de licenciamiento ambiental, distribuidos por sector e instrumento.</t>
  </si>
  <si>
    <t>A corte 30 de abril de 2021 se han elaborado 106 conceptos técnicos para resolver las solicitudes de evaluación de licenciamiento ambiental, distribuidos por sector e instrumento de la siguiente manera…</t>
  </si>
  <si>
    <t>A corte 31 de mayo de 2021 se han finalizado 131 CT para resolver las solicitudes de evaluación de licenciamiento ambiental.  El indicador registra un 33% de avance.</t>
  </si>
  <si>
    <t>A corte 30 de junio de 2021 se han finalizado 165 CT para resolver las solicitudes de evaluación de licenciamiento ambiental. El indicador registra un 42% de avance frente a la meta programada para la vigencia.</t>
  </si>
  <si>
    <t>A corte 31 de julio de 2021 se han finalizado 203 CT para resolver las solicitudes de evaluación de licenciamiento ambiental, distribuidos por sector de la siguiente manera: Agroquimicos 124, Energia 24, Hidrocarburos 17, Infraestructura 23, Mineria 11 y Poryectos especiales 4. Para un total de 203 CT.</t>
  </si>
  <si>
    <t>A corte 31 de agosto de 2021 se han finalizado 235 CT para resolver las solicitudes de evaluación de licenciamiento ambiental, el indicador registra un 59% de avance frente a la meta programada para la vigencia. Los CT se distribuyeron por grupo de la siguiente manera: Agroquímicos y PE	148
Energía	29
Hidrocarburos	19
Infraestructura	27
Minería	12.</t>
  </si>
  <si>
    <t>A corte 30 de septiembre de 2021 se han finalizado 261 CT para resolver las solicitudes de evaluación de licenciamiento ambiental, el indicador registra un 66% de avance frente a la meta programada para la vigencia. Los CT se distribuyeron por grupo de la siguiente manera: Agroquímicos y PE	158
Energía	34
Hidrocarburos	25
Infraestructura	32
Minería	12.</t>
  </si>
  <si>
    <t>A corte 31 de octubre de 2021 se han finalizado 306 CT para resolver las solicitudes de evaluación de licenciamiento ambiental, el indicador registra un 92% de avance frente a la meta programada para la vigencia, la cual se ajustó de 397 a 332 el 5 de noviembre del 2021.Los CT se distribuyeron por grupo de la siguiente manera: Agroquímicos y PE 179, Energía 38, Hidrocarburos 27, Infraestructura 45 y Minería 17.</t>
  </si>
  <si>
    <t>A corte 30 de noviembre de 2021 se han finalizado 345 CT para resolver las solicitudes de evaluación de licenciamiento ambiental, el indicador registra un 104% de avance superando la meta programada para la vigencia. Los CT se distribuyeron por grupo de la siguiente manera:  Agroquímicos y PE 205, Energía 44, Hidrocarburos 30, Infraestructura 49 y Minería 17.</t>
  </si>
  <si>
    <t>A corte 31 de diciembre de 2021 se finalizaron 383 CT para resolver las solicitudes de evaluación de licenciamiento ambiental, el indicador registró un 115% de avance superando la meta programada para la vigencia.</t>
  </si>
  <si>
    <t>Número de conceptos técnicos de evaluación finalizados que implementan los instrumentos acogidos/Total de conceptos técnicos</t>
  </si>
  <si>
    <t>Reporte Trimestral</t>
  </si>
  <si>
    <t>A corte 31 de marzo de 2021 se registra un total de 21 conceptos técnicos de evaluación finalizados que implementan los instrumentos acogidos, estos CT corresponden a tramites de Licencia Ambiental (LA), Plan de Manejo Ambiental (PMA) y Diagnostico Ambiental Alternativas (DAA) en los casos que aplique.</t>
  </si>
  <si>
    <t>A corte 30 de junio de 2021 se registra un total de 41 conceptos técnicos de evaluación finalizados que implementan los instrumentos acogidos, estos CT corresponden a tramites de Licencia Ambiental (LA), Plan de Manejo Ambiental (PMA) y Diagnostico Ambiental Alternativas (DAA) en los casos que aplique. El indicador registra un 100% de avance frente a la meta programada.</t>
  </si>
  <si>
    <t>A corte 30 de septiembre de 2021 se registra un total de 70 conceptos técnicos de evaluación finalizados que implementan los instrumentos acogidos, estos CT corresponden a tramites de Licencia Ambiental (LA), Plan de Manejo Ambiental (PMA) y Diagnostico Ambiental Alternativas (DAA) en los casos que aplique. El indicador registra un 100% de avance frente a la meta programada.</t>
  </si>
  <si>
    <t>A corte 31 de diciembre de 2021 se registró un total de 107 conceptos técnicos de evaluación finalizados que implementan los instrumentos acogidos, estos CT corresponden a tramites de Licencia Ambiental (LA), Plan de Manejo Ambiental (PMA) y Diagnostico Ambiental Alternativas (DAA) en los casos que aplique. El indicador registra un 100% de avance frente a la meta programada.</t>
  </si>
  <si>
    <t>Planes institucionales implementados - Implementación de la estrategia de evaluación de licenciamiento ambiental</t>
  </si>
  <si>
    <t>Número de actividades ejecutadas del plan de trabajo establecido / Total de actividades programadas del plan de trabajo</t>
  </si>
  <si>
    <t>Trimestral</t>
  </si>
  <si>
    <t>A corte 31 de marzo de 2021 la implementación de la estrategia de evaluación de licenciamiento ambiental registra un porcentaje de avance del 4% frente a la meta de 24% programada en la vigencia, a la fecha se ha elaborado el plan de trabajo y se han adelantado 54 de las 55 actividades programadas para el primer trimestre en los diferentes componentes.</t>
  </si>
  <si>
    <t>A corte 30 de junio de 2021 se reporta un 8% de avance en la elaboración del Plan de Trabajo e implementación de la Estrategia de Evaluación, de acuerdo con el trabajo realizado con las diferentes dependencias que son partícipes de este proceso, el cual abarca el desarrollo de actividades en los diferentes componentes que hacen parte de la Estrategia. Se registra un 33% de cumplimiento frente a la meta programada en la vigencia.</t>
  </si>
  <si>
    <t>Indicador con reporte TRIMESTRAL: A corte 30 de septiembre de 2021 la implementación de la estrategia de evaluación de licenciamiento ambiental registra un 11% de avance de acuerdo con el trabajo realizado con las diferentes dependencias que son partícipes de este proceso, el indicador presenta un cumplimiento del 69% frente a la meta programada en la vigencia.</t>
  </si>
  <si>
    <t>A corte 31 de diciembre de 2021 la implementación de la estrategia de evaluación de licenciamiento ambiental registró un porcentaje de avance del 16% y un cumplimiento del 100% frente a la meta programada para la vigencia.</t>
  </si>
  <si>
    <t>Porcentaje de cambios menores no reglados resueltos oportunamente</t>
  </si>
  <si>
    <t>(Número de Cambios menores no reglados resueltos en términos /Total de Cambios menores no reglados con vencimiento de términos) * 100</t>
  </si>
  <si>
    <t>A corte 31 de enero de 2021, el grupo  tenia 40 activiades de cambios menores no reglados por gestionar con vencimientos de términos, de las cuales 39 fueron atendidos oportunamente distribuidos asi: Infraestructura (13), Hidrocarburos (12), Energía (4), Minería (2) y Agroquímicos (8).</t>
  </si>
  <si>
    <t xml:space="preserve">A corte 28 de febrero de 2021, el grupo tenía 71 actividades de cambios menores no reglados por gestionar con vencimiento de términos, de las cuales 70 fueron atendidas oportunamente distribuidas asi: Infraestructura (21), Hidrocarburos (16), Energía (8), Minería (5) y Agroquímicos (20).
</t>
  </si>
  <si>
    <t>A corte 31 de marzo de 2021, el grupo tenía 94 actividades de cambios menores no reglados por gestionar con vencimiento de términos, de las cuales 93 fueron atendidas oportunamente, distribuidas asi: Infraestructura (26), Hidrocarburos (21), Energía (9), Minería (8) y Agroquímicos (29).</t>
  </si>
  <si>
    <t>A corte 30 de abril de 2021, el grupo tenía 126 actividades de cambios menores no reglados por gestionar con vencimiento de términos, de las cuales 124 fueron atendidas oportunamente distribuidas asi: Infraestructura (31), Hidrocarburos (34), Energía (12), Minería (8) y Agroquímicos (41)</t>
  </si>
  <si>
    <t>A corte 31 de mayo de 2021, el grupo tenía 155 actividades de cambios menores no reglados por gestionar con vencimiento de términos, de las cuales 153 fueron atendidas oportunamente distribuidas por sector así: Infraestructura (34), Hidrocarburos (47), Energía (16), Minería (9) y Agroquímicos (47). El indicador registra un 99% de avance y un cumplimiento del 104% frente a la meta programada en la vigencia</t>
  </si>
  <si>
    <t>A corte 30 de junio de 2021, el grupo tenía 186 actividades de cambios menores no reglados por gestionar con vencimiento de términos, de las cuales 184 fueron atendidas oportunamente distribuidas asi: Infraestructura (37), Hidrocarburos (62), Energía (17), Minería (13) y Agroquímicos (55). El indicador registra un 99% de avance y un cumplimiento del 104% frente a la meta programada en la vigencia.</t>
  </si>
  <si>
    <t>A corte 31 de julio de 2021, el grupo tenía 219 actividades de cambios menores no reglados por gestionar con vencimiento de términos, de las cuales 217 fueron atendidas oportunamente distribuidas asi: Infraestructura (43), Hidrocarburos (73), Energía (20), Minería (17) y Agroquímicos (64). El indicador registra un 99% de avance y un cumplimiento del 104% frente a la meta programada en la vigencia.</t>
  </si>
  <si>
    <t>A corte 31 de agosto de 2021, el grupo tenía 250 actividades de cambios menores no reglados por gestionar con vencimiento de términos, de las cuales 248 fueron atendidas oportunamente distribuidas por sector asi: Infraestructura (47), Hidrocarburos (83), Energía (24), Minería (19) y Agroquímicos (75). El indicador registra un 99% de avance y un cumplimiento del 104% frente a la meta programada en la vigencia.</t>
  </si>
  <si>
    <t>A corte 30 de septiembre de 2021, el grupo tenía 279 actividades de cambios menores no reglados por gestionar con vencimiento de términos, de las cuales 276 fueron atendidas oportunamente distribuidas asi: Infraestructura (55), Hidrocarburos (94), Energía (29), Minería (20) y Agroquímicos (78). El indicador registra un 99% de avance y un cumplimiento del 104% frente a la meta programada en la vigencia.</t>
  </si>
  <si>
    <t>A corte 31 de octubre de 2021, el grupo tenía 308 actividades de cambios menores no reglados por gestionar con vencimiento de términos, de las cuales 305 fueron atendidas oportunamente distribuidas asi:Infraestructura (61), Hidrocarburos (102), Energía (36), Minería (21) y Agroquímicos (85). El indicador registra un 99% de avance y un cumplimiento del 104% frente a la meta programada en la vigencia.</t>
  </si>
  <si>
    <t>A corte 30 de noviembre de 2021, el grupo tenía 345 actividades de cambios menores no reglados por gestionar con vencimiento de términos, de las cuales 342 fueron atendidas oportunamente distribuidas asi: Infraestructura (64), Hidrocarburos (118), Energía (40), Minería (22) y Agroquímicos (98). El indicador registra un 99% de avance y un cumplimiento del 104% frente a la meta programada en la vigencia.</t>
  </si>
  <si>
    <t>A corte 31 de diciembre de 2021, el grupo tenía 386 actividades de cambios menores no reglados por gestionar con vencimiento de términos, de las cuales 383 fueron atendidas oportunamente distribuidas asi por sector: Infraestructura (78), Hidrocarburos (135), Energía (44), Minería (23) y Agroquímicos (103). El indicador registró un 99% de avance y un cumplimiento del 104% frente a la meta programada en la vigencia.</t>
  </si>
  <si>
    <t>Porcentaje de VPD con respuesta oportuna</t>
  </si>
  <si>
    <t>(Numero VPD finalizados en términos / Número de VPD con vencimiento de términos)*100</t>
  </si>
  <si>
    <t>A corte 31 de enero de 2021, el grupo tenía 32 VPD para gestionar con vencimientos de términos, de las cuales 3 fueron atendidas oportunamente. Este bajo porcentaje se debe al aumento del número de VPD por motivo de la reactivación económica al finalizar la vigencia 2020, a la transición del proceso de VPD de la SMPC a SELA y a la falta de personal suficiente al inicio del año 2021 para atender estos trámites.</t>
  </si>
  <si>
    <t>A corte 28 de febrero de 2021, el grupo tenia 61 VPD para gestionar con vencimientos de términos, de las cuales 31 fueron atendidas oportunamente. Es importante resaltar que para el mes de febrero se atendieron oportunamente el 96% de las VPD asignadas.</t>
  </si>
  <si>
    <t>A corte 31 de marzo de 2021, el grupo tenia 111 VPD para gestionar con vencimientos de términos, de las cuales 82 fueron atendidas oportunamente. Es importante resaltar que para el mes de marzo se atendieron oportunamente el 100% de las VPD asignadas.</t>
  </si>
  <si>
    <t>A corte 30 de abril de 2021, el grupo tenia 149 VPD para gestionar con vencimientos de términos, de las cuales 116 fueron atendidas oportunamente. El indicador registra un 78% de avance y un porcentaje de cumplimiento del 92% frente a la meta programada.</t>
  </si>
  <si>
    <t>A corte 31 de mayo de 2021, el grupo tenia 182 VPD para gestionar con vencimientos de términos, de las cuales 150 fueron atendidas oportunamente. Es importante resaltar que para el mes de mayo se atendieron oportunamente el 96% de las VPD asignadas. El indicador registra un avance acumulad de 82% y un porcentaje de cumplimiento del 97% frente a la meta programada. A partir del mes de mayo se realiza la modificación en la matriz de VPD de acuerdo a la actualización realizada en SILA, en la cual se parametrizaron 7 días hábiles (y no 6 como estaba anteriormente) desde la radicación hasta la respuesta de la VPD, tal como esta establecido en el PR-4 Procedimiento de evaluación y PR-5 Procedimiento de modificación de licencias.</t>
  </si>
  <si>
    <t>A corte 30 de junio de 2021, el grupo tenia 209 VPD para gestionar con vencimientos de términos, de las cuales 175 fueron atendidas oportunamente. Es importante resaltar que para el mes de junio se atendieron oportunamente el 100% de las VPD asignadas (26). El indicador registra un avance acumulado de 84% y un porcentaje de cumplimiento del 99% frente a la meta programada.</t>
  </si>
  <si>
    <t>A corte 31 de julio de 2021, el grupo tenia 232 VPD para gestionar con vencimientos de términos, de las cuales 197 fueron atendidas oportunamente. Es importante resaltar que para el mes de junio se atendieron oportunamente el 100% de las VPD asignadas (22). El indicador registra un avance acumulado de 85% y un porcentaje de cumplimiento del 100% frente a la meta programada.</t>
  </si>
  <si>
    <t>A corte 31 de agosto de 2021, el grupo tenia 247 VPD para gestionar con vencimientos de términos, de las cuales 215 fueron atendidas oportunamente. Es importante resaltar que para el mes de agosto se atendieron oportunamente el 100% de las VPD asignadas (22). El indicador registra un avance acumulado de 87% y un porcentaje de cumplimiento del 102% frente a la meta programada.</t>
  </si>
  <si>
    <t>A corte 30 de septiembre de 2021, el grupo tenia 275 VPD para gestionar con vencimientos de términos, de las cuales 244 fueron atendidas oportunamente. Es importante resaltar que para el mes de agosto se atendieron oportunamente el 100% de las VPD asignadas (22). El indicador registra un avance acumulado de 87% y un porcentaje de cumplimiento del 104% frente a la meta programada.</t>
  </si>
  <si>
    <t>A corte 31 de octubre de 2021, el grupo tenia 296 VPD para gestionar con vencimientos de términos, de las cuales 265 fueron atendidas oportunamente. Es importante resaltar que para el mes de agosto se atendieron oportunamente el 100% de las VPD asignadas (21). El indicador registra un avance acumulado de 90% y un porcentaje de cumplimiento del 105% frente a la meta programada.</t>
  </si>
  <si>
    <t>A corte 30 de noviembre de 2021, el grupo tenia 321 VPD para gestionar con vencimientos de términos, de las cuales 290 fueron atendidas oportunamente. Es importante resaltar que para el mes de noviembre se atendieron oportunamente el 100% de las VPD asignadas (25). El indicador registra un avance acumulado de 90% y un porcentaje de cumplimiento del 106% frente a la meta programada.</t>
  </si>
  <si>
    <t>A corte 31 de diciembre de 2021, el grupo tenia 362 VPD para gestionar con vencimientos de términos, de las cuales 331 fueron atendidas oportunamente. Es importante resaltar que para el mes de diciembre se atendieron oportunamente el 100% de las VPD asignadas. El indicador registró un avance acumulado de 91% y un porcentaje de cumplimiento del 108% frente a la meta programada.</t>
  </si>
  <si>
    <t>Grupo Valoración y Manejo de Impactos</t>
  </si>
  <si>
    <t>A corte 31 de enero de 2021, el grupo de Servicios Geoespaciales efectuó la verificación de 2 cambios menores no reglados con vencimiento de terminos, los cuales se atendieron oportunamente.</t>
  </si>
  <si>
    <t>A corte 28 de Febrero de 2021, el grupo de Servicios Geoespaciales efectuó la verificación de 7 cambios menores no reglados con vencimiento de terminos a la fecha, los cuales se atendieron oportunamente, para un porcentaje total acumulado del 100% y obteniendo un Porcentaje de cumplimiento frente a la meta de producto del 105%.</t>
  </si>
  <si>
    <t>A corte 31 de Marzo de 2021, el grupo de Servicios Geoespaciales efectuó la verificación de 10 cambios menores no reglados con vencimiento de terminos a la fecha, los cuales se atendieron oportunamente, para un porcentaje total acumulado del 100% y obteniendo un porcentaje de  cumplimiento frente a la meta de producto del 105%.</t>
  </si>
  <si>
    <t>A corte 30 de Junio de 2021, el grupo de Servicios Geoespaciales efectuó la verificación de 46 cambios menores no reglados con vencimiento de terminos a la fecha, los cuales se atendieron oportunamente, para un porcentaje total acumulado del 100% y obteniendo un porcentaje de  cumplimiento frente a la meta del 105%.</t>
  </si>
  <si>
    <t>A corte 31 de Mayo de 2021, el grupo de Servicios Geoespaciales efectuó la verificación de 33 cambios menores no reglados con vencimiento de términos a la fecha, los cuales se atendieron oportunamente, para un porcentaje total acumulado del 100% y obteniendo un Porcentaje de  cumplimiento frente a la meta de producto del 105%.</t>
  </si>
  <si>
    <t>A corte 31 de Julio de 2021, el grupo de Servicios Geoespaciales efectuó la verificación de 58 cambios menores no reglados con vencimiento de terminos a la fecha, los cuales se atendieron oportunamente, para un porcentaje total acumulado del 100% y obteniendo un Porcentaje de  cumplimiento frente a la meta de producto del 105%.</t>
  </si>
  <si>
    <t>A corte 31 de Agosto de 2021, el grupo de Servicios Geoespaciales efectuó la verificación de 66 cambios menores no reglados con vencimiento de terminos a la fecha, los cuales se atendieron oportunamente, para un porcentaje total acumulado del 100% y obteniendo un porcentaje de cumplimiento frente a la meta de producto del 105%.</t>
  </si>
  <si>
    <t>A corte 30 de septiembre de 2021, el grupo de Servicios Geoespaciales efectuó la verificación de 83 cambios menores no reglados con vencimiento de terminos a la fecha, los cuales se atendieron oportunamente, para un porcentaje total acumulado del 100% y obteniendo un porcentaje de  cumplimiento frente a la meta de producto del 105%.</t>
  </si>
  <si>
    <t>A corte 31 de Octubre de 2021, el grupo de Servicios Geoespaciales efectuó la verificación de 98 cambios menores no reglados con vencimiento de terminos a la fecha, los cuales se atendieron oportunamente, para un porcentaje total acumulado del 100% y obteniendo un Porcentaje de  cumplimiento frente a la meta de producto del 105%.</t>
  </si>
  <si>
    <t>A corte 30 de Noviembre de 2021, el grupo de Servicios Geoespaciales efectuó la verificación de 115 cambios menores no reglados con vencimiento de terminos a la fecha, los cuales se atendieron oportunamente, para un porcentaje total acumulado del 100% y obteniendo un Porcentaje de  cumplimiento frente a la meta de producto del 105%.</t>
  </si>
  <si>
    <t>A  corte 31 de Diciembre de 2021, el grupo de Servicios Geoespaciales efectuó la verificación de 134 cambios menores no reglados con vencimiento de terminos a la fecha, los cuales se atendieron oportunamente, para un porcentaje total acumulado del 100% y obteniendo un porcentaje de  cumplimiento frente a la meta de producto del 105%.</t>
  </si>
  <si>
    <t>A corte 31 de enero de 2021, el grupo efectuó la verificación de 4 sobre 24 en terminos, los cuales se atendieron oportunamente.</t>
  </si>
  <si>
    <t xml:space="preserve">A corte 28 de Febrero de 2021, el grupo de Servicios Geoespaciales efectuó la verificación de 51 VPD con vencimiento de términos a la fecha, de las cuales para 31 se realizó su revisión en términos alcanzando un porcentaje total acumulado del 61%, obteniendo un porcentaje de cumpliento frente a la meta de producto del 72%. Es importante resaltar que para el mes de febrero se revisaron oportunamente el 100% de las VPD asignadas (27).
</t>
  </si>
  <si>
    <t>A corte 31 de Marzo de 2021, el grupo de Servicios Geoespaciales efectuó la verificación de 87 VPD, de las cuales para 67 se realizó su revisión en términos alcanzando un porcentaje total acumulado del 77,01%, obteniendo un Porcentaje de cumplimiento frente a la meta de producto del 91%. Es importante resaltar que para el mes de marzo se revisaron oportunamente el 100% de las VPD asignadas (38).</t>
  </si>
  <si>
    <t>A corte 30 de Junio de 2021, el grupo de Servicios Geoespaciales efectuó la verificación de 158 VPD que tenian vencimiento de terminos en el periodo, de las cuales para 138 se realizó su revisión en términos alcanzando un porcentaje total acumulado del 87,34%, obteniendo un Porcentaje de cumpliento frente a la meta de producto del 102,8%. Es importante resaltar que para el mes de junio se revisaron oportunamente el 100% de las VPD asignadas (20).</t>
  </si>
  <si>
    <t>A corte 31 de Mayo de 2021, el grupo de Servicios Geoespaciales efectuó la verificación de 138 VPD que tenían vencimiento de términos en el periodo, de las cuales para 118 se realizó su revisión en términos alcanzando un porcentaje total acumulado del 85,51%, obteniendo un Porcentaje de cumplimento frente a la meta de producto del 100,6%. Es importante resaltar que para el mes de mayo se revisaron oportunamente el 100% de las VPD asignadas (19).</t>
  </si>
  <si>
    <t>A corte 31 de Julio de 2021, el grupo de Servicios Geoespaciales efectuó la verificación de 178 VPD que tenian vencimiento de terminos en el periodo, de las cuales para 158 se realizó su revisión en términos alcanzando un porcentaje total acumulado del 89%, obteniendo un Porcentaje de cumpliento frente a la meta de producto del 104%. Es importante resaltar que para el mes de julio se revisaron oportunamente el 100% de las VPD asignadas (20).</t>
  </si>
  <si>
    <t>A corte 31 de Agosto de 2021, el grupo de Servicios Geoespaciales efectuó la verificación de 197 VPD que tenian vencimiento de terminos en el periodo, de las cuales para 177 se realizó su revisión en términos alcanzando un porcentaje total acumulado del 90%, obteniendo un porcentaje de cumpliento frente a la meta de producto del 106%. Es importante resaltar que para el mes de agosto se revisaron oportunamente el 100% de las VPD asignadas (19).</t>
  </si>
  <si>
    <t>A corte 30 de septiembre de 2021, el grupo de Servicios Geoespaciales efectuó la verificación de 214 VPD que tenian vencimiento de terminos en el periodo, de las cuales para 194 se realizó su revisión en términos alcanzando un porcentaje total acumulado del 90,65%, obteniendo un Porcentaje de cumplimiento frente a la meta de producto del 106,7%. Es importante resaltar que para el mes de septiembre se revisaron oportunamente el 100% de las VPD asignadas (17).</t>
  </si>
  <si>
    <t>A corte 31 de Octubre de 2021, el grupo de Servicios Geoespaciales efectuó la verificación de 230 VPD que tenian vencimiento de terminos en el periodo, de las cuales para 210 se realizó su revisión en términos alcanzando un porcentaje total acumulado del 91%, obteniendo un Porcentaje de cumpliento frente a la meta de producto del 107,4%. Es importante resaltar que para el mes de octubre se revisaron oportunamente el 100% de las VPD asignadas (16).</t>
  </si>
  <si>
    <t>A corte 30 de Noviembre de 2021, el grupo de Servicios Geoespaciales efectuó la verificación de 253 VPD que tenian vencimiento de terminos en el periodo, de las cuales para 233 se realizó su revisión en términos alcanzando un porcentaje total acumulado del 92%, obteniendo un Porcentaje de cumpliento frente a la meta de producto del 108%. Es importante resaltar que para el mes de noviembre se revisaron oportunamente el 100% de las VPD asignadas (23).</t>
  </si>
  <si>
    <t>A corte 31 de Diciembre de 2021, el grupo de Servicios Geoespaciales efectuó la verificación de 286 VPD que tenian vencimiento de terminos en el periodo, de las cuales para 266 se realizó su revisión en términos alcanzando un porcentaje total acumulado del 93%, obteniendo un porcentaje de cumpliento frente a la meta de producto del 109%. Es importante resaltar que para el mes de diciembre se revisaron oportunamente el 100% de las VPD asignadas (33).</t>
  </si>
  <si>
    <t>Porcentaje de proyectos en evaluación revisados desde el componente de compensación e inversión del 1%</t>
  </si>
  <si>
    <t>(Numero de conceptos técnicos numerados que incluyen el componente de compensación e inversión del 1% en etapa de evaluación / Total de conceptos técnicos de evaluación revisados por profesionales del equipo de Compensación e Inversión del 1%) * 100</t>
  </si>
  <si>
    <t>Durante el mes de enero desde el grupo de compensaciones se ha finalizado la revisión de 2 (dos) expedientes yno se ha tenido finalizaciones de actividades desde los sectores que incluyan conceptos finalizados y numerados de compensación y 1%..</t>
  </si>
  <si>
    <t>A corte de febrero se finalizaron desde los sectores con concepto técnico numerado un total de  3 (tres) expedientes y desde Compensaciones_1% fueron finalizadas la revisión para 9 (nueve) expedientes.</t>
  </si>
  <si>
    <t>A corte de marzo se finalizaron desde los sectores con concepto técnico numerado un total de  6 (seis) expedientes y desde Compensaciones_1% fueron finalizadas la revisión para 14 (catorce) expedientes.</t>
  </si>
  <si>
    <t>A corte del mes de junio de 2021, desde el grupo de Compensaciones_1% fue finalizada la revisión para 33 (treinta y tres) expedientes de los cuales los sectores finalizaron con concepto técnico numerado un total de 23 (veintitres)  expedientes. El indicador registra un avance de 70% y un cumplimiento de 74% frente a la meta programada.</t>
  </si>
  <si>
    <t>A corte del mes de mayo de 2021, desde el grupo de Compensaciones_1% fue finalizada la revisión para 26 (veintiséis) expedientes de los cuales los sectores finalizaron con concepto técnico numerado un total de 16 (dieciséis)  expedientes. El indicador registra un avance de 62% y un cumplimiento de 65% frente a la meta programada.</t>
  </si>
  <si>
    <t>A corte del mes de  julio  de 2021, desde el grupo de Compensaciones_1% fue finalizada la revisión para 42 (cuarenta y dos) expedientes de los cuales los sectores finalizaron con concepto técnico numerado un total de 30 (treinta)  expedientes. El indicador registra un avance de 71% y un cumplimiento de 75% frente a la meta programada.</t>
  </si>
  <si>
    <t>A corte 31 de agosto de 2021, desde el componente de Compensaciones_1% fue finalizada la revisión para 50 (cincuenta) expedientes de los cuales los sectores finalizaron con concepto técnico numerado un total de 39 (treinta y nueve) expedientes. El indicador registra un avance de 78% y un cumplimiento de 82% frente a la meta programada.</t>
  </si>
  <si>
    <t>A corte del mes de SEPTIEMBRE de 2021, desde el grupo de Compensaciones_1% fue finalizada la revisión para 59 (cincuenta y nueve) expedientes de los cuales los sectores finalizaron con concepto técnico numerado un total de 48 (cuarenta y ocho)  expedientes. El indicador registra un avance de 81% y un cumplimiento de 86% frente a la meta programada.</t>
  </si>
  <si>
    <t>A corte del mes de octubre de 2021, desde el grupo de Compensaciones_1% fue finalizada la revisión para 67 (sesenta y siete) expedientes de los cuales los sectores finalizaron con concepto técnico numerado un total de 61 (sesenta y un)  expedientes. El indicador registra un avance de 91% y un cumplimiento de 86% frente a la meta programada.</t>
  </si>
  <si>
    <t>A corte del mes de noviembre de 2021, desde el grupo de Compensaciones_1% fue finalizada la revisión para 75 (setenta y cinco) expedientes de los cuales los sectores finalizaron con concepto técnico numerado un total de 71 (setenta y un)  expedientes. El indicador registra un avance de 95% y un cumplimiento de 100% frente a la meta programada.</t>
  </si>
  <si>
    <t>A corte 31 de diciembre de 2021, desde el grupo de Compensaciones_1% se finalizó la revisión para 87 (ochenta y siete) expedientes de los cuales los sectores finalizaron con concepto técnico numerado un total de 77 (setenta y siete)  expedientes. El indicador registró un avance de 89% y un cumplimiento de 93% frente a la meta programada.</t>
  </si>
  <si>
    <t>Porcentaje de Conceptos técnicos de evaluación que incluyen el componente de Riesgos y Contingencias</t>
  </si>
  <si>
    <t>(Numero de Conceptos técnicos de evaluación finalizados que incluyen el componente de Riesgos y Contingencias en etapa de evaluación /Total de conceptos técnicos de evaluación revisados por profesionales de Riesgos y Contingencias) * 100</t>
  </si>
  <si>
    <t xml:space="preserve">Durante el mes de enero se finalizaron desde los sectores con concepto técnico numerado un total de 6 (seis) expedientes y desde Contingencias fueron finalizadas la revisión para 11 (ONCE) expedientes.
</t>
  </si>
  <si>
    <t>A corte de febrero se finalizaron desde los sectores con concepto técnico numerado un total de 14 (catorce) expedientes y desde Contingencias fueron finalizadas la revisión para 21 (veintiuno) expedientes.</t>
  </si>
  <si>
    <t>A corte de marzo se finalizaron desde los sectores con concepto técnico numerado un total de 24 (veinticuatro) expedientes y desde Contingencias fueron finalizadas la revisión para 36 (treintayseis) expedientes.</t>
  </si>
  <si>
    <t>A corte del mes de junio de 2021, desde el grupo de Riesgos y Contingencia fue finalizada la revisión para 62 (sesenta y dos) expedientes de los cuales los sectores finalizaron con concepto técnico numerado un total de 57 (cincuenta y siete) expedientes. El indicador registra un avance de 92% y un cumplimiento de 97% frente a la meta programada.</t>
  </si>
  <si>
    <t>A corte del mes de mayo de 2021, desde el grupo de Riesgos y Contingencia fue finalizada la revisión para 52 (cincuenta y dos) expedientes de los cuales los sectores finalizaron con concepto técnico numerado un total de 47 (cuarenta y siete) expedientes. El indicador registra un avance de 90% y un cumplimiento de 95% frente a la meta programada.</t>
  </si>
  <si>
    <t>A corte del mes de julio de 2021, desde el grupo de Riesgos y Contingencia fue finalizada la revisión para 71 (setenta y un) expedientes de los cuales los sectores finalizaron con concepto técnico numerado un total de 65 (sesenta y cinco) expedientes. El indicador registra un avance de 92% y un cumplimiento de 96% frente a la meta programada.</t>
  </si>
  <si>
    <t>A corte 31 de agosto de 2021, desde el grupo de Riesgos y Contingencia fue finalizada la revisión para 85 (ochenta y cinco) expedientes de los cuales los sectores finalizaron con concepto técnico numerado un total de 78 (setenta y ocho) expedientes. El indicador registra un avance de 92% y un cumplimiento de 97% frente a la meta programada.</t>
  </si>
  <si>
    <t>A corte del mes de septiembre de 2021, desde el grupo de Riesgos y Contingencia fue finalizada la revisión para 95 (noventa y cinco) expedientes de los cuales los sectores finalizaron con concepto técnico numerado un total de 91 (noventa y un) expedientes. El indicador registra un avance de 96% y un cumplimiento de 101% frente a la meta programada.</t>
  </si>
  <si>
    <t>A corte del mes de octubre de 2021, desde el grupo de Riesgos y Contingencia fue finalizada la revisión para 111 (ciento once) expedientes de los cuales los sectores finalizaron con concepto técnico numerado un total de 107 (ciento siete) expedientes. El indicador registra un avance de 96% y un cumplimiento de 101% frente a la meta programada.</t>
  </si>
  <si>
    <t>A corte del mes de noviembre de 2021, desde el grupo de Riesgos y Contingencia fue finalizada la revisión para 124 (ciento veinticuatro) expedientes de los cuales los sectores finalizaron con concepto técnico numerado un total de 120 (ciento veinte) expedientes. El indicador registra un avance de 97% y un cumplimiento de 102% frente a la meta programada.</t>
  </si>
  <si>
    <t>A corte 31 de diciembre de 2021, desde el grupo de Riesgos y Contingencia se finalizó la revisión para 136 (ciento treinta y seis) expedientes de los cuales los sectores finalizaron con concepto técnico numerado un total de 131 (cinto treinta y uno) expedientes. El indicador registra un avance de 96% y un cumplimiento de 101% frente a la meta programada para la vigencia.</t>
  </si>
  <si>
    <t>Porcentaje de Conceptos técnicos de evaluación que incluyen el componente de Valoración Económica</t>
  </si>
  <si>
    <t>(Numero de conceptos técnicos de evaluación finalizados que incluyen el componente de valoración económica en etapa de evaluación /Total de conceptos técnicos de evaluación revisados por profesionales de Valoración Económica) * 100</t>
  </si>
  <si>
    <t>A corte 31 de enero de 2021, el grupo efectuó la verificación de 5 sobre 6 en terminos, los cuales se atendieron oportunamente.</t>
  </si>
  <si>
    <t xml:space="preserve">A corte del mes de febrero se finalizaron desde los sectores con concepto técnico numerado un total de 11 (once) expedientes y desde valoración económica fueron finalizadas la revisión para 14 (catorce) expedientes.
</t>
  </si>
  <si>
    <t>A corte del mes de marzo se finalizaron desde los sectores con concepto técnico numerado un total de 19 (diecinueve) expedientes y desde valoración económica fueron finalizadas la revisión para 22 (veintidos) expedientes.</t>
  </si>
  <si>
    <t>A corte del mes de junio de 2021, desde el grupo de valoración económica fue finalizada la revisión para 46 (cuarenta y seis) expedientes de los cuales los sectores finalizaron con concepto técnico numerado un total de 41 (cuarenta y un) expedientes. El indicador registra un avance de 89% y un cumplimiento de 94% frente a la meta programada.</t>
  </si>
  <si>
    <t>A corte del mes de mayo de 2021, desde el grupo de valoración económica fue finalizada la revisión para 39 (treinta y nueve) expedientes de los cuales los sectores finalizaron con concepto técnico numerado un total de 35 (treinta y cinco ) expedientes. El indicador registra un avance de 90% y un cumplimiento de 94% frente a la meta programada.</t>
  </si>
  <si>
    <t>A corte del mes de julio de 2021, desde el grupo de valoración económica fue finalizada la revisión para 57 (cincuenta y siete) expedientes de los cuales los sectores finalizaron con concepto técnico numerado un total de 49 (cuarenta y nueve) expedientes. El indicador registra un avance de 86% y un cumplimiento de 90% frente a la meta programada.</t>
  </si>
  <si>
    <t>A corte 31 de Agosto de 2021, desde el componente de valoración económica fue finalizada la revisión para 75 (setenta y cinco) expedientes de los cuales los sectores finalizaron con concepto técnico numerado un total de 57 (cincuenta y siete) expedientes. El indicador registra un avance de 76% y un cumplimiento de 80% frente a la meta programada.</t>
  </si>
  <si>
    <t>A corte del mes de septiembre de 2021, desde el grupo de valoración económica fue finalizada la revisión para 84 (ochenta y cuatro) expedientes de los cuales los sectores finalizaron con concepto técnico numerado un total de 71 (setenta y un) expedientes. El indicador registra un avance de 85% y un cumplimiento de 89% frente a la meta programada.</t>
  </si>
  <si>
    <t>A corte del mes de octubre de 2021, desde el grupo de valoración económica fue finalizada la revisión para 93 (noventa y tres) expedientes de los cuales los sectores finalizaron con concepto técnico numerado un total de 84 (ochenta y cuatro)  expedientes. El indicador registra un avance de 90% y un cumplimiento de 95% frente a la meta programada.</t>
  </si>
  <si>
    <t>A corte 31 de diciembre de 2021, desde el grupo de valoración económica fue finalizada la revisión para 117 (ciento diecisiete) expedientes de los cuales los sectores finalizaron con concepto técnico numerado un total de 113 (ciento trece)  expedientes. El indicador registra un avance de 97% y un cumplimiento de 102% frente a la meta programada para la vigencia.</t>
  </si>
  <si>
    <t>Porcentaje de información Adicional revisada</t>
  </si>
  <si>
    <t>Número revisiones de información Adicional / Número solicitudes de información adicional de proyectos obras o actividades allegadas</t>
  </si>
  <si>
    <t>A corte 31 de enero de 2021, el grupo de Servicios Geoespaciales efectuó la verificación de 9 informaciones adicionales de las 9 allegadas en el mes.</t>
  </si>
  <si>
    <t xml:space="preserve">A corte 28 de febrero de 2021, el grupo de Servicios Geoespaciales efectuó la verificación de 16 informaciones adicionales, para un porcentaje total acumulado del 100%. </t>
  </si>
  <si>
    <t>A corte 31 de Marzo de 2021, el grupo de Servicios Geoespaciales efectuó la verificación de 23 informaciónes adicionales,  para un porcentaje total acumulado del 100%.</t>
  </si>
  <si>
    <t>A corte 30 de junio de 2021, el grupo de Servicios Geoespaciales efectuó la verificación de 50 informaciónes adicionales, el indicador registra un 100% de avance.</t>
  </si>
  <si>
    <t>A corte 31 de Mayo de 2021, el grupo de Servicios Geoespaciales efectuó la verificación de 36 informaciones adicionales,  para un porcentaje total acumulado del 100% y un Porcentaje de cumplimiento frente a la meta de producto del 100%.</t>
  </si>
  <si>
    <t>A corte 31 de julio de 2021, el grupo de Servicios Geoespaciales efectuó la verificación de 64 informaciónes adicionales,  para un porcentaje total acumulado del 100% y un porcentaje de cumplimiento frente a la meta de producto del 100%.</t>
  </si>
  <si>
    <t>A corte 31 de Agosto de 2021, el grupo de Servicios Geoespaciales efectuó la verificación de 70 informaciónes adicionales,  para un porcentaje total acumulado del 100%.</t>
  </si>
  <si>
    <t>A corte 30 de septiembre de 2021, el grupo de Servicios Geoespaciales efectuó la verificación de 85 informaciónes adicionales, para un porcentaje de cumplimiento frente a la meta de producto del 100%.</t>
  </si>
  <si>
    <t>A corte 31 de Octubre de 2021, el grupo de Servicios Geoespaciales efectuó la verificación de 91 informaciónes adicionales,  para un porcentaje total acumulado del 100%.</t>
  </si>
  <si>
    <t>A corte 30 de Noviembre de 2021, el grupo de Servicios Geoespaciales efectuó la verificación de 100 informaciónes adicionales,  para un porcentaje total acumulado del 100%.</t>
  </si>
  <si>
    <t xml:space="preserve">	
A corte 31 de Diciembre de 2021, el grupo de Servicios Geoespaciales efectuó la verificación de 105 informaciónes adicionales,  para un porcentaje total acumulado del 100%, cumpliento la meta programada para la vigencia.</t>
  </si>
  <si>
    <t xml:space="preserve">Gestión del conocimiento y la innovación </t>
  </si>
  <si>
    <t>Evauación de permisos de tramites ambientales</t>
  </si>
  <si>
    <t xml:space="preserve">Evaluación de licenciamiento ambiental </t>
  </si>
  <si>
    <t xml:space="preserve">Seguimiento de licenciamiento ambiental </t>
  </si>
  <si>
    <t xml:space="preserve">Actuaciones sancionatorias Ambientales </t>
  </si>
  <si>
    <t>Participación ciudadana</t>
  </si>
  <si>
    <t xml:space="preserve">Gestión Administrativa </t>
  </si>
  <si>
    <t>Control, Evaluación y Mejora</t>
  </si>
  <si>
    <t xml:space="preserve">Direccionamiento y Planeación 
Gestión del conocimiento y la innovación </t>
  </si>
  <si>
    <t xml:space="preserve">Evaluación de permisos y tramites ambientales 
Seguimiento de permisos y tramites ambientales </t>
  </si>
  <si>
    <t>Instrumentos y Regionalización</t>
  </si>
  <si>
    <t>Gestión Contractual</t>
  </si>
  <si>
    <t>Gestión Financiera</t>
  </si>
  <si>
    <t xml:space="preserve">Gestión Documental </t>
  </si>
  <si>
    <t>Gestión del Talento Humano</t>
  </si>
  <si>
    <t>Procesos Disciplinarios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</si>
</sst>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quot;$&quot;\ * #,##0_-;\-&quot;$&quot;\ * #,##0_-;_-&quot;$&quot;\ * &quot;-&quot;??_-;_-@_-"/>
    <numFmt numFmtId="165" formatCode="0.0%"/>
    <numFmt numFmtId="166" formatCode="0.0000%"/>
  </numFmts>
  <fonts count="4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9"/>
      <color theme="1"/>
      <name val="Calibri"/>
      <family val="2"/>
      <scheme val="minor"/>
    </font>
    <font>
      <b/>
      <sz val="11"/>
      <color theme="1"/>
      <name val="Times New Roman"/>
      <family val="1"/>
    </font>
    <font>
      <b/>
      <sz val="12"/>
      <color theme="0"/>
      <name val="Calibri"/>
      <family val="2"/>
      <scheme val="minor"/>
    </font>
    <font>
      <b/>
      <sz val="14"/>
      <color theme="0"/>
      <name val="Calibri"/>
      <family val="2"/>
      <scheme val="minor"/>
    </font>
    <font>
      <b/>
      <sz val="9"/>
      <color indexed="8"/>
      <name val="Calibri"/>
      <family val="2"/>
      <scheme val="minor"/>
    </font>
    <font>
      <b/>
      <sz val="11"/>
      <color indexed="8"/>
      <name val="Calibri"/>
      <family val="2"/>
      <scheme val="minor"/>
    </font>
    <font>
      <sz val="11"/>
      <color rgb="FF000000"/>
      <name val="Calibri"/>
      <family val="2"/>
    </font>
    <font>
      <b/>
      <sz val="14"/>
      <color theme="1"/>
      <name val="Calibri"/>
      <family val="2"/>
      <scheme val="minor"/>
    </font>
    <font>
      <b/>
      <sz val="12"/>
      <color theme="1"/>
      <name val="Arial Narrow"/>
      <family val="2"/>
    </font>
    <font>
      <sz val="9"/>
      <color rgb="FF000000"/>
      <name val="Calibri"/>
      <family val="2"/>
    </font>
    <font>
      <b/>
      <sz val="11"/>
      <color rgb="FF000000"/>
      <name val="Calibri"/>
      <family val="2"/>
    </font>
    <font>
      <b/>
      <sz val="11"/>
      <color rgb="FFFFFFFF"/>
      <name val="Calibri"/>
      <family val="2"/>
    </font>
    <font>
      <b/>
      <sz val="14"/>
      <color rgb="FFFFFFFF"/>
      <name val="Calibri"/>
      <family val="2"/>
    </font>
    <font>
      <b/>
      <sz val="11"/>
      <color rgb="FF000000"/>
      <name val="Times New Roman"/>
      <family val="1"/>
    </font>
    <font>
      <b/>
      <sz val="9"/>
      <color rgb="FF000000"/>
      <name val="Calibri"/>
      <family val="2"/>
    </font>
    <font>
      <b/>
      <sz val="14"/>
      <color rgb="FF000000"/>
      <name val="Calibri"/>
      <family val="2"/>
    </font>
    <font>
      <b/>
      <sz val="12"/>
      <color rgb="FF000000"/>
      <name val="Arial Narrow"/>
      <family val="2"/>
    </font>
    <font>
      <sz val="8"/>
      <color theme="1"/>
      <name val="Calibri"/>
      <family val="2"/>
      <scheme val="minor"/>
    </font>
    <font>
      <b/>
      <sz val="11"/>
      <color theme="1"/>
      <name val="Calibri"/>
      <family val="2"/>
    </font>
    <font>
      <sz val="11"/>
      <color rgb="FFFFFFFF"/>
      <name val="Calibri"/>
      <family val="2"/>
      <scheme val="minor"/>
    </font>
    <font>
      <sz val="9"/>
      <color indexed="8"/>
      <name val="Calibri"/>
      <family val="2"/>
      <scheme val="minor"/>
    </font>
    <font>
      <sz val="11"/>
      <color rgb="FF000000"/>
      <name val="Calibri"/>
      <family val="2"/>
      <scheme val="minor"/>
    </font>
    <font>
      <sz val="8.5"/>
      <name val="Times New Roman"/>
      <family val="1"/>
    </font>
    <font>
      <b/>
      <sz val="9"/>
      <name val="Calibri"/>
      <family val="2"/>
      <scheme val="minor"/>
    </font>
    <font>
      <sz val="9"/>
      <name val="Calibri"/>
      <family val="2"/>
      <scheme val="minor"/>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1E1E1"/>
        <bgColor indexed="64"/>
      </patternFill>
    </fill>
    <fill>
      <patternFill patternType="solid">
        <fgColor theme="4" tint="-0.249977111117893"/>
        <bgColor indexed="64"/>
      </patternFill>
    </fill>
    <fill>
      <patternFill patternType="solid">
        <fgColor theme="0"/>
        <bgColor indexed="64"/>
      </patternFill>
    </fill>
    <fill>
      <patternFill patternType="solid">
        <fgColor rgb="FF305496"/>
        <bgColor indexed="64"/>
      </patternFill>
    </fill>
    <fill>
      <patternFill patternType="solid">
        <fgColor rgb="FFE2EFDA"/>
        <bgColor indexed="64"/>
      </patternFill>
    </fill>
    <fill>
      <patternFill patternType="solid">
        <fgColor rgb="FFFFFFFF"/>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FF"/>
        <bgColor rgb="FF000000"/>
      </patternFill>
    </fill>
    <fill>
      <patternFill patternType="solid">
        <fgColor rgb="FF305496"/>
        <bgColor rgb="FF000000"/>
      </patternFill>
    </fill>
    <fill>
      <patternFill patternType="solid">
        <fgColor rgb="FFD0CECE"/>
        <bgColor rgb="FF000000"/>
      </patternFill>
    </fill>
    <fill>
      <patternFill patternType="solid">
        <fgColor rgb="FFDDEBF7"/>
        <bgColor rgb="FF000000"/>
      </patternFill>
    </fill>
    <fill>
      <patternFill patternType="solid">
        <fgColor theme="4"/>
        <bgColor indexed="64"/>
      </patternFill>
    </fill>
    <fill>
      <patternFill patternType="solid">
        <fgColor theme="4"/>
        <bgColor rgb="FF000000"/>
      </patternFill>
    </fill>
    <fill>
      <patternFill patternType="solid">
        <fgColor theme="1" tint="0.499984740745262"/>
        <bgColor indexed="64"/>
      </patternFill>
    </fill>
  </fills>
  <borders count="1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0"/>
      </left>
      <right style="thin">
        <color theme="0"/>
      </right>
      <top style="thin">
        <color theme="0"/>
      </top>
      <bottom style="thin">
        <color theme="0"/>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4" tint="-0.249977111117893"/>
      </right>
      <top style="thin">
        <color theme="0"/>
      </top>
      <bottom/>
      <diagonal/>
    </border>
    <border>
      <left style="thin">
        <color theme="4" tint="-0.249977111117893"/>
      </left>
      <right style="thin">
        <color theme="4" tint="-0.249977111117893"/>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4" tint="-0.249977111117893"/>
      </left>
      <right style="thin">
        <color theme="4" tint="-0.249977111117893"/>
      </right>
      <top style="thin">
        <color theme="4" tint="-0.249977111117893"/>
      </top>
      <bottom/>
      <diagonal/>
    </border>
    <border>
      <left style="thin">
        <color indexed="64"/>
      </left>
      <right style="thin">
        <color indexed="64"/>
      </right>
      <top style="thin">
        <color indexed="64"/>
      </top>
      <bottom/>
      <diagonal/>
    </border>
    <border>
      <left style="thin">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thin">
        <color auto="1"/>
      </right>
      <top/>
      <bottom style="thin">
        <color indexed="64"/>
      </bottom>
      <diagonal/>
    </border>
    <border>
      <left style="thin">
        <color auto="1"/>
      </left>
      <right style="dotted">
        <color auto="1"/>
      </right>
      <top style="thin">
        <color indexed="64"/>
      </top>
      <bottom style="thin">
        <color indexed="64"/>
      </bottom>
      <diagonal/>
    </border>
    <border>
      <left style="dotted">
        <color auto="1"/>
      </left>
      <right style="thin">
        <color auto="1"/>
      </right>
      <top style="thin">
        <color indexed="64"/>
      </top>
      <bottom style="thin">
        <color indexed="64"/>
      </bottom>
      <diagonal/>
    </border>
    <border>
      <left style="thin">
        <color auto="1"/>
      </left>
      <right/>
      <top/>
      <bottom style="dotted">
        <color auto="1"/>
      </bottom>
      <diagonal/>
    </border>
    <border>
      <left style="thin">
        <color auto="1"/>
      </left>
      <right style="dotted">
        <color auto="1"/>
      </right>
      <top/>
      <bottom style="dotted">
        <color auto="1"/>
      </bottom>
      <diagonal/>
    </border>
    <border>
      <left style="dotted">
        <color auto="1"/>
      </left>
      <right style="thin">
        <color auto="1"/>
      </right>
      <top/>
      <bottom style="dotted">
        <color auto="1"/>
      </bottom>
      <diagonal/>
    </border>
    <border>
      <left style="thin">
        <color auto="1"/>
      </left>
      <right style="thin">
        <color auto="1"/>
      </right>
      <top style="dotted">
        <color auto="1"/>
      </top>
      <bottom/>
      <diagonal/>
    </border>
    <border>
      <left style="thin">
        <color auto="1"/>
      </left>
      <right style="thin">
        <color auto="1"/>
      </right>
      <top/>
      <bottom/>
      <diagonal/>
    </border>
    <border>
      <left style="thin">
        <color auto="1"/>
      </left>
      <right style="dotted">
        <color auto="1"/>
      </right>
      <top/>
      <bottom/>
      <diagonal/>
    </border>
    <border>
      <left style="thin">
        <color auto="1"/>
      </left>
      <right style="thin">
        <color auto="1"/>
      </right>
      <top/>
      <bottom style="dotted">
        <color auto="1"/>
      </bottom>
      <diagonal/>
    </border>
    <border>
      <left style="thin">
        <color indexed="64"/>
      </left>
      <right/>
      <top style="thin">
        <color indexed="64"/>
      </top>
      <bottom style="thin">
        <color indexed="64"/>
      </bottom>
      <diagonal/>
    </border>
    <border>
      <left style="thin">
        <color auto="1"/>
      </left>
      <right style="dotted">
        <color auto="1"/>
      </right>
      <top style="thin">
        <color rgb="FF000000"/>
      </top>
      <bottom style="thin">
        <color rgb="FF000000"/>
      </bottom>
      <diagonal/>
    </border>
    <border>
      <left style="dotted">
        <color auto="1"/>
      </left>
      <right style="thin">
        <color auto="1"/>
      </right>
      <top style="thin">
        <color rgb="FF000000"/>
      </top>
      <bottom style="thin">
        <color rgb="FF000000"/>
      </bottom>
      <diagonal/>
    </border>
    <border>
      <left style="thin">
        <color auto="1"/>
      </left>
      <right/>
      <top style="dotted">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dotted">
        <color auto="1"/>
      </left>
      <right style="thin">
        <color auto="1"/>
      </right>
      <top style="dotted">
        <color auto="1"/>
      </top>
      <bottom/>
      <diagonal/>
    </border>
    <border>
      <left style="dotted">
        <color auto="1"/>
      </left>
      <right style="thin">
        <color rgb="FF000000"/>
      </right>
      <top style="dotted">
        <color auto="1"/>
      </top>
      <bottom style="dotted">
        <color auto="1"/>
      </bottom>
      <diagonal/>
    </border>
    <border>
      <left/>
      <right style="dotted">
        <color auto="1"/>
      </right>
      <top style="dotted">
        <color auto="1"/>
      </top>
      <bottom style="dotted">
        <color auto="1"/>
      </bottom>
      <diagonal/>
    </border>
    <border>
      <left/>
      <right style="thin">
        <color rgb="FF000000"/>
      </right>
      <top/>
      <bottom/>
      <diagonal/>
    </border>
    <border>
      <left/>
      <right style="dotted">
        <color auto="1"/>
      </right>
      <top/>
      <bottom/>
      <diagonal/>
    </border>
    <border>
      <left/>
      <right style="thin">
        <color indexed="64"/>
      </right>
      <top style="dotted">
        <color auto="1"/>
      </top>
      <bottom/>
      <diagonal/>
    </border>
    <border>
      <left/>
      <right style="thin">
        <color indexed="64"/>
      </right>
      <top/>
      <bottom/>
      <diagonal/>
    </border>
    <border>
      <left style="thin">
        <color auto="1"/>
      </left>
      <right/>
      <top style="dotted">
        <color auto="1"/>
      </top>
      <bottom/>
      <diagonal/>
    </border>
    <border>
      <left/>
      <right style="thin">
        <color indexed="64"/>
      </right>
      <top/>
      <bottom style="dotted">
        <color auto="1"/>
      </bottom>
      <diagonal/>
    </border>
    <border>
      <left style="thin">
        <color auto="1"/>
      </left>
      <right style="dotted">
        <color auto="1"/>
      </right>
      <top style="dotted">
        <color auto="1"/>
      </top>
      <bottom/>
      <diagonal/>
    </border>
    <border>
      <left/>
      <right style="thin">
        <color auto="1"/>
      </right>
      <top/>
      <bottom style="thin">
        <color indexed="64"/>
      </bottom>
      <diagonal/>
    </border>
    <border>
      <left style="thin">
        <color theme="9" tint="0.39997558519241921"/>
      </left>
      <right style="thin">
        <color theme="9" tint="0.39997558519241921"/>
      </right>
      <top/>
      <bottom style="thin">
        <color theme="9" tint="0.39997558519241921"/>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305496"/>
      </left>
      <right style="thin">
        <color rgb="FF305496"/>
      </right>
      <top style="thin">
        <color rgb="FF305496"/>
      </top>
      <bottom/>
      <diagonal/>
    </border>
    <border>
      <left style="thin">
        <color rgb="FF305496"/>
      </left>
      <right style="thin">
        <color rgb="FF305496"/>
      </right>
      <top/>
      <bottom/>
      <diagonal/>
    </border>
    <border>
      <left style="thin">
        <color rgb="FF305496"/>
      </left>
      <right style="thin">
        <color rgb="FF305496"/>
      </right>
      <top/>
      <bottom style="thin">
        <color rgb="FF305496"/>
      </bottom>
      <diagonal/>
    </border>
    <border>
      <left/>
      <right/>
      <top style="thin">
        <color rgb="FF305496"/>
      </top>
      <bottom/>
      <diagonal/>
    </border>
    <border>
      <left style="thin">
        <color rgb="FF305496"/>
      </left>
      <right style="thin">
        <color rgb="FF305496"/>
      </right>
      <top style="thin">
        <color rgb="FF305496"/>
      </top>
      <bottom style="thin">
        <color rgb="FF305496"/>
      </bottom>
      <diagonal/>
    </border>
    <border>
      <left/>
      <right style="thin">
        <color rgb="FF305496"/>
      </right>
      <top style="thin">
        <color rgb="FF305496"/>
      </top>
      <bottom style="thin">
        <color rgb="FF305496"/>
      </bottom>
      <diagonal/>
    </border>
    <border>
      <left/>
      <right/>
      <top style="thin">
        <color rgb="FF305496"/>
      </top>
      <bottom style="thin">
        <color rgb="FF305496"/>
      </bottom>
      <diagonal/>
    </border>
    <border>
      <left/>
      <right style="thin">
        <color rgb="FF305496"/>
      </right>
      <top/>
      <bottom style="thin">
        <color rgb="FF305496"/>
      </bottom>
      <diagonal/>
    </border>
    <border>
      <left style="thin">
        <color rgb="FFA9D08E"/>
      </left>
      <right style="thin">
        <color rgb="FFA9D08E"/>
      </right>
      <top/>
      <bottom style="thin">
        <color rgb="FFA9D08E"/>
      </bottom>
      <diagonal/>
    </border>
    <border>
      <left/>
      <right style="thin">
        <color rgb="FFA9D08E"/>
      </right>
      <top/>
      <bottom style="thin">
        <color rgb="FFA9D08E"/>
      </bottom>
      <diagonal/>
    </border>
    <border>
      <left style="thin">
        <color rgb="FF305496"/>
      </left>
      <right style="thin">
        <color rgb="FF305496"/>
      </right>
      <top style="thin">
        <color rgb="FF305496"/>
      </top>
      <bottom style="thin">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tted">
        <color auto="1"/>
      </left>
      <right/>
      <top/>
      <bottom style="dotted">
        <color auto="1"/>
      </bottom>
      <diagonal/>
    </border>
    <border>
      <left style="thin">
        <color rgb="FF000000"/>
      </left>
      <right style="dotted">
        <color auto="1"/>
      </right>
      <top style="thin">
        <color rgb="FF000000"/>
      </top>
      <bottom style="dotted">
        <color auto="1"/>
      </bottom>
      <diagonal/>
    </border>
    <border>
      <left style="dotted">
        <color auto="1"/>
      </left>
      <right style="thin">
        <color rgb="FF000000"/>
      </right>
      <top style="thin">
        <color rgb="FF000000"/>
      </top>
      <bottom style="dotted">
        <color auto="1"/>
      </bottom>
      <diagonal/>
    </border>
    <border>
      <left/>
      <right style="dotted">
        <color auto="1"/>
      </right>
      <top/>
      <bottom style="dotted">
        <color auto="1"/>
      </bottom>
      <diagonal/>
    </border>
    <border>
      <left style="thin">
        <color rgb="FF000000"/>
      </left>
      <right style="dotted">
        <color auto="1"/>
      </right>
      <top/>
      <bottom style="dotted">
        <color auto="1"/>
      </bottom>
      <diagonal/>
    </border>
    <border>
      <left style="dotted">
        <color auto="1"/>
      </left>
      <right style="thin">
        <color rgb="FF000000"/>
      </right>
      <top/>
      <bottom style="dotted">
        <color auto="1"/>
      </bottom>
      <diagonal/>
    </border>
    <border>
      <left style="dotted">
        <color auto="1"/>
      </left>
      <right/>
      <top style="dotted">
        <color auto="1"/>
      </top>
      <bottom style="dotted">
        <color auto="1"/>
      </bottom>
      <diagonal/>
    </border>
    <border>
      <left style="thin">
        <color rgb="FF000000"/>
      </left>
      <right style="dotted">
        <color auto="1"/>
      </right>
      <top style="dotted">
        <color auto="1"/>
      </top>
      <bottom style="dotted">
        <color auto="1"/>
      </bottom>
      <diagonal/>
    </border>
    <border>
      <left style="thin">
        <color rgb="FF000000"/>
      </left>
      <right style="dotted">
        <color auto="1"/>
      </right>
      <top/>
      <bottom style="thin">
        <color rgb="FF000000"/>
      </bottom>
      <diagonal/>
    </border>
    <border>
      <left style="dotted">
        <color auto="1"/>
      </left>
      <right style="thin">
        <color rgb="FF000000"/>
      </right>
      <top/>
      <bottom style="thin">
        <color rgb="FF000000"/>
      </bottom>
      <diagonal/>
    </border>
    <border>
      <left style="thin">
        <color rgb="FF000000"/>
      </left>
      <right style="dotted">
        <color auto="1"/>
      </right>
      <top/>
      <bottom style="thin">
        <color indexed="64"/>
      </bottom>
      <diagonal/>
    </border>
    <border>
      <left style="thin">
        <color auto="1"/>
      </left>
      <right style="thin">
        <color rgb="FF000000"/>
      </right>
      <top/>
      <bottom style="thin">
        <color indexed="64"/>
      </bottom>
      <diagonal/>
    </border>
    <border>
      <left style="dotted">
        <color auto="1"/>
      </left>
      <right/>
      <top style="dotted">
        <color auto="1"/>
      </top>
      <bottom/>
      <diagonal/>
    </border>
    <border>
      <left style="dotted">
        <color auto="1"/>
      </left>
      <right style="thin">
        <color rgb="FF000000"/>
      </right>
      <top style="dotted">
        <color auto="1"/>
      </top>
      <bottom/>
      <diagonal/>
    </border>
    <border>
      <left style="thin">
        <color rgb="FF000000"/>
      </left>
      <right style="dotted">
        <color auto="1"/>
      </right>
      <top/>
      <bottom/>
      <diagonal/>
    </border>
    <border>
      <left style="thin">
        <color rgb="FF000000"/>
      </left>
      <right style="dotted">
        <color auto="1"/>
      </right>
      <top style="thin">
        <color indexed="64"/>
      </top>
      <bottom style="thin">
        <color indexed="64"/>
      </bottom>
      <diagonal/>
    </border>
    <border>
      <left style="thin">
        <color auto="1"/>
      </left>
      <right style="thin">
        <color rgb="FF000000"/>
      </right>
      <top style="thin">
        <color indexed="64"/>
      </top>
      <bottom style="thin">
        <color indexed="64"/>
      </bottom>
      <diagonal/>
    </border>
    <border>
      <left/>
      <right style="dotted">
        <color auto="1"/>
      </right>
      <top style="thin">
        <color indexed="64"/>
      </top>
      <bottom style="thin">
        <color indexed="64"/>
      </bottom>
      <diagonal/>
    </border>
    <border>
      <left/>
      <right style="thin">
        <color indexed="64"/>
      </right>
      <top style="dotted">
        <color indexed="64"/>
      </top>
      <bottom style="dotted">
        <color indexed="64"/>
      </bottom>
      <diagonal/>
    </border>
    <border>
      <left style="thin">
        <color rgb="FF000000"/>
      </left>
      <right style="dotted">
        <color auto="1"/>
      </right>
      <top style="dotted">
        <color auto="1"/>
      </top>
      <bottom/>
      <diagonal/>
    </border>
    <border>
      <left/>
      <right style="dotted">
        <color auto="1"/>
      </right>
      <top style="dotted">
        <color auto="1"/>
      </top>
      <bottom/>
      <diagonal/>
    </border>
    <border>
      <left style="thin">
        <color auto="1"/>
      </left>
      <right style="thin">
        <color rgb="FF000000"/>
      </right>
      <top style="dotted">
        <color auto="1"/>
      </top>
      <bottom/>
      <diagonal/>
    </border>
    <border>
      <left style="thin">
        <color auto="1"/>
      </left>
      <right style="thin">
        <color rgb="FF000000"/>
      </right>
      <top style="thin">
        <color indexed="64"/>
      </top>
      <bottom/>
      <diagonal/>
    </border>
    <border>
      <left/>
      <right/>
      <top/>
      <bottom style="thin">
        <color indexed="64"/>
      </bottom>
      <diagonal/>
    </border>
    <border>
      <left style="thin">
        <color rgb="FF000000"/>
      </left>
      <right style="dotted">
        <color auto="1"/>
      </right>
      <top style="thin">
        <color indexed="64"/>
      </top>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dotted">
        <color auto="1"/>
      </right>
      <top style="thin">
        <color indexed="64"/>
      </top>
      <bottom style="thin">
        <color rgb="FF000000"/>
      </bottom>
      <diagonal/>
    </border>
    <border>
      <left style="thin">
        <color auto="1"/>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theme="0"/>
      </top>
      <bottom style="thin">
        <color indexed="64"/>
      </bottom>
      <diagonal/>
    </border>
    <border>
      <left/>
      <right style="thin">
        <color indexed="64"/>
      </right>
      <top style="thin">
        <color indexed="64"/>
      </top>
      <bottom style="thin">
        <color indexed="64"/>
      </bottom>
      <diagonal/>
    </border>
    <border>
      <left style="thin">
        <color auto="1"/>
      </left>
      <right style="thin">
        <color rgb="FF000000"/>
      </right>
      <top/>
      <bottom style="dotted">
        <color auto="1"/>
      </bottom>
      <diagonal/>
    </border>
    <border>
      <left style="thin">
        <color auto="1"/>
      </left>
      <right style="thin">
        <color rgb="FF000000"/>
      </right>
      <top style="dotted">
        <color auto="1"/>
      </top>
      <bottom style="dotted">
        <color auto="1"/>
      </bottom>
      <diagonal/>
    </border>
    <border>
      <left style="thin">
        <color auto="1"/>
      </left>
      <right style="thin">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4" tint="-0.249977111117893"/>
      </left>
      <right style="thin">
        <color theme="4" tint="-0.249977111117893"/>
      </right>
      <top style="thin">
        <color indexed="64"/>
      </top>
      <bottom/>
      <diagonal/>
    </border>
  </borders>
  <cellStyleXfs count="46">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30">
    <xf numFmtId="0" fontId="0" fillId="0" borderId="0" xfId="0"/>
    <xf numFmtId="164" fontId="0" fillId="0" borderId="0" xfId="1" applyNumberFormat="1" applyFont="1"/>
    <xf numFmtId="0" fontId="0" fillId="0" borderId="0" xfId="0" applyAlignment="1">
      <alignment vertical="center"/>
    </xf>
    <xf numFmtId="0" fontId="0" fillId="0" borderId="0" xfId="0" applyAlignment="1">
      <alignment horizontal="center" vertical="center"/>
    </xf>
    <xf numFmtId="0" fontId="18" fillId="35" borderId="0" xfId="0" applyFont="1" applyFill="1" applyAlignment="1">
      <alignment horizontal="left"/>
    </xf>
    <xf numFmtId="0" fontId="16" fillId="0" borderId="0" xfId="0" applyFont="1" applyAlignment="1">
      <alignment horizontal="center" vertical="center"/>
    </xf>
    <xf numFmtId="0" fontId="16" fillId="0" borderId="0" xfId="0" applyFont="1" applyAlignment="1">
      <alignment horizontal="center"/>
    </xf>
    <xf numFmtId="0" fontId="0" fillId="35" borderId="0" xfId="0" applyFill="1"/>
    <xf numFmtId="0" fontId="20" fillId="35" borderId="0" xfId="0" applyFont="1" applyFill="1" applyAlignment="1">
      <alignment horizontal="left"/>
    </xf>
    <xf numFmtId="0" fontId="20" fillId="33" borderId="0" xfId="0" applyFont="1" applyFill="1" applyAlignment="1">
      <alignment horizontal="left"/>
    </xf>
    <xf numFmtId="0" fontId="0" fillId="0" borderId="0" xfId="0" applyAlignment="1">
      <alignment horizontal="left" vertical="center"/>
    </xf>
    <xf numFmtId="0" fontId="18" fillId="35" borderId="10" xfId="0" applyFont="1" applyFill="1" applyBorder="1" applyAlignment="1">
      <alignment horizontal="left" vertical="center" wrapText="1"/>
    </xf>
    <xf numFmtId="164" fontId="13" fillId="34" borderId="11" xfId="1" applyNumberFormat="1" applyFont="1" applyFill="1" applyBorder="1" applyAlignment="1">
      <alignment horizontal="center" vertical="center" wrapText="1"/>
    </xf>
    <xf numFmtId="164" fontId="18" fillId="35" borderId="10" xfId="1" applyNumberFormat="1" applyFont="1" applyFill="1" applyBorder="1" applyAlignment="1">
      <alignment vertical="center" wrapText="1"/>
    </xf>
    <xf numFmtId="0" fontId="18" fillId="35" borderId="10" xfId="0" applyFont="1" applyFill="1" applyBorder="1" applyAlignment="1">
      <alignment vertical="center" wrapText="1"/>
    </xf>
    <xf numFmtId="1" fontId="19" fillId="35" borderId="10" xfId="0" applyNumberFormat="1" applyFont="1" applyFill="1" applyBorder="1" applyAlignment="1">
      <alignment horizontal="center" vertical="center" wrapText="1"/>
    </xf>
    <xf numFmtId="10" fontId="19" fillId="35" borderId="10" xfId="0" applyNumberFormat="1" applyFont="1" applyFill="1" applyBorder="1" applyAlignment="1">
      <alignment horizontal="center" vertical="center" wrapText="1"/>
    </xf>
    <xf numFmtId="0" fontId="24" fillId="0" borderId="0" xfId="0" applyFont="1" applyAlignment="1">
      <alignment horizontal="center" vertical="center"/>
    </xf>
    <xf numFmtId="0" fontId="16" fillId="35" borderId="0" xfId="0" applyFont="1" applyFill="1"/>
    <xf numFmtId="0" fontId="13" fillId="36" borderId="23" xfId="0" applyFont="1" applyFill="1" applyBorder="1" applyAlignment="1">
      <alignment horizontal="right" wrapText="1"/>
    </xf>
    <xf numFmtId="0" fontId="13" fillId="36" borderId="24" xfId="0" applyFont="1" applyFill="1" applyBorder="1" applyAlignment="1">
      <alignment horizontal="right" wrapText="1"/>
    </xf>
    <xf numFmtId="0" fontId="0" fillId="35" borderId="0" xfId="0" applyFill="1" applyAlignment="1">
      <alignment horizontal="center"/>
    </xf>
    <xf numFmtId="0" fontId="16" fillId="37" borderId="25" xfId="0" applyFont="1" applyFill="1" applyBorder="1" applyAlignment="1">
      <alignment horizontal="center" vertical="center"/>
    </xf>
    <xf numFmtId="9" fontId="16" fillId="37" borderId="27" xfId="2" applyFont="1" applyFill="1" applyBorder="1" applyAlignment="1">
      <alignment horizontal="right"/>
    </xf>
    <xf numFmtId="10" fontId="16" fillId="37" borderId="26" xfId="2" applyNumberFormat="1" applyFont="1" applyFill="1" applyBorder="1" applyAlignment="1">
      <alignment horizontal="right"/>
    </xf>
    <xf numFmtId="10" fontId="16" fillId="37" borderId="27" xfId="2" applyNumberFormat="1" applyFont="1" applyFill="1" applyBorder="1" applyAlignment="1">
      <alignment horizontal="right"/>
    </xf>
    <xf numFmtId="10" fontId="0" fillId="38" borderId="26" xfId="2" applyNumberFormat="1" applyFont="1" applyFill="1" applyBorder="1" applyAlignment="1">
      <alignment horizontal="right"/>
    </xf>
    <xf numFmtId="10" fontId="0" fillId="38" borderId="27" xfId="2" applyNumberFormat="1" applyFont="1" applyFill="1" applyBorder="1" applyAlignment="1">
      <alignment horizontal="right"/>
    </xf>
    <xf numFmtId="10" fontId="0" fillId="38" borderId="30" xfId="2" applyNumberFormat="1" applyFont="1" applyFill="1" applyBorder="1" applyAlignment="1">
      <alignment horizontal="right"/>
    </xf>
    <xf numFmtId="0" fontId="16" fillId="37" borderId="32" xfId="0" applyFont="1" applyFill="1" applyBorder="1"/>
    <xf numFmtId="10" fontId="16" fillId="37" borderId="23" xfId="2" applyNumberFormat="1" applyFont="1" applyFill="1" applyBorder="1" applyAlignment="1">
      <alignment horizontal="right"/>
    </xf>
    <xf numFmtId="10" fontId="16" fillId="37" borderId="33" xfId="2" applyNumberFormat="1" applyFont="1" applyFill="1" applyBorder="1" applyAlignment="1">
      <alignment horizontal="right"/>
    </xf>
    <xf numFmtId="10" fontId="16" fillId="37" borderId="34" xfId="2" applyNumberFormat="1" applyFont="1" applyFill="1" applyBorder="1" applyAlignment="1">
      <alignment horizontal="right"/>
    </xf>
    <xf numFmtId="165" fontId="16" fillId="37" borderId="27" xfId="2" applyNumberFormat="1" applyFont="1" applyFill="1" applyBorder="1" applyAlignment="1">
      <alignment horizontal="right"/>
    </xf>
    <xf numFmtId="0" fontId="16" fillId="37" borderId="35" xfId="0" applyFont="1" applyFill="1" applyBorder="1" applyAlignment="1">
      <alignment horizontal="center" vertical="center"/>
    </xf>
    <xf numFmtId="10" fontId="16" fillId="37" borderId="36" xfId="2" applyNumberFormat="1" applyFont="1" applyFill="1" applyBorder="1" applyAlignment="1">
      <alignment horizontal="right"/>
    </xf>
    <xf numFmtId="10" fontId="16" fillId="37" borderId="37" xfId="2" applyNumberFormat="1" applyFont="1" applyFill="1" applyBorder="1" applyAlignment="1">
      <alignment horizontal="right"/>
    </xf>
    <xf numFmtId="0" fontId="0" fillId="35" borderId="35" xfId="0" applyFill="1" applyBorder="1"/>
    <xf numFmtId="10" fontId="0" fillId="35" borderId="36" xfId="2" applyNumberFormat="1" applyFont="1" applyFill="1" applyBorder="1" applyAlignment="1">
      <alignment horizontal="right"/>
    </xf>
    <xf numFmtId="165" fontId="0" fillId="35" borderId="38" xfId="2" applyNumberFormat="1" applyFont="1" applyFill="1" applyBorder="1" applyAlignment="1">
      <alignment horizontal="right"/>
    </xf>
    <xf numFmtId="10" fontId="0" fillId="35" borderId="37" xfId="2" applyNumberFormat="1" applyFont="1" applyFill="1" applyBorder="1" applyAlignment="1">
      <alignment horizontal="right"/>
    </xf>
    <xf numFmtId="10" fontId="0" fillId="35" borderId="38" xfId="2" applyNumberFormat="1" applyFont="1" applyFill="1" applyBorder="1" applyAlignment="1">
      <alignment horizontal="right"/>
    </xf>
    <xf numFmtId="10" fontId="0" fillId="35" borderId="39" xfId="2" applyNumberFormat="1" applyFont="1" applyFill="1" applyBorder="1" applyAlignment="1">
      <alignment horizontal="right"/>
    </xf>
    <xf numFmtId="10" fontId="0" fillId="35" borderId="40" xfId="2" applyNumberFormat="1" applyFont="1" applyFill="1" applyBorder="1" applyAlignment="1">
      <alignment horizontal="right"/>
    </xf>
    <xf numFmtId="10" fontId="0" fillId="35" borderId="30" xfId="2" applyNumberFormat="1" applyFont="1" applyFill="1" applyBorder="1" applyAlignment="1">
      <alignment horizontal="right"/>
    </xf>
    <xf numFmtId="10" fontId="0" fillId="35" borderId="41" xfId="2" applyNumberFormat="1" applyFont="1" applyFill="1" applyBorder="1" applyAlignment="1">
      <alignment horizontal="right"/>
    </xf>
    <xf numFmtId="10" fontId="0" fillId="35" borderId="42" xfId="2" applyNumberFormat="1" applyFont="1" applyFill="1" applyBorder="1" applyAlignment="1">
      <alignment horizontal="right"/>
    </xf>
    <xf numFmtId="0" fontId="0" fillId="35" borderId="45" xfId="0" applyFill="1" applyBorder="1"/>
    <xf numFmtId="165" fontId="0" fillId="35" borderId="37" xfId="2" applyNumberFormat="1" applyFont="1" applyFill="1" applyBorder="1" applyAlignment="1">
      <alignment horizontal="right"/>
    </xf>
    <xf numFmtId="10" fontId="0" fillId="35" borderId="26" xfId="2" applyNumberFormat="1" applyFont="1" applyFill="1" applyBorder="1" applyAlignment="1">
      <alignment horizontal="right"/>
    </xf>
    <xf numFmtId="10" fontId="0" fillId="35" borderId="47" xfId="2" applyNumberFormat="1" applyFont="1" applyFill="1" applyBorder="1" applyAlignment="1">
      <alignment horizontal="right"/>
    </xf>
    <xf numFmtId="9" fontId="0" fillId="35" borderId="47" xfId="2" applyFont="1" applyFill="1" applyBorder="1" applyAlignment="1">
      <alignment horizontal="right"/>
    </xf>
    <xf numFmtId="165" fontId="0" fillId="35" borderId="47" xfId="2" applyNumberFormat="1" applyFont="1" applyFill="1" applyBorder="1" applyAlignment="1">
      <alignment horizontal="right"/>
    </xf>
    <xf numFmtId="9" fontId="0" fillId="35" borderId="38" xfId="2" applyFont="1" applyFill="1" applyBorder="1" applyAlignment="1">
      <alignment horizontal="right"/>
    </xf>
    <xf numFmtId="0" fontId="21" fillId="36" borderId="32" xfId="0" applyFont="1" applyFill="1" applyBorder="1"/>
    <xf numFmtId="10" fontId="21" fillId="36" borderId="23" xfId="0" applyNumberFormat="1" applyFont="1" applyFill="1" applyBorder="1" applyAlignment="1">
      <alignment horizontal="right"/>
    </xf>
    <xf numFmtId="0" fontId="26" fillId="39" borderId="49" xfId="0" applyFont="1" applyFill="1" applyBorder="1" applyAlignment="1">
      <alignment vertical="center" wrapText="1"/>
    </xf>
    <xf numFmtId="10" fontId="27" fillId="39" borderId="49" xfId="0" applyNumberFormat="1" applyFont="1" applyFill="1" applyBorder="1" applyAlignment="1">
      <alignment horizontal="center" vertical="center" wrapText="1"/>
    </xf>
    <xf numFmtId="164" fontId="18" fillId="35" borderId="0" xfId="1" applyNumberFormat="1" applyFont="1" applyFill="1" applyBorder="1" applyAlignment="1">
      <alignment horizontal="center" vertical="center" wrapText="1"/>
    </xf>
    <xf numFmtId="9" fontId="19" fillId="35" borderId="0" xfId="2" applyFont="1" applyFill="1" applyBorder="1" applyAlignment="1">
      <alignment horizontal="center" vertical="center" wrapText="1"/>
    </xf>
    <xf numFmtId="9" fontId="18" fillId="35" borderId="10" xfId="2" applyFont="1" applyFill="1" applyBorder="1" applyAlignment="1">
      <alignment horizontal="center" vertical="center" wrapText="1"/>
    </xf>
    <xf numFmtId="9" fontId="19" fillId="35" borderId="10" xfId="2" applyFont="1" applyFill="1" applyBorder="1" applyAlignment="1">
      <alignment vertical="center" wrapText="1"/>
    </xf>
    <xf numFmtId="10" fontId="18" fillId="35" borderId="10" xfId="0" applyNumberFormat="1" applyFont="1" applyFill="1" applyBorder="1" applyAlignment="1">
      <alignment horizontal="center" vertical="center" wrapText="1"/>
    </xf>
    <xf numFmtId="10" fontId="19" fillId="35" borderId="10" xfId="2" applyNumberFormat="1" applyFont="1" applyFill="1" applyBorder="1" applyAlignment="1">
      <alignment horizontal="center" vertical="center" wrapText="1"/>
    </xf>
    <xf numFmtId="9" fontId="0" fillId="0" borderId="0" xfId="2" applyFont="1" applyAlignment="1">
      <alignment horizontal="center" vertical="center"/>
    </xf>
    <xf numFmtId="9" fontId="0" fillId="0" borderId="0" xfId="2" applyFont="1" applyBorder="1" applyAlignment="1">
      <alignment horizontal="center" vertical="center"/>
    </xf>
    <xf numFmtId="9" fontId="13" fillId="34" borderId="11" xfId="2" applyFont="1" applyFill="1" applyBorder="1" applyAlignment="1">
      <alignment horizontal="center" vertical="center" wrapText="1"/>
    </xf>
    <xf numFmtId="9" fontId="27" fillId="39" borderId="49" xfId="2" applyFont="1" applyFill="1" applyBorder="1" applyAlignment="1">
      <alignment horizontal="center" vertical="center" wrapText="1"/>
    </xf>
    <xf numFmtId="9" fontId="18" fillId="35" borderId="0" xfId="2" applyFont="1" applyFill="1" applyBorder="1" applyAlignment="1">
      <alignment horizontal="center" vertical="center" wrapText="1"/>
    </xf>
    <xf numFmtId="9" fontId="19" fillId="40" borderId="10" xfId="2" applyFont="1" applyFill="1" applyBorder="1" applyAlignment="1">
      <alignment horizontal="center" vertical="center" wrapText="1"/>
    </xf>
    <xf numFmtId="0" fontId="18" fillId="40" borderId="10" xfId="0" applyFont="1" applyFill="1" applyBorder="1" applyAlignment="1">
      <alignment horizontal="center" vertical="center" wrapText="1"/>
    </xf>
    <xf numFmtId="9" fontId="18" fillId="40" borderId="10" xfId="2" applyFont="1" applyFill="1" applyBorder="1" applyAlignment="1">
      <alignment horizontal="center" vertical="center" wrapText="1"/>
    </xf>
    <xf numFmtId="10" fontId="18" fillId="40" borderId="10" xfId="0" applyNumberFormat="1" applyFont="1" applyFill="1" applyBorder="1" applyAlignment="1">
      <alignment horizontal="center" vertical="center" wrapText="1"/>
    </xf>
    <xf numFmtId="9" fontId="19" fillId="40" borderId="12" xfId="2" applyFont="1" applyFill="1" applyBorder="1" applyAlignment="1">
      <alignment vertical="center" wrapText="1"/>
    </xf>
    <xf numFmtId="10" fontId="27" fillId="39" borderId="49" xfId="2" applyNumberFormat="1" applyFont="1" applyFill="1" applyBorder="1" applyAlignment="1">
      <alignment horizontal="center" vertical="center" wrapText="1"/>
    </xf>
    <xf numFmtId="10" fontId="18" fillId="35" borderId="0" xfId="2" applyNumberFormat="1" applyFont="1" applyFill="1" applyBorder="1" applyAlignment="1">
      <alignment horizontal="center" vertical="center" wrapText="1"/>
    </xf>
    <xf numFmtId="10" fontId="18" fillId="35" borderId="10" xfId="2" applyNumberFormat="1" applyFont="1" applyFill="1" applyBorder="1" applyAlignment="1">
      <alignment horizontal="center" vertical="center" wrapText="1"/>
    </xf>
    <xf numFmtId="0" fontId="19" fillId="35" borderId="10" xfId="2" applyNumberFormat="1" applyFont="1" applyFill="1" applyBorder="1" applyAlignment="1">
      <alignment horizontal="center" vertical="center" wrapText="1"/>
    </xf>
    <xf numFmtId="9" fontId="19" fillId="35" borderId="12" xfId="2" applyFont="1" applyFill="1" applyBorder="1" applyAlignment="1">
      <alignment vertical="center" wrapText="1"/>
    </xf>
    <xf numFmtId="1" fontId="19" fillId="35" borderId="10" xfId="2" applyNumberFormat="1" applyFont="1" applyFill="1" applyBorder="1" applyAlignment="1">
      <alignment horizontal="center" vertical="center" wrapText="1"/>
    </xf>
    <xf numFmtId="165" fontId="19" fillId="35" borderId="10" xfId="2" applyNumberFormat="1" applyFont="1" applyFill="1" applyBorder="1" applyAlignment="1">
      <alignment horizontal="center" vertical="center" wrapText="1"/>
    </xf>
    <xf numFmtId="0" fontId="28" fillId="0" borderId="0" xfId="0" applyFont="1" applyAlignment="1">
      <alignment vertical="center" wrapText="1"/>
    </xf>
    <xf numFmtId="9" fontId="18" fillId="35" borderId="10" xfId="0" applyNumberFormat="1" applyFont="1" applyFill="1" applyBorder="1" applyAlignment="1">
      <alignment horizontal="center" vertical="center" wrapText="1"/>
    </xf>
    <xf numFmtId="10" fontId="0" fillId="35" borderId="0" xfId="0" applyNumberFormat="1" applyFill="1"/>
    <xf numFmtId="9" fontId="18" fillId="35" borderId="10" xfId="2" applyFont="1" applyFill="1" applyBorder="1" applyAlignment="1">
      <alignment vertical="center" wrapText="1"/>
    </xf>
    <xf numFmtId="9" fontId="16" fillId="0" borderId="0" xfId="0" applyNumberFormat="1" applyFont="1" applyAlignment="1">
      <alignment horizontal="center" vertical="center"/>
    </xf>
    <xf numFmtId="0" fontId="29" fillId="0" borderId="0" xfId="0" applyFont="1" applyAlignment="1">
      <alignment wrapText="1"/>
    </xf>
    <xf numFmtId="0" fontId="0" fillId="0" borderId="0" xfId="0" applyAlignment="1">
      <alignment wrapText="1"/>
    </xf>
    <xf numFmtId="0" fontId="33" fillId="43" borderId="63" xfId="0" applyFont="1" applyFill="1" applyBorder="1" applyAlignment="1">
      <alignment vertical="center" wrapText="1"/>
    </xf>
    <xf numFmtId="0" fontId="18" fillId="35" borderId="0" xfId="0" applyFont="1" applyFill="1" applyAlignment="1">
      <alignment horizontal="left" vertical="center"/>
    </xf>
    <xf numFmtId="0" fontId="33" fillId="43" borderId="65" xfId="0" applyFont="1" applyFill="1" applyBorder="1" applyAlignment="1">
      <alignment vertical="center" wrapText="1"/>
    </xf>
    <xf numFmtId="0" fontId="29" fillId="0" borderId="0" xfId="0" applyFont="1" applyAlignment="1">
      <alignment vertical="center" wrapText="1"/>
    </xf>
    <xf numFmtId="0" fontId="33" fillId="41" borderId="0" xfId="0" applyFont="1" applyFill="1" applyAlignment="1">
      <alignment vertical="center" wrapText="1"/>
    </xf>
    <xf numFmtId="0" fontId="33" fillId="41" borderId="63" xfId="0" applyFont="1" applyFill="1" applyBorder="1" applyAlignment="1">
      <alignment vertical="center" wrapText="1"/>
    </xf>
    <xf numFmtId="0" fontId="29" fillId="0" borderId="0" xfId="0" applyFont="1" applyAlignment="1">
      <alignment horizontal="center" wrapText="1"/>
    </xf>
    <xf numFmtId="9" fontId="33" fillId="41" borderId="63" xfId="0" applyNumberFormat="1" applyFont="1" applyFill="1" applyBorder="1" applyAlignment="1">
      <alignment horizontal="center" vertical="center" wrapText="1"/>
    </xf>
    <xf numFmtId="9" fontId="33" fillId="41" borderId="65" xfId="0" applyNumberFormat="1" applyFont="1" applyFill="1" applyBorder="1" applyAlignment="1">
      <alignment horizontal="center" vertical="center" wrapText="1"/>
    </xf>
    <xf numFmtId="0" fontId="29" fillId="0" borderId="0" xfId="0" applyFont="1" applyAlignment="1">
      <alignment horizontal="center" vertical="center" wrapText="1"/>
    </xf>
    <xf numFmtId="0" fontId="34" fillId="44" borderId="66" xfId="0" applyFont="1" applyFill="1" applyBorder="1" applyAlignment="1">
      <alignment horizontal="center" vertical="center" wrapText="1"/>
    </xf>
    <xf numFmtId="0" fontId="35" fillId="44" borderId="67" xfId="0" applyFont="1" applyFill="1" applyBorder="1" applyAlignment="1">
      <alignment horizontal="center" vertical="center" wrapText="1"/>
    </xf>
    <xf numFmtId="0" fontId="33" fillId="41" borderId="0" xfId="0" applyFont="1" applyFill="1" applyAlignment="1">
      <alignment horizontal="center" vertical="center" wrapText="1"/>
    </xf>
    <xf numFmtId="0" fontId="33" fillId="43" borderId="63" xfId="0" applyFont="1" applyFill="1" applyBorder="1" applyAlignment="1">
      <alignment horizontal="center" vertical="center" wrapText="1"/>
    </xf>
    <xf numFmtId="0" fontId="33" fillId="43" borderId="65" xfId="0" applyFont="1" applyFill="1" applyBorder="1" applyAlignment="1">
      <alignment horizontal="center" vertical="center" wrapText="1"/>
    </xf>
    <xf numFmtId="0" fontId="33" fillId="41" borderId="65" xfId="0" applyFont="1" applyFill="1" applyBorder="1" applyAlignment="1">
      <alignment horizontal="center" vertical="center" wrapText="1"/>
    </xf>
    <xf numFmtId="0" fontId="30" fillId="42" borderId="53" xfId="0" applyFont="1" applyFill="1" applyBorder="1" applyAlignment="1">
      <alignment horizontal="center" vertical="center" wrapText="1"/>
    </xf>
    <xf numFmtId="0" fontId="32" fillId="41" borderId="0" xfId="0" applyFont="1" applyFill="1" applyAlignment="1">
      <alignment horizontal="center" vertical="center" wrapText="1"/>
    </xf>
    <xf numFmtId="0" fontId="20" fillId="33" borderId="0" xfId="0" applyFont="1" applyFill="1" applyAlignment="1">
      <alignment horizontal="center" vertical="center"/>
    </xf>
    <xf numFmtId="0" fontId="30" fillId="42" borderId="56" xfId="0" applyFont="1" applyFill="1" applyBorder="1" applyAlignment="1">
      <alignment horizontal="center" vertical="center" wrapText="1"/>
    </xf>
    <xf numFmtId="0" fontId="30" fillId="42" borderId="57" xfId="0" applyFont="1" applyFill="1" applyBorder="1" applyAlignment="1">
      <alignment horizontal="center" vertical="center" wrapText="1"/>
    </xf>
    <xf numFmtId="165" fontId="18" fillId="35" borderId="10" xfId="2" applyNumberFormat="1" applyFont="1" applyFill="1" applyBorder="1" applyAlignment="1">
      <alignment horizontal="center" vertical="center" wrapText="1"/>
    </xf>
    <xf numFmtId="9" fontId="36" fillId="35" borderId="10" xfId="2" applyFont="1" applyFill="1" applyBorder="1" applyAlignment="1">
      <alignment horizontal="center" vertical="center" wrapText="1"/>
    </xf>
    <xf numFmtId="0" fontId="16" fillId="0" borderId="0" xfId="0" applyFont="1"/>
    <xf numFmtId="0" fontId="18" fillId="40" borderId="10" xfId="0" applyFont="1" applyFill="1" applyBorder="1" applyAlignment="1">
      <alignment vertical="center" wrapText="1"/>
    </xf>
    <xf numFmtId="1" fontId="19" fillId="40" borderId="10" xfId="0" applyNumberFormat="1" applyFont="1" applyFill="1" applyBorder="1" applyAlignment="1">
      <alignment horizontal="center" vertical="center" wrapText="1"/>
    </xf>
    <xf numFmtId="1" fontId="18" fillId="35" borderId="10" xfId="0" applyNumberFormat="1" applyFont="1" applyFill="1" applyBorder="1" applyAlignment="1">
      <alignment horizontal="center" vertical="center" wrapText="1"/>
    </xf>
    <xf numFmtId="164" fontId="18" fillId="35" borderId="0" xfId="1" applyNumberFormat="1" applyFont="1" applyFill="1" applyBorder="1" applyAlignment="1">
      <alignment vertical="center" wrapText="1"/>
    </xf>
    <xf numFmtId="0" fontId="18" fillId="35" borderId="0" xfId="0" applyFont="1" applyFill="1" applyAlignment="1">
      <alignment horizontal="center" vertical="center" wrapText="1"/>
    </xf>
    <xf numFmtId="0" fontId="19" fillId="35" borderId="0" xfId="0" applyFont="1" applyFill="1" applyAlignment="1">
      <alignment horizontal="center" vertical="center" wrapText="1"/>
    </xf>
    <xf numFmtId="1" fontId="18" fillId="35" borderId="0" xfId="0" applyNumberFormat="1" applyFont="1" applyFill="1" applyAlignment="1">
      <alignment horizontal="center" vertical="center" wrapText="1"/>
    </xf>
    <xf numFmtId="9" fontId="19" fillId="35" borderId="0" xfId="0" applyNumberFormat="1" applyFont="1" applyFill="1" applyAlignment="1">
      <alignment horizontal="center" vertical="center" wrapText="1"/>
    </xf>
    <xf numFmtId="0" fontId="18" fillId="35" borderId="0" xfId="0" applyFont="1" applyFill="1" applyAlignment="1">
      <alignment horizontal="left" vertical="center" wrapText="1"/>
    </xf>
    <xf numFmtId="1" fontId="18" fillId="35" borderId="10" xfId="2" applyNumberFormat="1" applyFont="1" applyFill="1" applyBorder="1" applyAlignment="1">
      <alignment horizontal="center" vertical="center" wrapText="1"/>
    </xf>
    <xf numFmtId="1" fontId="18" fillId="35" borderId="10" xfId="44" applyNumberFormat="1"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18" fillId="35" borderId="10" xfId="0" applyFont="1" applyFill="1" applyBorder="1" applyAlignment="1">
      <alignment horizontal="center" vertical="center" wrapText="1"/>
    </xf>
    <xf numFmtId="0" fontId="19" fillId="35" borderId="10" xfId="0" applyFont="1" applyFill="1" applyBorder="1" applyAlignment="1">
      <alignment horizontal="center" vertical="center" wrapText="1"/>
    </xf>
    <xf numFmtId="9" fontId="18" fillId="35" borderId="12" xfId="2" applyFont="1" applyFill="1" applyBorder="1" applyAlignment="1">
      <alignment horizontal="center" vertical="center" wrapText="1"/>
    </xf>
    <xf numFmtId="1" fontId="18" fillId="35" borderId="12" xfId="0" applyNumberFormat="1" applyFont="1" applyFill="1" applyBorder="1" applyAlignment="1">
      <alignment horizontal="center" vertical="center" wrapText="1"/>
    </xf>
    <xf numFmtId="9" fontId="19" fillId="35" borderId="10" xfId="0" applyNumberFormat="1" applyFont="1" applyFill="1" applyBorder="1" applyAlignment="1">
      <alignment horizontal="center" vertical="center" wrapText="1"/>
    </xf>
    <xf numFmtId="9" fontId="19" fillId="35" borderId="10" xfId="2" applyFont="1" applyFill="1" applyBorder="1" applyAlignment="1">
      <alignment horizontal="center" vertical="center" wrapText="1"/>
    </xf>
    <xf numFmtId="9" fontId="18" fillId="35" borderId="10" xfId="2" applyFont="1" applyFill="1" applyBorder="1" applyAlignment="1">
      <alignment horizontal="left" vertical="center" wrapText="1"/>
    </xf>
    <xf numFmtId="0" fontId="18" fillId="35" borderId="10" xfId="2" applyNumberFormat="1" applyFont="1" applyFill="1" applyBorder="1" applyAlignment="1">
      <alignment horizontal="center" vertical="center" wrapText="1"/>
    </xf>
    <xf numFmtId="2" fontId="18" fillId="35" borderId="10" xfId="2" applyNumberFormat="1" applyFont="1" applyFill="1" applyBorder="1" applyAlignment="1">
      <alignment horizontal="center" vertical="center" wrapText="1"/>
    </xf>
    <xf numFmtId="2" fontId="36" fillId="35" borderId="10" xfId="2" applyNumberFormat="1" applyFont="1" applyFill="1" applyBorder="1" applyAlignment="1">
      <alignment horizontal="center" vertical="center" wrapText="1"/>
    </xf>
    <xf numFmtId="10" fontId="35" fillId="44" borderId="67" xfId="0" applyNumberFormat="1" applyFont="1" applyFill="1" applyBorder="1" applyAlignment="1">
      <alignment horizontal="center" vertical="center" wrapText="1"/>
    </xf>
    <xf numFmtId="9" fontId="28" fillId="41" borderId="65" xfId="0" applyNumberFormat="1" applyFont="1" applyFill="1" applyBorder="1" applyAlignment="1">
      <alignment horizontal="center" vertical="center" wrapText="1"/>
    </xf>
    <xf numFmtId="10" fontId="35" fillId="44" borderId="67" xfId="2" applyNumberFormat="1" applyFont="1" applyFill="1" applyBorder="1" applyAlignment="1">
      <alignment horizontal="center" vertical="center" wrapText="1"/>
    </xf>
    <xf numFmtId="9" fontId="35" fillId="44" borderId="67" xfId="0" applyNumberFormat="1" applyFont="1" applyFill="1" applyBorder="1" applyAlignment="1">
      <alignment horizontal="center" vertical="center" wrapText="1"/>
    </xf>
    <xf numFmtId="10" fontId="29" fillId="0" borderId="0" xfId="0" applyNumberFormat="1" applyFont="1" applyAlignment="1">
      <alignment vertical="center" wrapText="1"/>
    </xf>
    <xf numFmtId="10" fontId="34" fillId="44" borderId="66" xfId="0" applyNumberFormat="1" applyFont="1" applyFill="1" applyBorder="1" applyAlignment="1">
      <alignment horizontal="center" vertical="center" wrapText="1"/>
    </xf>
    <xf numFmtId="9" fontId="18" fillId="35" borderId="12" xfId="2"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18" fillId="35" borderId="10" xfId="0" applyFont="1" applyFill="1" applyBorder="1" applyAlignment="1">
      <alignment horizontal="center" vertical="center" wrapText="1"/>
    </xf>
    <xf numFmtId="1" fontId="18" fillId="35" borderId="12" xfId="0" applyNumberFormat="1" applyFont="1" applyFill="1" applyBorder="1" applyAlignment="1">
      <alignment horizontal="center" vertical="center" wrapText="1"/>
    </xf>
    <xf numFmtId="9" fontId="19" fillId="35" borderId="10" xfId="2" applyFont="1" applyFill="1" applyBorder="1" applyAlignment="1">
      <alignment horizontal="center" vertical="center" wrapText="1"/>
    </xf>
    <xf numFmtId="0" fontId="13" fillId="36" borderId="20" xfId="0" applyFont="1" applyFill="1" applyBorder="1" applyAlignment="1">
      <alignment horizontal="right" wrapText="1"/>
    </xf>
    <xf numFmtId="0" fontId="13" fillId="36" borderId="21" xfId="0" applyFont="1" applyFill="1" applyBorder="1" applyAlignment="1">
      <alignment horizontal="right" wrapText="1"/>
    </xf>
    <xf numFmtId="10" fontId="16" fillId="37" borderId="72" xfId="2" applyNumberFormat="1" applyFont="1" applyFill="1" applyBorder="1" applyAlignment="1">
      <alignment horizontal="right"/>
    </xf>
    <xf numFmtId="10" fontId="16" fillId="37" borderId="73" xfId="2" applyNumberFormat="1" applyFont="1" applyFill="1" applyBorder="1" applyAlignment="1">
      <alignment horizontal="right"/>
    </xf>
    <xf numFmtId="10" fontId="16" fillId="37" borderId="74" xfId="2" applyNumberFormat="1" applyFont="1" applyFill="1" applyBorder="1" applyAlignment="1">
      <alignment horizontal="right"/>
    </xf>
    <xf numFmtId="10" fontId="16" fillId="37" borderId="75" xfId="2" applyNumberFormat="1" applyFont="1" applyFill="1" applyBorder="1" applyAlignment="1">
      <alignment horizontal="right"/>
    </xf>
    <xf numFmtId="10" fontId="0" fillId="38" borderId="72" xfId="2" applyNumberFormat="1" applyFont="1" applyFill="1" applyBorder="1" applyAlignment="1">
      <alignment horizontal="right"/>
    </xf>
    <xf numFmtId="10" fontId="0" fillId="38" borderId="76" xfId="2" applyNumberFormat="1" applyFont="1" applyFill="1" applyBorder="1" applyAlignment="1">
      <alignment horizontal="right"/>
    </xf>
    <xf numFmtId="10" fontId="0" fillId="38" borderId="77" xfId="2" applyNumberFormat="1" applyFont="1" applyFill="1" applyBorder="1" applyAlignment="1">
      <alignment horizontal="right"/>
    </xf>
    <xf numFmtId="10" fontId="0" fillId="38" borderId="75" xfId="2" applyNumberFormat="1" applyFont="1" applyFill="1" applyBorder="1" applyAlignment="1">
      <alignment horizontal="right"/>
    </xf>
    <xf numFmtId="10" fontId="16" fillId="37" borderId="76" xfId="2" applyNumberFormat="1" applyFont="1" applyFill="1" applyBorder="1" applyAlignment="1">
      <alignment horizontal="right"/>
    </xf>
    <xf numFmtId="10" fontId="16" fillId="37" borderId="77" xfId="2" applyNumberFormat="1" applyFont="1" applyFill="1" applyBorder="1" applyAlignment="1">
      <alignment horizontal="right"/>
    </xf>
    <xf numFmtId="165" fontId="16" fillId="37" borderId="72" xfId="2" applyNumberFormat="1" applyFont="1" applyFill="1" applyBorder="1" applyAlignment="1">
      <alignment horizontal="right"/>
    </xf>
    <xf numFmtId="10" fontId="37" fillId="37" borderId="36" xfId="2" applyNumberFormat="1" applyFont="1" applyFill="1" applyBorder="1" applyAlignment="1">
      <alignment horizontal="right"/>
    </xf>
    <xf numFmtId="10" fontId="37" fillId="37" borderId="37" xfId="2" applyNumberFormat="1" applyFont="1" applyFill="1" applyBorder="1" applyAlignment="1">
      <alignment horizontal="right"/>
    </xf>
    <xf numFmtId="10" fontId="37" fillId="37" borderId="78" xfId="2" applyNumberFormat="1" applyFont="1" applyFill="1" applyBorder="1" applyAlignment="1">
      <alignment horizontal="right"/>
    </xf>
    <xf numFmtId="10" fontId="37" fillId="37" borderId="79" xfId="2" applyNumberFormat="1" applyFont="1" applyFill="1" applyBorder="1" applyAlignment="1">
      <alignment horizontal="right"/>
    </xf>
    <xf numFmtId="10" fontId="37" fillId="37" borderId="39" xfId="2" applyNumberFormat="1" applyFont="1" applyFill="1" applyBorder="1" applyAlignment="1">
      <alignment horizontal="right"/>
    </xf>
    <xf numFmtId="10" fontId="16" fillId="37" borderId="40" xfId="2" applyNumberFormat="1" applyFont="1" applyFill="1" applyBorder="1" applyAlignment="1">
      <alignment horizontal="right"/>
    </xf>
    <xf numFmtId="10" fontId="16" fillId="37" borderId="78" xfId="2" applyNumberFormat="1" applyFont="1" applyFill="1" applyBorder="1" applyAlignment="1">
      <alignment horizontal="right"/>
    </xf>
    <xf numFmtId="10" fontId="0" fillId="35" borderId="78" xfId="2" applyNumberFormat="1" applyFont="1" applyFill="1" applyBorder="1" applyAlignment="1">
      <alignment horizontal="right"/>
    </xf>
    <xf numFmtId="10" fontId="0" fillId="35" borderId="79" xfId="2" applyNumberFormat="1" applyFont="1" applyFill="1" applyBorder="1" applyAlignment="1">
      <alignment horizontal="right"/>
    </xf>
    <xf numFmtId="10" fontId="0" fillId="38" borderId="80" xfId="2" applyNumberFormat="1" applyFont="1" applyFill="1" applyBorder="1" applyAlignment="1">
      <alignment horizontal="right"/>
    </xf>
    <xf numFmtId="10" fontId="0" fillId="38" borderId="81" xfId="2" applyNumberFormat="1" applyFont="1" applyFill="1" applyBorder="1" applyAlignment="1">
      <alignment horizontal="right"/>
    </xf>
    <xf numFmtId="10" fontId="16" fillId="37" borderId="32" xfId="2" applyNumberFormat="1" applyFont="1" applyFill="1" applyBorder="1" applyAlignment="1">
      <alignment horizontal="right"/>
    </xf>
    <xf numFmtId="10" fontId="16" fillId="37" borderId="82" xfId="2" applyNumberFormat="1" applyFont="1" applyFill="1" applyBorder="1" applyAlignment="1">
      <alignment horizontal="right"/>
    </xf>
    <xf numFmtId="10" fontId="16" fillId="37" borderId="83" xfId="2" applyNumberFormat="1" applyFont="1" applyFill="1" applyBorder="1" applyAlignment="1">
      <alignment horizontal="right"/>
    </xf>
    <xf numFmtId="10" fontId="29" fillId="37" borderId="23" xfId="0" applyNumberFormat="1" applyFont="1" applyFill="1" applyBorder="1"/>
    <xf numFmtId="165" fontId="0" fillId="35" borderId="84" xfId="2" applyNumberFormat="1" applyFont="1" applyFill="1" applyBorder="1" applyAlignment="1">
      <alignment horizontal="right"/>
    </xf>
    <xf numFmtId="165" fontId="0" fillId="35" borderId="85" xfId="2" applyNumberFormat="1" applyFont="1" applyFill="1" applyBorder="1" applyAlignment="1">
      <alignment horizontal="right"/>
    </xf>
    <xf numFmtId="10" fontId="0" fillId="35" borderId="85" xfId="2" applyNumberFormat="1" applyFont="1" applyFill="1" applyBorder="1" applyAlignment="1">
      <alignment horizontal="right"/>
    </xf>
    <xf numFmtId="10" fontId="0" fillId="35" borderId="84" xfId="2" applyNumberFormat="1" applyFont="1" applyFill="1" applyBorder="1" applyAlignment="1">
      <alignment horizontal="right"/>
    </xf>
    <xf numFmtId="10" fontId="0" fillId="35" borderId="86" xfId="2" applyNumberFormat="1" applyFont="1" applyFill="1" applyBorder="1" applyAlignment="1">
      <alignment horizontal="right"/>
    </xf>
    <xf numFmtId="10" fontId="0" fillId="38" borderId="86" xfId="2" applyNumberFormat="1" applyFont="1" applyFill="1" applyBorder="1" applyAlignment="1">
      <alignment horizontal="right"/>
    </xf>
    <xf numFmtId="10" fontId="16" fillId="37" borderId="87" xfId="2" applyNumberFormat="1" applyFont="1" applyFill="1" applyBorder="1" applyAlignment="1">
      <alignment horizontal="right"/>
    </xf>
    <xf numFmtId="10" fontId="16" fillId="37" borderId="88" xfId="2" applyNumberFormat="1" applyFont="1" applyFill="1" applyBorder="1" applyAlignment="1">
      <alignment horizontal="right"/>
    </xf>
    <xf numFmtId="10" fontId="16" fillId="37" borderId="89" xfId="2" applyNumberFormat="1" applyFont="1" applyFill="1" applyBorder="1" applyAlignment="1">
      <alignment horizontal="right"/>
    </xf>
    <xf numFmtId="10" fontId="0" fillId="38" borderId="0" xfId="2" applyNumberFormat="1" applyFont="1" applyFill="1" applyBorder="1" applyAlignment="1">
      <alignment horizontal="right"/>
    </xf>
    <xf numFmtId="10" fontId="0" fillId="38" borderId="41" xfId="2" applyNumberFormat="1" applyFont="1" applyFill="1" applyBorder="1" applyAlignment="1">
      <alignment horizontal="right"/>
    </xf>
    <xf numFmtId="10" fontId="25" fillId="41" borderId="36" xfId="0" applyNumberFormat="1" applyFont="1" applyFill="1" applyBorder="1"/>
    <xf numFmtId="10" fontId="25" fillId="41" borderId="90" xfId="0" applyNumberFormat="1" applyFont="1" applyFill="1" applyBorder="1"/>
    <xf numFmtId="165" fontId="0" fillId="35" borderId="78" xfId="2" applyNumberFormat="1" applyFont="1" applyFill="1" applyBorder="1" applyAlignment="1">
      <alignment horizontal="right"/>
    </xf>
    <xf numFmtId="165" fontId="0" fillId="35" borderId="39" xfId="2" applyNumberFormat="1" applyFont="1" applyFill="1" applyBorder="1" applyAlignment="1">
      <alignment horizontal="right"/>
    </xf>
    <xf numFmtId="10" fontId="25" fillId="41" borderId="26" xfId="0" applyNumberFormat="1" applyFont="1" applyFill="1" applyBorder="1"/>
    <xf numFmtId="0" fontId="25" fillId="41" borderId="46" xfId="0" applyFont="1" applyFill="1" applyBorder="1" applyAlignment="1">
      <alignment horizontal="right"/>
    </xf>
    <xf numFmtId="10" fontId="0" fillId="35" borderId="76" xfId="2" applyNumberFormat="1" applyFont="1" applyFill="1" applyBorder="1" applyAlignment="1">
      <alignment horizontal="right"/>
    </xf>
    <xf numFmtId="10" fontId="0" fillId="35" borderId="75" xfId="2" applyNumberFormat="1" applyFont="1" applyFill="1" applyBorder="1" applyAlignment="1">
      <alignment horizontal="right"/>
    </xf>
    <xf numFmtId="10" fontId="0" fillId="35" borderId="91" xfId="2" applyNumberFormat="1" applyFont="1" applyFill="1" applyBorder="1" applyAlignment="1">
      <alignment horizontal="right"/>
    </xf>
    <xf numFmtId="10" fontId="0" fillId="35" borderId="92" xfId="2" applyNumberFormat="1" applyFont="1" applyFill="1" applyBorder="1" applyAlignment="1">
      <alignment horizontal="right"/>
    </xf>
    <xf numFmtId="165" fontId="0" fillId="35" borderId="45" xfId="2" applyNumberFormat="1" applyFont="1" applyFill="1" applyBorder="1" applyAlignment="1">
      <alignment horizontal="right"/>
    </xf>
    <xf numFmtId="165" fontId="0" fillId="35" borderId="91" xfId="2" applyNumberFormat="1" applyFont="1" applyFill="1" applyBorder="1" applyAlignment="1">
      <alignment horizontal="right"/>
    </xf>
    <xf numFmtId="165" fontId="0" fillId="35" borderId="93" xfId="2" applyNumberFormat="1" applyFont="1" applyFill="1" applyBorder="1" applyAlignment="1">
      <alignment horizontal="right"/>
    </xf>
    <xf numFmtId="10" fontId="0" fillId="35" borderId="93" xfId="2" applyNumberFormat="1" applyFont="1" applyFill="1" applyBorder="1" applyAlignment="1">
      <alignment horizontal="right"/>
    </xf>
    <xf numFmtId="9" fontId="0" fillId="35" borderId="84" xfId="2" applyFont="1" applyFill="1" applyBorder="1" applyAlignment="1">
      <alignment horizontal="right"/>
    </xf>
    <xf numFmtId="9" fontId="0" fillId="35" borderId="85" xfId="2" applyFont="1" applyFill="1" applyBorder="1" applyAlignment="1">
      <alignment horizontal="right"/>
    </xf>
    <xf numFmtId="10" fontId="16" fillId="37" borderId="94" xfId="2" applyNumberFormat="1" applyFont="1" applyFill="1" applyBorder="1" applyAlignment="1">
      <alignment horizontal="right"/>
    </xf>
    <xf numFmtId="0" fontId="16" fillId="37" borderId="95" xfId="0" applyFont="1" applyFill="1" applyBorder="1" applyAlignment="1">
      <alignment horizontal="center" vertical="center"/>
    </xf>
    <xf numFmtId="10" fontId="16" fillId="37" borderId="96" xfId="2" applyNumberFormat="1" applyFont="1" applyFill="1" applyBorder="1" applyAlignment="1">
      <alignment horizontal="right"/>
    </xf>
    <xf numFmtId="10" fontId="16" fillId="37" borderId="97" xfId="2" applyNumberFormat="1" applyFont="1" applyFill="1" applyBorder="1" applyAlignment="1">
      <alignment horizontal="right"/>
    </xf>
    <xf numFmtId="10" fontId="16" fillId="37" borderId="98" xfId="2" applyNumberFormat="1" applyFont="1" applyFill="1" applyBorder="1" applyAlignment="1">
      <alignment horizontal="right"/>
    </xf>
    <xf numFmtId="10" fontId="21" fillId="36" borderId="32" xfId="0" applyNumberFormat="1" applyFont="1" applyFill="1" applyBorder="1" applyAlignment="1">
      <alignment horizontal="right"/>
    </xf>
    <xf numFmtId="10" fontId="21" fillId="36" borderId="99" xfId="0" applyNumberFormat="1" applyFont="1" applyFill="1" applyBorder="1" applyAlignment="1">
      <alignment horizontal="right"/>
    </xf>
    <xf numFmtId="10" fontId="21" fillId="36" borderId="100" xfId="0" applyNumberFormat="1" applyFont="1" applyFill="1" applyBorder="1" applyAlignment="1">
      <alignment horizontal="right"/>
    </xf>
    <xf numFmtId="10" fontId="21" fillId="36" borderId="97" xfId="0" applyNumberFormat="1" applyFont="1" applyFill="1" applyBorder="1" applyAlignment="1">
      <alignment horizontal="right"/>
    </xf>
    <xf numFmtId="10" fontId="21" fillId="36" borderId="101" xfId="0" applyNumberFormat="1" applyFont="1" applyFill="1" applyBorder="1" applyAlignment="1">
      <alignment horizontal="right"/>
    </xf>
    <xf numFmtId="10" fontId="38" fillId="35" borderId="0" xfId="0" applyNumberFormat="1" applyFont="1" applyFill="1"/>
    <xf numFmtId="9" fontId="0" fillId="35" borderId="0" xfId="0" applyNumberFormat="1" applyFill="1"/>
    <xf numFmtId="165" fontId="18" fillId="35" borderId="10" xfId="0" applyNumberFormat="1" applyFont="1" applyFill="1" applyBorder="1" applyAlignment="1">
      <alignment horizontal="center" vertical="center" wrapText="1"/>
    </xf>
    <xf numFmtId="0" fontId="13" fillId="45" borderId="11" xfId="0" applyFont="1" applyFill="1" applyBorder="1" applyAlignment="1">
      <alignment horizontal="center" vertical="center" wrapText="1"/>
    </xf>
    <xf numFmtId="9" fontId="13" fillId="45" borderId="11" xfId="2" applyFont="1" applyFill="1" applyBorder="1" applyAlignment="1">
      <alignment horizontal="center" vertical="center" wrapText="1"/>
    </xf>
    <xf numFmtId="0" fontId="30" fillId="46" borderId="57" xfId="0" applyFont="1" applyFill="1" applyBorder="1" applyAlignment="1">
      <alignment horizontal="center" vertical="center" wrapText="1"/>
    </xf>
    <xf numFmtId="9" fontId="19" fillId="45" borderId="12" xfId="2" applyFont="1" applyFill="1" applyBorder="1" applyAlignment="1">
      <alignment vertical="center" wrapText="1"/>
    </xf>
    <xf numFmtId="165" fontId="27" fillId="39" borderId="49" xfId="2" applyNumberFormat="1"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18" fillId="35" borderId="10" xfId="0" applyFont="1" applyFill="1" applyBorder="1" applyAlignment="1">
      <alignment horizontal="center" vertical="center" wrapText="1"/>
    </xf>
    <xf numFmtId="9" fontId="18" fillId="35" borderId="12" xfId="2" applyFont="1" applyFill="1" applyBorder="1" applyAlignment="1">
      <alignment horizontal="center" vertical="center" wrapText="1"/>
    </xf>
    <xf numFmtId="0" fontId="13" fillId="45" borderId="11" xfId="0" applyFont="1" applyFill="1" applyBorder="1" applyAlignment="1">
      <alignment horizontal="center" vertical="center" wrapText="1"/>
    </xf>
    <xf numFmtId="1" fontId="18" fillId="35" borderId="12" xfId="0" applyNumberFormat="1" applyFont="1" applyFill="1" applyBorder="1" applyAlignment="1">
      <alignment horizontal="center" vertical="center" wrapText="1"/>
    </xf>
    <xf numFmtId="9" fontId="19" fillId="35" borderId="10" xfId="2" applyFont="1" applyFill="1" applyBorder="1" applyAlignment="1">
      <alignment horizontal="center" vertical="center" wrapText="1"/>
    </xf>
    <xf numFmtId="10" fontId="18" fillId="0" borderId="10" xfId="2" applyNumberFormat="1" applyFont="1" applyFill="1" applyBorder="1" applyAlignment="1">
      <alignment horizontal="center" vertical="center" wrapText="1"/>
    </xf>
    <xf numFmtId="9" fontId="18" fillId="0" borderId="10" xfId="2" applyFont="1" applyFill="1" applyBorder="1" applyAlignment="1">
      <alignment horizontal="center" vertical="center" wrapText="1"/>
    </xf>
    <xf numFmtId="9" fontId="27" fillId="39" borderId="49" xfId="2" applyNumberFormat="1" applyFont="1" applyFill="1" applyBorder="1" applyAlignment="1">
      <alignment horizontal="center" vertical="center" wrapText="1"/>
    </xf>
    <xf numFmtId="9" fontId="18" fillId="35" borderId="0" xfId="2" applyNumberFormat="1" applyFont="1" applyFill="1" applyBorder="1" applyAlignment="1">
      <alignment horizontal="center" vertical="center" wrapText="1"/>
    </xf>
    <xf numFmtId="0" fontId="25" fillId="0" borderId="0" xfId="0" applyFont="1" applyAlignment="1">
      <alignment wrapText="1"/>
    </xf>
    <xf numFmtId="0" fontId="25" fillId="41" borderId="0" xfId="0" applyFont="1" applyFill="1" applyAlignment="1">
      <alignment wrapText="1"/>
    </xf>
    <xf numFmtId="0" fontId="28" fillId="41" borderId="62" xfId="0" applyFont="1" applyFill="1" applyBorder="1" applyAlignment="1">
      <alignment vertical="center" wrapText="1"/>
    </xf>
    <xf numFmtId="0" fontId="28" fillId="41" borderId="63" xfId="0" applyFont="1" applyFill="1" applyBorder="1" applyAlignment="1">
      <alignment horizontal="center" vertical="center" wrapText="1"/>
    </xf>
    <xf numFmtId="9" fontId="28" fillId="41" borderId="63" xfId="0" applyNumberFormat="1" applyFont="1" applyFill="1" applyBorder="1" applyAlignment="1">
      <alignment horizontal="center" vertical="center" wrapText="1"/>
    </xf>
    <xf numFmtId="0" fontId="28" fillId="43" borderId="63" xfId="0" applyFont="1" applyFill="1" applyBorder="1" applyAlignment="1">
      <alignment horizontal="center" vertical="center" wrapText="1"/>
    </xf>
    <xf numFmtId="0" fontId="28" fillId="41" borderId="65" xfId="0" applyFont="1" applyFill="1" applyBorder="1" applyAlignment="1">
      <alignment vertical="center" wrapText="1"/>
    </xf>
    <xf numFmtId="0" fontId="28" fillId="43" borderId="65" xfId="0" applyFont="1" applyFill="1" applyBorder="1" applyAlignment="1">
      <alignment horizontal="center" vertical="center" wrapText="1"/>
    </xf>
    <xf numFmtId="0" fontId="28" fillId="41" borderId="65" xfId="0" applyFont="1" applyFill="1" applyBorder="1" applyAlignment="1">
      <alignment horizontal="center" vertical="center" wrapText="1"/>
    </xf>
    <xf numFmtId="0" fontId="25" fillId="0" borderId="0" xfId="0" applyFont="1" applyAlignment="1">
      <alignment vertical="center" wrapText="1"/>
    </xf>
    <xf numFmtId="0" fontId="25" fillId="41" borderId="0" xfId="0" applyFont="1" applyFill="1" applyAlignment="1">
      <alignment vertical="center" wrapText="1"/>
    </xf>
    <xf numFmtId="0" fontId="28" fillId="43" borderId="65" xfId="0" applyFont="1" applyFill="1" applyBorder="1" applyAlignment="1">
      <alignment vertical="center" wrapText="1"/>
    </xf>
    <xf numFmtId="0" fontId="28" fillId="41" borderId="65" xfId="0" quotePrefix="1" applyFont="1" applyFill="1" applyBorder="1" applyAlignment="1">
      <alignment horizontal="center" vertical="center" wrapText="1"/>
    </xf>
    <xf numFmtId="0" fontId="28" fillId="41" borderId="68" xfId="0" applyFont="1" applyFill="1" applyBorder="1" applyAlignment="1">
      <alignment vertical="center" wrapText="1"/>
    </xf>
    <xf numFmtId="0" fontId="28" fillId="41" borderId="65" xfId="44" quotePrefix="1" applyNumberFormat="1" applyFont="1" applyFill="1" applyBorder="1" applyAlignment="1">
      <alignment horizontal="center" vertical="center" wrapText="1"/>
    </xf>
    <xf numFmtId="9" fontId="28" fillId="41" borderId="65" xfId="2" quotePrefix="1" applyFont="1" applyFill="1" applyBorder="1" applyAlignment="1">
      <alignment horizontal="center" vertical="center" wrapText="1"/>
    </xf>
    <xf numFmtId="0" fontId="28" fillId="41" borderId="63" xfId="0" quotePrefix="1" applyFont="1" applyFill="1" applyBorder="1" applyAlignment="1">
      <alignment horizontal="center" vertical="center" wrapText="1"/>
    </xf>
    <xf numFmtId="9" fontId="28" fillId="41" borderId="63" xfId="2" quotePrefix="1" applyFont="1" applyFill="1" applyBorder="1" applyAlignment="1">
      <alignment horizontal="center" vertical="center" wrapText="1"/>
    </xf>
    <xf numFmtId="0" fontId="28" fillId="43" borderId="63" xfId="0" applyFont="1" applyFill="1" applyBorder="1" applyAlignment="1">
      <alignment vertical="center" wrapText="1"/>
    </xf>
    <xf numFmtId="0" fontId="28" fillId="41" borderId="0" xfId="0" applyFont="1" applyFill="1" applyAlignment="1">
      <alignment horizontal="center" vertical="center" wrapText="1"/>
    </xf>
    <xf numFmtId="0" fontId="28" fillId="41" borderId="0" xfId="0" applyFont="1" applyFill="1" applyAlignment="1">
      <alignment wrapText="1"/>
    </xf>
    <xf numFmtId="0" fontId="25" fillId="41" borderId="0" xfId="0" applyFont="1" applyFill="1" applyAlignment="1">
      <alignment horizontal="center" wrapText="1"/>
    </xf>
    <xf numFmtId="165" fontId="18" fillId="35" borderId="52" xfId="2" applyNumberFormat="1" applyFont="1" applyFill="1" applyBorder="1" applyAlignment="1">
      <alignment horizontal="center" vertical="center" wrapText="1"/>
    </xf>
    <xf numFmtId="0" fontId="18" fillId="35" borderId="10" xfId="0" applyFont="1" applyFill="1" applyBorder="1" applyAlignment="1">
      <alignment horizontal="center" vertical="center" wrapText="1"/>
    </xf>
    <xf numFmtId="0" fontId="13" fillId="34" borderId="11" xfId="0" applyFont="1" applyFill="1" applyBorder="1" applyAlignment="1">
      <alignment horizontal="center" vertical="center" wrapText="1"/>
    </xf>
    <xf numFmtId="9" fontId="18" fillId="35" borderId="18" xfId="2" applyFont="1" applyFill="1" applyBorder="1" applyAlignment="1">
      <alignment horizontal="center" vertical="center" wrapText="1"/>
    </xf>
    <xf numFmtId="9" fontId="18" fillId="35" borderId="14" xfId="2" applyFont="1" applyFill="1" applyBorder="1" applyAlignment="1">
      <alignment horizontal="center" vertical="center" wrapText="1"/>
    </xf>
    <xf numFmtId="9" fontId="18" fillId="35" borderId="12" xfId="2" applyFont="1" applyFill="1" applyBorder="1" applyAlignment="1">
      <alignment horizontal="center" vertical="center" wrapText="1"/>
    </xf>
    <xf numFmtId="0" fontId="13" fillId="45" borderId="11" xfId="0" applyFont="1" applyFill="1" applyBorder="1" applyAlignment="1">
      <alignment horizontal="center" vertical="center" wrapText="1"/>
    </xf>
    <xf numFmtId="0" fontId="19" fillId="35" borderId="10" xfId="0" applyFont="1" applyFill="1" applyBorder="1" applyAlignment="1">
      <alignment horizontal="center" vertical="center" wrapText="1"/>
    </xf>
    <xf numFmtId="9" fontId="19" fillId="35" borderId="10" xfId="0" applyNumberFormat="1" applyFont="1" applyFill="1" applyBorder="1" applyAlignment="1">
      <alignment horizontal="center" vertical="center" wrapText="1"/>
    </xf>
    <xf numFmtId="9" fontId="19" fillId="35" borderId="10" xfId="2" applyFont="1" applyFill="1" applyBorder="1" applyAlignment="1">
      <alignment horizontal="center" vertical="center" wrapText="1"/>
    </xf>
    <xf numFmtId="0" fontId="25" fillId="0" borderId="0" xfId="0" applyFont="1" applyAlignment="1">
      <alignment horizontal="center" wrapText="1"/>
    </xf>
    <xf numFmtId="0" fontId="16" fillId="37" borderId="29" xfId="0" applyFont="1" applyFill="1" applyBorder="1" applyAlignment="1">
      <alignment horizontal="center" vertical="center"/>
    </xf>
    <xf numFmtId="0" fontId="13" fillId="34" borderId="11" xfId="0" applyFont="1" applyFill="1" applyBorder="1" applyAlignment="1">
      <alignment horizontal="center" vertical="center" wrapText="1"/>
    </xf>
    <xf numFmtId="0" fontId="23" fillId="35" borderId="10" xfId="0" applyFont="1" applyFill="1" applyBorder="1" applyAlignment="1">
      <alignment horizontal="center" vertical="center" wrapText="1"/>
    </xf>
    <xf numFmtId="9" fontId="19" fillId="35" borderId="12" xfId="0" applyNumberFormat="1" applyFont="1" applyFill="1" applyBorder="1" applyAlignment="1">
      <alignment horizontal="center" vertical="center" wrapText="1"/>
    </xf>
    <xf numFmtId="0" fontId="18" fillId="35" borderId="10" xfId="0" applyFont="1" applyFill="1" applyBorder="1" applyAlignment="1">
      <alignment horizontal="center" vertical="center" wrapText="1"/>
    </xf>
    <xf numFmtId="0" fontId="18" fillId="35" borderId="12" xfId="0" applyFont="1" applyFill="1" applyBorder="1" applyAlignment="1">
      <alignment horizontal="left" vertical="center" wrapText="1"/>
    </xf>
    <xf numFmtId="9" fontId="18" fillId="35" borderId="12" xfId="2" applyFont="1" applyFill="1" applyBorder="1" applyAlignment="1">
      <alignment horizontal="center" vertical="center" wrapText="1"/>
    </xf>
    <xf numFmtId="0" fontId="19" fillId="35" borderId="10" xfId="0" applyFont="1" applyFill="1" applyBorder="1" applyAlignment="1">
      <alignment horizontal="center" vertical="center" wrapText="1"/>
    </xf>
    <xf numFmtId="0" fontId="13" fillId="45" borderId="11" xfId="0" applyFont="1" applyFill="1" applyBorder="1" applyAlignment="1">
      <alignment horizontal="center" vertical="center" wrapText="1"/>
    </xf>
    <xf numFmtId="1" fontId="18" fillId="35" borderId="12" xfId="0" applyNumberFormat="1" applyFont="1" applyFill="1" applyBorder="1" applyAlignment="1">
      <alignment horizontal="center" vertical="center" wrapText="1"/>
    </xf>
    <xf numFmtId="164" fontId="18" fillId="35" borderId="10" xfId="1" applyNumberFormat="1" applyFont="1" applyFill="1" applyBorder="1" applyAlignment="1">
      <alignment horizontal="center" vertical="center" wrapText="1"/>
    </xf>
    <xf numFmtId="9" fontId="19" fillId="35" borderId="10" xfId="0" applyNumberFormat="1" applyFont="1" applyFill="1" applyBorder="1" applyAlignment="1">
      <alignment horizontal="center" vertical="center" wrapText="1"/>
    </xf>
    <xf numFmtId="9" fontId="19" fillId="35" borderId="52" xfId="2" applyFont="1" applyFill="1" applyBorder="1" applyAlignment="1">
      <alignment horizontal="center" vertical="center" wrapText="1"/>
    </xf>
    <xf numFmtId="0" fontId="28" fillId="41" borderId="60" xfId="0" applyFont="1" applyFill="1" applyBorder="1" applyAlignment="1">
      <alignment vertical="center" wrapText="1"/>
    </xf>
    <xf numFmtId="0" fontId="28" fillId="41" borderId="63" xfId="0" applyFont="1" applyFill="1" applyBorder="1" applyAlignment="1">
      <alignment vertical="center" wrapText="1"/>
    </xf>
    <xf numFmtId="0" fontId="28" fillId="41" borderId="59" xfId="0" applyFont="1" applyFill="1" applyBorder="1" applyAlignment="1">
      <alignment vertical="center" wrapText="1"/>
    </xf>
    <xf numFmtId="0" fontId="28" fillId="41" borderId="0" xfId="0" applyFont="1" applyFill="1" applyAlignment="1">
      <alignment vertical="center" wrapText="1"/>
    </xf>
    <xf numFmtId="0" fontId="30" fillId="42" borderId="54" xfId="0" applyFont="1" applyFill="1" applyBorder="1" applyAlignment="1">
      <alignment horizontal="center" vertical="center" wrapText="1"/>
    </xf>
    <xf numFmtId="9" fontId="19" fillId="35" borderId="10" xfId="2" applyFont="1" applyFill="1" applyBorder="1" applyAlignment="1">
      <alignment horizontal="center" vertical="center" wrapText="1"/>
    </xf>
    <xf numFmtId="10" fontId="36" fillId="35" borderId="10" xfId="2" applyNumberFormat="1" applyFont="1" applyFill="1" applyBorder="1" applyAlignment="1">
      <alignment horizontal="center" vertical="center" wrapText="1"/>
    </xf>
    <xf numFmtId="166" fontId="18" fillId="35" borderId="10" xfId="2" applyNumberFormat="1"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18" fillId="35" borderId="10" xfId="0" applyFont="1" applyFill="1" applyBorder="1" applyAlignment="1">
      <alignment horizontal="center" vertical="center" wrapText="1"/>
    </xf>
    <xf numFmtId="0" fontId="13" fillId="45" borderId="11" xfId="0" applyFont="1" applyFill="1" applyBorder="1" applyAlignment="1">
      <alignment horizontal="center" vertical="center" wrapText="1"/>
    </xf>
    <xf numFmtId="0" fontId="19" fillId="35" borderId="10" xfId="0" applyFont="1" applyFill="1" applyBorder="1" applyAlignment="1">
      <alignment horizontal="center" vertical="center" wrapText="1"/>
    </xf>
    <xf numFmtId="164" fontId="18" fillId="35" borderId="10" xfId="1" applyNumberFormat="1" applyFont="1" applyFill="1" applyBorder="1" applyAlignment="1">
      <alignment horizontal="center" vertical="center" wrapText="1"/>
    </xf>
    <xf numFmtId="9" fontId="19" fillId="35" borderId="10" xfId="0" applyNumberFormat="1" applyFont="1" applyFill="1" applyBorder="1" applyAlignment="1">
      <alignment horizontal="center" vertical="center" wrapText="1"/>
    </xf>
    <xf numFmtId="9" fontId="19" fillId="35" borderId="10" xfId="2" applyFont="1" applyFill="1" applyBorder="1" applyAlignment="1">
      <alignment horizontal="center" vertical="center" wrapText="1"/>
    </xf>
    <xf numFmtId="0" fontId="18" fillId="0" borderId="10" xfId="0" applyFont="1" applyBorder="1" applyAlignment="1">
      <alignment horizontal="left" vertical="center" wrapText="1"/>
    </xf>
    <xf numFmtId="9" fontId="28" fillId="41" borderId="63" xfId="2" applyFont="1" applyFill="1" applyBorder="1" applyAlignment="1">
      <alignment horizontal="center" vertical="center" wrapText="1"/>
    </xf>
    <xf numFmtId="10" fontId="28" fillId="41" borderId="65" xfId="0" applyNumberFormat="1" applyFont="1" applyFill="1" applyBorder="1" applyAlignment="1">
      <alignment horizontal="center" vertical="center" wrapText="1"/>
    </xf>
    <xf numFmtId="0" fontId="0" fillId="35" borderId="0" xfId="0" applyFill="1"/>
    <xf numFmtId="9" fontId="19" fillId="47" borderId="10" xfId="0" applyNumberFormat="1" applyFont="1" applyFill="1" applyBorder="1" applyAlignment="1">
      <alignment horizontal="center" vertical="center" wrapText="1"/>
    </xf>
    <xf numFmtId="0" fontId="18" fillId="47" borderId="10" xfId="0" applyFont="1" applyFill="1" applyBorder="1" applyAlignment="1">
      <alignment horizontal="left" vertical="center" wrapText="1"/>
    </xf>
    <xf numFmtId="9" fontId="19" fillId="47" borderId="10" xfId="2" applyFont="1" applyFill="1" applyBorder="1" applyAlignment="1">
      <alignment horizontal="center" vertical="center" wrapText="1"/>
    </xf>
    <xf numFmtId="0" fontId="0" fillId="0" borderId="0" xfId="0"/>
    <xf numFmtId="0" fontId="18" fillId="35" borderId="0" xfId="0" applyFont="1" applyFill="1" applyAlignment="1">
      <alignment horizontal="center" vertical="center" wrapText="1"/>
    </xf>
    <xf numFmtId="0" fontId="16" fillId="0" borderId="0" xfId="0" applyFont="1" applyAlignment="1">
      <alignment horizontal="center"/>
    </xf>
    <xf numFmtId="9" fontId="18" fillId="47" borderId="10" xfId="2" applyFont="1" applyFill="1" applyBorder="1" applyAlignment="1">
      <alignment horizontal="center" vertical="center" wrapText="1"/>
    </xf>
    <xf numFmtId="0" fontId="0" fillId="37" borderId="104" xfId="0" applyFill="1" applyBorder="1"/>
    <xf numFmtId="9" fontId="16" fillId="37" borderId="75" xfId="2" applyFont="1" applyFill="1" applyBorder="1" applyAlignment="1">
      <alignment horizontal="right"/>
    </xf>
    <xf numFmtId="0" fontId="0" fillId="38" borderId="104" xfId="0" applyFill="1" applyBorder="1"/>
    <xf numFmtId="10" fontId="40" fillId="38" borderId="26" xfId="2" applyNumberFormat="1" applyFont="1" applyFill="1" applyBorder="1" applyAlignment="1">
      <alignment horizontal="right"/>
    </xf>
    <xf numFmtId="10" fontId="40" fillId="38" borderId="27" xfId="2" applyNumberFormat="1" applyFont="1" applyFill="1" applyBorder="1" applyAlignment="1">
      <alignment horizontal="right"/>
    </xf>
    <xf numFmtId="10" fontId="40" fillId="38" borderId="72" xfId="2" applyNumberFormat="1" applyFont="1" applyFill="1" applyBorder="1" applyAlignment="1">
      <alignment horizontal="right"/>
    </xf>
    <xf numFmtId="0" fontId="16" fillId="37" borderId="88" xfId="0" applyFont="1" applyFill="1" applyBorder="1"/>
    <xf numFmtId="0" fontId="0" fillId="37" borderId="105" xfId="0" applyFill="1" applyBorder="1"/>
    <xf numFmtId="10" fontId="37" fillId="37" borderId="40" xfId="2" applyNumberFormat="1" applyFont="1" applyFill="1" applyBorder="1" applyAlignment="1">
      <alignment horizontal="right"/>
    </xf>
    <xf numFmtId="0" fontId="0" fillId="35" borderId="105" xfId="0" applyFill="1" applyBorder="1"/>
    <xf numFmtId="0" fontId="0" fillId="35" borderId="106" xfId="0" applyFill="1" applyBorder="1"/>
    <xf numFmtId="10" fontId="16" fillId="38" borderId="30" xfId="2" applyNumberFormat="1" applyFont="1" applyFill="1" applyBorder="1" applyAlignment="1">
      <alignment horizontal="right"/>
    </xf>
    <xf numFmtId="10" fontId="16" fillId="38" borderId="0" xfId="2" applyNumberFormat="1" applyFont="1" applyFill="1" applyBorder="1" applyAlignment="1">
      <alignment horizontal="right"/>
    </xf>
    <xf numFmtId="0" fontId="0" fillId="35" borderId="93" xfId="0" applyFill="1" applyBorder="1"/>
    <xf numFmtId="0" fontId="0" fillId="35" borderId="41" xfId="0" applyFill="1" applyBorder="1"/>
    <xf numFmtId="0" fontId="0" fillId="0" borderId="93" xfId="0" applyBorder="1"/>
    <xf numFmtId="10" fontId="40" fillId="35" borderId="38" xfId="2" applyNumberFormat="1" applyFont="1" applyFill="1" applyBorder="1" applyAlignment="1">
      <alignment horizontal="right"/>
    </xf>
    <xf numFmtId="10" fontId="21" fillId="36" borderId="89" xfId="0" applyNumberFormat="1" applyFont="1" applyFill="1" applyBorder="1" applyAlignment="1">
      <alignment horizontal="right"/>
    </xf>
    <xf numFmtId="0" fontId="13" fillId="34" borderId="11" xfId="0" applyFont="1" applyFill="1" applyBorder="1" applyAlignment="1">
      <alignment horizontal="center" vertical="center" wrapText="1"/>
    </xf>
    <xf numFmtId="0" fontId="30" fillId="42" borderId="54" xfId="0" applyFont="1" applyFill="1" applyBorder="1" applyAlignment="1">
      <alignment horizontal="center" vertical="center" wrapText="1"/>
    </xf>
    <xf numFmtId="10" fontId="0" fillId="0" borderId="0" xfId="2" applyNumberFormat="1" applyFont="1" applyAlignment="1">
      <alignment horizontal="center" vertical="center"/>
    </xf>
    <xf numFmtId="10" fontId="0" fillId="0" borderId="0" xfId="2" applyNumberFormat="1" applyFont="1" applyBorder="1" applyAlignment="1">
      <alignment horizontal="center" vertical="center"/>
    </xf>
    <xf numFmtId="10" fontId="13" fillId="34" borderId="11" xfId="2" applyNumberFormat="1" applyFont="1" applyFill="1" applyBorder="1" applyAlignment="1">
      <alignment horizontal="center" vertical="center" wrapText="1"/>
    </xf>
    <xf numFmtId="10" fontId="13" fillId="45" borderId="11" xfId="2" applyNumberFormat="1" applyFont="1" applyFill="1" applyBorder="1" applyAlignment="1">
      <alignment horizontal="center" vertical="center" wrapText="1"/>
    </xf>
    <xf numFmtId="9" fontId="19" fillId="0" borderId="10" xfId="2" applyFont="1" applyFill="1" applyBorder="1" applyAlignment="1">
      <alignment horizontal="center" vertical="center" wrapText="1"/>
    </xf>
    <xf numFmtId="2" fontId="19" fillId="35" borderId="10" xfId="2" applyNumberFormat="1" applyFont="1" applyFill="1" applyBorder="1" applyAlignment="1">
      <alignment horizontal="center" vertical="center" wrapText="1"/>
    </xf>
    <xf numFmtId="0" fontId="41" fillId="0" borderId="22" xfId="0" applyFont="1" applyBorder="1" applyAlignment="1">
      <alignment horizontal="left"/>
    </xf>
    <xf numFmtId="2" fontId="42" fillId="0" borderId="10" xfId="2" applyNumberFormat="1" applyFont="1" applyFill="1" applyBorder="1" applyAlignment="1">
      <alignment horizontal="center" vertical="center" wrapText="1"/>
    </xf>
    <xf numFmtId="10" fontId="43" fillId="0" borderId="10" xfId="2" applyNumberFormat="1" applyFont="1" applyFill="1" applyBorder="1" applyAlignment="1">
      <alignment horizontal="center" vertical="center" wrapText="1"/>
    </xf>
    <xf numFmtId="10" fontId="43" fillId="35" borderId="10" xfId="2" applyNumberFormat="1" applyFont="1" applyFill="1" applyBorder="1" applyAlignment="1">
      <alignment horizontal="center" vertical="center" wrapText="1"/>
    </xf>
    <xf numFmtId="0" fontId="16" fillId="0" borderId="0" xfId="0" applyFont="1" applyAlignment="1">
      <alignment horizontal="center" vertical="center" wrapText="1"/>
    </xf>
    <xf numFmtId="10" fontId="18" fillId="40" borderId="10" xfId="2" applyNumberFormat="1" applyFont="1" applyFill="1" applyBorder="1" applyAlignment="1">
      <alignment horizontal="center" vertical="center" wrapText="1"/>
    </xf>
    <xf numFmtId="2" fontId="42" fillId="35" borderId="10" xfId="2" applyNumberFormat="1" applyFont="1" applyFill="1" applyBorder="1" applyAlignment="1">
      <alignment horizontal="center" vertical="center" wrapText="1"/>
    </xf>
    <xf numFmtId="10" fontId="42" fillId="0" borderId="10" xfId="2" applyNumberFormat="1" applyFont="1" applyFill="1" applyBorder="1" applyAlignment="1">
      <alignment horizontal="center" vertical="center" wrapText="1"/>
    </xf>
    <xf numFmtId="9" fontId="42" fillId="0" borderId="10" xfId="2" applyFont="1" applyFill="1" applyBorder="1" applyAlignment="1">
      <alignment horizontal="center" vertical="center" wrapText="1"/>
    </xf>
    <xf numFmtId="164" fontId="18" fillId="35" borderId="12" xfId="1" applyNumberFormat="1" applyFont="1" applyFill="1" applyBorder="1" applyAlignment="1">
      <alignment vertical="center" wrapText="1"/>
    </xf>
    <xf numFmtId="0" fontId="25" fillId="0" borderId="110" xfId="0" applyFont="1" applyBorder="1" applyAlignment="1">
      <alignment horizontal="left" vertical="center" wrapText="1"/>
    </xf>
    <xf numFmtId="0" fontId="25" fillId="0" borderId="0" xfId="0" applyFont="1" applyAlignment="1">
      <alignment horizontal="left" vertical="center" wrapText="1"/>
    </xf>
    <xf numFmtId="0" fontId="25" fillId="0" borderId="111" xfId="0" applyFont="1" applyBorder="1" applyAlignment="1">
      <alignment horizontal="left" vertical="center" wrapText="1"/>
    </xf>
    <xf numFmtId="0" fontId="25" fillId="0" borderId="112" xfId="0" applyFont="1" applyBorder="1" applyAlignment="1">
      <alignment horizontal="left" vertical="center" wrapText="1"/>
    </xf>
    <xf numFmtId="0" fontId="25" fillId="0" borderId="113" xfId="0" applyFont="1" applyBorder="1" applyAlignment="1">
      <alignment horizontal="left" vertical="center" wrapText="1"/>
    </xf>
    <xf numFmtId="0" fontId="25" fillId="0" borderId="114" xfId="0" applyFont="1" applyBorder="1" applyAlignment="1">
      <alignment horizontal="left" vertical="center" wrapText="1"/>
    </xf>
    <xf numFmtId="0" fontId="16" fillId="37" borderId="28" xfId="0" applyFont="1" applyFill="1" applyBorder="1" applyAlignment="1">
      <alignment horizontal="center" vertical="center"/>
    </xf>
    <xf numFmtId="0" fontId="16" fillId="37" borderId="29" xfId="0" applyFont="1" applyFill="1" applyBorder="1" applyAlignment="1">
      <alignment horizontal="center" vertical="center"/>
    </xf>
    <xf numFmtId="0" fontId="16" fillId="37" borderId="31" xfId="0" applyFont="1" applyFill="1" applyBorder="1" applyAlignment="1">
      <alignment horizontal="center" vertical="center"/>
    </xf>
    <xf numFmtId="0" fontId="16" fillId="37" borderId="43" xfId="0" applyFont="1" applyFill="1" applyBorder="1" applyAlignment="1">
      <alignment horizontal="center" vertical="center"/>
    </xf>
    <xf numFmtId="0" fontId="16" fillId="37" borderId="44" xfId="0" applyFont="1" applyFill="1" applyBorder="1" applyAlignment="1">
      <alignment horizontal="center" vertical="center"/>
    </xf>
    <xf numFmtId="0" fontId="16" fillId="37" borderId="48" xfId="0" applyFont="1" applyFill="1" applyBorder="1" applyAlignment="1">
      <alignment horizontal="center" vertical="center"/>
    </xf>
    <xf numFmtId="0" fontId="25" fillId="0" borderId="107" xfId="0" applyFont="1" applyBorder="1" applyAlignment="1">
      <alignment horizontal="left" vertical="center" wrapText="1"/>
    </xf>
    <xf numFmtId="0" fontId="25" fillId="0" borderId="108" xfId="0" applyFont="1" applyBorder="1" applyAlignment="1">
      <alignment horizontal="left" vertical="center" wrapText="1"/>
    </xf>
    <xf numFmtId="0" fontId="25" fillId="0" borderId="109" xfId="0" applyFont="1" applyBorder="1" applyAlignment="1">
      <alignment horizontal="left" vertical="center" wrapText="1"/>
    </xf>
    <xf numFmtId="0" fontId="13" fillId="36" borderId="20" xfId="0" applyFont="1" applyFill="1" applyBorder="1" applyAlignment="1">
      <alignment horizontal="center"/>
    </xf>
    <xf numFmtId="0" fontId="13" fillId="36" borderId="21" xfId="0" applyFont="1" applyFill="1" applyBorder="1" applyAlignment="1">
      <alignment horizontal="center"/>
    </xf>
    <xf numFmtId="0" fontId="13" fillId="36" borderId="32" xfId="0" applyFont="1" applyFill="1" applyBorder="1" applyAlignment="1">
      <alignment horizontal="center"/>
    </xf>
    <xf numFmtId="0" fontId="13" fillId="36" borderId="103" xfId="0" applyFont="1" applyFill="1" applyBorder="1" applyAlignment="1">
      <alignment horizontal="center"/>
    </xf>
    <xf numFmtId="0" fontId="16" fillId="37" borderId="46" xfId="0" applyFont="1" applyFill="1" applyBorder="1" applyAlignment="1">
      <alignment horizontal="center" vertical="center"/>
    </xf>
    <xf numFmtId="0" fontId="13" fillId="36" borderId="19" xfId="0" applyFont="1" applyFill="1" applyBorder="1" applyAlignment="1">
      <alignment horizontal="center" vertical="center"/>
    </xf>
    <xf numFmtId="0" fontId="13" fillId="36" borderId="22" xfId="0" applyFont="1" applyFill="1" applyBorder="1" applyAlignment="1">
      <alignment horizontal="center" vertical="center"/>
    </xf>
    <xf numFmtId="0" fontId="13" fillId="34" borderId="15" xfId="0" applyFont="1" applyFill="1" applyBorder="1" applyAlignment="1">
      <alignment horizontal="center" vertical="center" wrapText="1"/>
    </xf>
    <xf numFmtId="0" fontId="13" fillId="34" borderId="17" xfId="0" applyFont="1" applyFill="1" applyBorder="1" applyAlignment="1">
      <alignment horizontal="center" vertical="center" wrapText="1"/>
    </xf>
    <xf numFmtId="0" fontId="13" fillId="34" borderId="16" xfId="0"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22" fillId="34" borderId="15" xfId="0" applyFont="1" applyFill="1" applyBorder="1" applyAlignment="1">
      <alignment horizontal="center" vertical="center" wrapText="1"/>
    </xf>
    <xf numFmtId="0" fontId="22" fillId="34" borderId="16" xfId="0" applyFont="1" applyFill="1" applyBorder="1" applyAlignment="1">
      <alignment horizontal="center" vertical="center" wrapText="1"/>
    </xf>
    <xf numFmtId="0" fontId="22" fillId="34" borderId="17" xfId="0" applyFont="1" applyFill="1" applyBorder="1" applyAlignment="1">
      <alignment horizontal="center" vertical="center" wrapText="1"/>
    </xf>
    <xf numFmtId="0" fontId="22" fillId="34" borderId="102" xfId="0" applyFont="1" applyFill="1" applyBorder="1" applyAlignment="1">
      <alignment horizontal="center" vertical="center" wrapText="1"/>
    </xf>
    <xf numFmtId="9" fontId="19" fillId="35" borderId="18" xfId="2" applyFont="1" applyFill="1" applyBorder="1" applyAlignment="1">
      <alignment horizontal="center" vertical="center" wrapText="1"/>
    </xf>
    <xf numFmtId="9" fontId="19" fillId="35" borderId="12" xfId="2" applyFont="1" applyFill="1" applyBorder="1" applyAlignment="1">
      <alignment horizontal="center" vertical="center" wrapText="1"/>
    </xf>
    <xf numFmtId="0" fontId="18" fillId="35" borderId="10" xfId="0" applyFont="1" applyFill="1" applyBorder="1" applyAlignment="1">
      <alignment horizontal="center" vertical="center" wrapText="1"/>
    </xf>
    <xf numFmtId="0" fontId="18" fillId="35" borderId="18" xfId="0" applyFont="1" applyFill="1" applyBorder="1" applyAlignment="1">
      <alignment horizontal="center" vertical="center" wrapText="1"/>
    </xf>
    <xf numFmtId="0" fontId="18" fillId="35" borderId="12" xfId="0" applyFont="1" applyFill="1" applyBorder="1" applyAlignment="1">
      <alignment horizontal="center" vertical="center" wrapText="1"/>
    </xf>
    <xf numFmtId="9" fontId="19" fillId="35" borderId="18" xfId="0" applyNumberFormat="1" applyFont="1" applyFill="1" applyBorder="1" applyAlignment="1">
      <alignment horizontal="center" vertical="center" wrapText="1"/>
    </xf>
    <xf numFmtId="9" fontId="19" fillId="35" borderId="12" xfId="0" applyNumberFormat="1" applyFont="1" applyFill="1" applyBorder="1" applyAlignment="1">
      <alignment horizontal="center" vertical="center" wrapText="1"/>
    </xf>
    <xf numFmtId="0" fontId="23" fillId="35" borderId="10" xfId="0" applyFont="1" applyFill="1" applyBorder="1" applyAlignment="1">
      <alignment horizontal="center" vertical="center" wrapText="1"/>
    </xf>
    <xf numFmtId="164" fontId="18" fillId="35" borderId="18" xfId="1" applyNumberFormat="1" applyFont="1" applyFill="1" applyBorder="1" applyAlignment="1">
      <alignment horizontal="center" vertical="center" wrapText="1"/>
    </xf>
    <xf numFmtId="164" fontId="18" fillId="35" borderId="12" xfId="1" applyNumberFormat="1" applyFont="1" applyFill="1" applyBorder="1" applyAlignment="1">
      <alignment horizontal="center" vertical="center" wrapText="1"/>
    </xf>
    <xf numFmtId="0" fontId="18" fillId="35" borderId="18" xfId="0" applyFont="1" applyFill="1" applyBorder="1" applyAlignment="1">
      <alignment horizontal="left" vertical="center" wrapText="1"/>
    </xf>
    <xf numFmtId="0" fontId="18" fillId="35" borderId="12" xfId="0" applyFont="1" applyFill="1" applyBorder="1" applyAlignment="1">
      <alignment horizontal="left" vertical="center" wrapText="1"/>
    </xf>
    <xf numFmtId="9" fontId="18" fillId="35" borderId="18" xfId="2" applyFont="1" applyFill="1" applyBorder="1" applyAlignment="1">
      <alignment horizontal="center" vertical="center" wrapText="1"/>
    </xf>
    <xf numFmtId="9" fontId="18" fillId="35" borderId="14" xfId="2" applyFont="1" applyFill="1" applyBorder="1" applyAlignment="1">
      <alignment horizontal="center" vertical="center" wrapText="1"/>
    </xf>
    <xf numFmtId="9" fontId="18" fillId="35" borderId="12" xfId="2" applyFont="1" applyFill="1" applyBorder="1" applyAlignment="1">
      <alignment horizontal="center" vertical="center" wrapText="1"/>
    </xf>
    <xf numFmtId="9" fontId="18" fillId="0" borderId="18" xfId="2" applyFont="1" applyFill="1" applyBorder="1" applyAlignment="1">
      <alignment horizontal="center" vertical="center" wrapText="1"/>
    </xf>
    <xf numFmtId="9" fontId="18" fillId="0" borderId="14" xfId="2" applyFont="1" applyFill="1" applyBorder="1" applyAlignment="1">
      <alignment horizontal="center" vertical="center" wrapText="1"/>
    </xf>
    <xf numFmtId="9" fontId="18" fillId="0" borderId="12" xfId="2" applyFont="1" applyFill="1" applyBorder="1" applyAlignment="1">
      <alignment horizontal="center" vertical="center" wrapText="1"/>
    </xf>
    <xf numFmtId="0" fontId="22" fillId="45" borderId="69" xfId="0" applyFont="1" applyFill="1" applyBorder="1" applyAlignment="1">
      <alignment horizontal="center" vertical="center" wrapText="1"/>
    </xf>
    <xf numFmtId="0" fontId="22" fillId="45" borderId="70" xfId="0" applyFont="1" applyFill="1" applyBorder="1" applyAlignment="1">
      <alignment horizontal="center" vertical="center" wrapText="1"/>
    </xf>
    <xf numFmtId="0" fontId="22" fillId="45" borderId="71" xfId="0" applyFont="1" applyFill="1" applyBorder="1" applyAlignment="1">
      <alignment horizontal="center" vertical="center" wrapText="1"/>
    </xf>
    <xf numFmtId="0" fontId="22" fillId="45" borderId="15" xfId="0" applyFont="1" applyFill="1" applyBorder="1" applyAlignment="1">
      <alignment horizontal="center" vertical="center" wrapText="1"/>
    </xf>
    <xf numFmtId="0" fontId="22" fillId="45" borderId="16" xfId="0" applyFont="1" applyFill="1" applyBorder="1" applyAlignment="1">
      <alignment horizontal="center" vertical="center" wrapText="1"/>
    </xf>
    <xf numFmtId="0" fontId="22" fillId="45" borderId="17" xfId="0" applyFont="1" applyFill="1" applyBorder="1" applyAlignment="1">
      <alignment horizontal="center" vertical="center" wrapText="1"/>
    </xf>
    <xf numFmtId="165" fontId="18" fillId="0" borderId="18" xfId="2" applyNumberFormat="1" applyFont="1" applyFill="1" applyBorder="1" applyAlignment="1">
      <alignment horizontal="center" vertical="center" wrapText="1"/>
    </xf>
    <xf numFmtId="165" fontId="18" fillId="0" borderId="14" xfId="2" applyNumberFormat="1" applyFont="1" applyFill="1" applyBorder="1" applyAlignment="1">
      <alignment horizontal="center" vertical="center" wrapText="1"/>
    </xf>
    <xf numFmtId="165" fontId="18" fillId="0" borderId="12" xfId="2" applyNumberFormat="1" applyFont="1" applyFill="1" applyBorder="1" applyAlignment="1">
      <alignment horizontal="center" vertical="center" wrapText="1"/>
    </xf>
    <xf numFmtId="0" fontId="19" fillId="35" borderId="10" xfId="0" applyFont="1" applyFill="1" applyBorder="1" applyAlignment="1">
      <alignment horizontal="center" vertical="center" wrapText="1"/>
    </xf>
    <xf numFmtId="0" fontId="18" fillId="35" borderId="14" xfId="0" applyFont="1" applyFill="1" applyBorder="1" applyAlignment="1">
      <alignment horizontal="center" vertical="center" wrapText="1"/>
    </xf>
    <xf numFmtId="10" fontId="18" fillId="35" borderId="18" xfId="2" applyNumberFormat="1" applyFont="1" applyFill="1" applyBorder="1" applyAlignment="1">
      <alignment horizontal="center" vertical="center" wrapText="1"/>
    </xf>
    <xf numFmtId="10" fontId="18" fillId="35" borderId="14" xfId="2" applyNumberFormat="1" applyFont="1" applyFill="1" applyBorder="1" applyAlignment="1">
      <alignment horizontal="center" vertical="center" wrapText="1"/>
    </xf>
    <xf numFmtId="10" fontId="18" fillId="35" borderId="12" xfId="2" applyNumberFormat="1" applyFont="1" applyFill="1" applyBorder="1" applyAlignment="1">
      <alignment horizontal="center" vertical="center" wrapText="1"/>
    </xf>
    <xf numFmtId="0" fontId="19" fillId="35" borderId="18" xfId="0" applyFont="1" applyFill="1" applyBorder="1" applyAlignment="1">
      <alignment horizontal="center" vertical="center" wrapText="1"/>
    </xf>
    <xf numFmtId="0" fontId="19" fillId="35" borderId="14" xfId="0" applyFont="1" applyFill="1" applyBorder="1" applyAlignment="1">
      <alignment horizontal="center" vertical="center" wrapText="1"/>
    </xf>
    <xf numFmtId="0" fontId="19" fillId="35" borderId="12" xfId="0" applyFont="1" applyFill="1" applyBorder="1" applyAlignment="1">
      <alignment horizontal="center" vertical="center" wrapText="1"/>
    </xf>
    <xf numFmtId="164" fontId="18" fillId="35" borderId="14" xfId="1" applyNumberFormat="1" applyFont="1" applyFill="1" applyBorder="1" applyAlignment="1">
      <alignment horizontal="center" vertical="center" wrapText="1"/>
    </xf>
    <xf numFmtId="9" fontId="19" fillId="35" borderId="14" xfId="2" applyFont="1" applyFill="1" applyBorder="1" applyAlignment="1">
      <alignment horizontal="center" vertical="center" wrapText="1"/>
    </xf>
    <xf numFmtId="10" fontId="19" fillId="35" borderId="18" xfId="2" applyNumberFormat="1" applyFont="1" applyFill="1" applyBorder="1" applyAlignment="1">
      <alignment horizontal="center" vertical="center" wrapText="1"/>
    </xf>
    <xf numFmtId="10" fontId="19" fillId="35" borderId="14" xfId="2" applyNumberFormat="1" applyFont="1" applyFill="1" applyBorder="1" applyAlignment="1">
      <alignment horizontal="center" vertical="center" wrapText="1"/>
    </xf>
    <xf numFmtId="10" fontId="19" fillId="35" borderId="12" xfId="2" applyNumberFormat="1" applyFont="1" applyFill="1" applyBorder="1" applyAlignment="1">
      <alignment horizontal="center" vertical="center" wrapText="1"/>
    </xf>
    <xf numFmtId="9" fontId="19" fillId="35" borderId="14" xfId="0" applyNumberFormat="1" applyFont="1" applyFill="1" applyBorder="1" applyAlignment="1">
      <alignment horizontal="center" vertical="center" wrapText="1"/>
    </xf>
    <xf numFmtId="165" fontId="18" fillId="35" borderId="18" xfId="2" applyNumberFormat="1" applyFont="1" applyFill="1" applyBorder="1" applyAlignment="1">
      <alignment horizontal="center" vertical="center" wrapText="1"/>
    </xf>
    <xf numFmtId="165" fontId="18" fillId="35" borderId="14" xfId="2" applyNumberFormat="1" applyFont="1" applyFill="1" applyBorder="1" applyAlignment="1">
      <alignment horizontal="center" vertical="center" wrapText="1"/>
    </xf>
    <xf numFmtId="165" fontId="18" fillId="35" borderId="12" xfId="2" applyNumberFormat="1" applyFont="1" applyFill="1" applyBorder="1" applyAlignment="1">
      <alignment horizontal="center" vertical="center" wrapText="1"/>
    </xf>
    <xf numFmtId="0" fontId="13" fillId="45" borderId="11" xfId="0" applyFont="1" applyFill="1" applyBorder="1" applyAlignment="1">
      <alignment horizontal="center" vertical="center" wrapText="1"/>
    </xf>
    <xf numFmtId="9" fontId="18" fillId="47" borderId="50" xfId="0" applyNumberFormat="1" applyFont="1" applyFill="1" applyBorder="1" applyAlignment="1">
      <alignment horizontal="center" vertical="center" wrapText="1"/>
    </xf>
    <xf numFmtId="9" fontId="18" fillId="47" borderId="51" xfId="0" applyNumberFormat="1" applyFont="1" applyFill="1" applyBorder="1" applyAlignment="1">
      <alignment horizontal="center" vertical="center" wrapText="1"/>
    </xf>
    <xf numFmtId="9" fontId="18" fillId="47" borderId="52" xfId="0" applyNumberFormat="1" applyFont="1" applyFill="1" applyBorder="1" applyAlignment="1">
      <alignment horizontal="center" vertical="center" wrapText="1"/>
    </xf>
    <xf numFmtId="2" fontId="18" fillId="35" borderId="18" xfId="2" applyNumberFormat="1" applyFont="1" applyFill="1" applyBorder="1" applyAlignment="1">
      <alignment horizontal="center" vertical="center" wrapText="1"/>
    </xf>
    <xf numFmtId="2" fontId="18" fillId="35" borderId="12" xfId="2" applyNumberFormat="1" applyFont="1" applyFill="1" applyBorder="1" applyAlignment="1">
      <alignment horizontal="center" vertical="center" wrapText="1"/>
    </xf>
    <xf numFmtId="9" fontId="18" fillId="35" borderId="18" xfId="2" applyNumberFormat="1" applyFont="1" applyFill="1" applyBorder="1" applyAlignment="1">
      <alignment horizontal="center" vertical="center" wrapText="1"/>
    </xf>
    <xf numFmtId="9" fontId="18" fillId="35" borderId="14" xfId="2" applyNumberFormat="1" applyFont="1" applyFill="1" applyBorder="1" applyAlignment="1">
      <alignment horizontal="center" vertical="center" wrapText="1"/>
    </xf>
    <xf numFmtId="9" fontId="18" fillId="35" borderId="12" xfId="2" applyNumberFormat="1" applyFont="1" applyFill="1" applyBorder="1" applyAlignment="1">
      <alignment horizontal="center" vertical="center" wrapText="1"/>
    </xf>
    <xf numFmtId="9" fontId="19" fillId="35" borderId="18" xfId="2" applyNumberFormat="1" applyFont="1" applyFill="1" applyBorder="1" applyAlignment="1">
      <alignment horizontal="center" vertical="center" wrapText="1"/>
    </xf>
    <xf numFmtId="9" fontId="19" fillId="35" borderId="14" xfId="2" applyNumberFormat="1" applyFont="1" applyFill="1" applyBorder="1" applyAlignment="1">
      <alignment horizontal="center" vertical="center" wrapText="1"/>
    </xf>
    <xf numFmtId="9" fontId="19" fillId="35" borderId="12" xfId="2" applyNumberFormat="1" applyFont="1" applyFill="1" applyBorder="1" applyAlignment="1">
      <alignment horizontal="center" vertical="center" wrapText="1"/>
    </xf>
    <xf numFmtId="9" fontId="19" fillId="40" borderId="18" xfId="2" applyFont="1" applyFill="1" applyBorder="1" applyAlignment="1">
      <alignment horizontal="center" vertical="center" wrapText="1"/>
    </xf>
    <xf numFmtId="9" fontId="19" fillId="40" borderId="14" xfId="2" applyFont="1" applyFill="1" applyBorder="1" applyAlignment="1">
      <alignment horizontal="center" vertical="center" wrapText="1"/>
    </xf>
    <xf numFmtId="9" fontId="19" fillId="40" borderId="12" xfId="2" applyFont="1" applyFill="1" applyBorder="1" applyAlignment="1">
      <alignment horizontal="center" vertical="center" wrapText="1"/>
    </xf>
    <xf numFmtId="0" fontId="0" fillId="0" borderId="0" xfId="0" applyAlignment="1">
      <alignment horizontal="center" wrapText="1"/>
    </xf>
    <xf numFmtId="9" fontId="18" fillId="35" borderId="18" xfId="0" applyNumberFormat="1" applyFont="1" applyFill="1" applyBorder="1" applyAlignment="1">
      <alignment horizontal="center" vertical="center" wrapText="1"/>
    </xf>
    <xf numFmtId="9" fontId="18" fillId="35" borderId="14" xfId="0" applyNumberFormat="1" applyFont="1" applyFill="1" applyBorder="1" applyAlignment="1">
      <alignment horizontal="center" vertical="center" wrapText="1"/>
    </xf>
    <xf numFmtId="9" fontId="18" fillId="35" borderId="12" xfId="0" applyNumberFormat="1" applyFont="1" applyFill="1" applyBorder="1" applyAlignment="1">
      <alignment horizontal="center" vertical="center" wrapText="1"/>
    </xf>
    <xf numFmtId="9" fontId="18" fillId="40" borderId="18" xfId="0" applyNumberFormat="1" applyFont="1" applyFill="1" applyBorder="1" applyAlignment="1">
      <alignment horizontal="center" vertical="center" wrapText="1"/>
    </xf>
    <xf numFmtId="9" fontId="18" fillId="40" borderId="14" xfId="0" applyNumberFormat="1" applyFont="1" applyFill="1" applyBorder="1" applyAlignment="1">
      <alignment horizontal="center" vertical="center" wrapText="1"/>
    </xf>
    <xf numFmtId="9" fontId="18" fillId="40" borderId="12" xfId="0" applyNumberFormat="1" applyFont="1" applyFill="1" applyBorder="1" applyAlignment="1">
      <alignment horizontal="center" vertical="center" wrapText="1"/>
    </xf>
    <xf numFmtId="1" fontId="18" fillId="35" borderId="18" xfId="0" applyNumberFormat="1" applyFont="1" applyFill="1" applyBorder="1" applyAlignment="1">
      <alignment horizontal="center" vertical="center" wrapText="1"/>
    </xf>
    <xf numFmtId="1" fontId="18" fillId="35" borderId="12" xfId="0" applyNumberFormat="1" applyFont="1" applyFill="1" applyBorder="1" applyAlignment="1">
      <alignment horizontal="center" vertical="center" wrapText="1"/>
    </xf>
    <xf numFmtId="164" fontId="18" fillId="35" borderId="10" xfId="1" applyNumberFormat="1" applyFont="1" applyFill="1" applyBorder="1" applyAlignment="1">
      <alignment horizontal="center" vertical="center" wrapText="1"/>
    </xf>
    <xf numFmtId="9" fontId="19" fillId="35" borderId="10" xfId="0" applyNumberFormat="1" applyFont="1" applyFill="1" applyBorder="1" applyAlignment="1">
      <alignment horizontal="center" vertical="center" wrapText="1"/>
    </xf>
    <xf numFmtId="1" fontId="19" fillId="35" borderId="18" xfId="0" applyNumberFormat="1" applyFont="1" applyFill="1" applyBorder="1" applyAlignment="1">
      <alignment horizontal="center" vertical="center" wrapText="1"/>
    </xf>
    <xf numFmtId="1" fontId="19" fillId="35" borderId="12" xfId="0" applyNumberFormat="1" applyFont="1" applyFill="1" applyBorder="1" applyAlignment="1">
      <alignment horizontal="center" vertical="center" wrapText="1"/>
    </xf>
    <xf numFmtId="9" fontId="19" fillId="40" borderId="18" xfId="0" applyNumberFormat="1" applyFont="1" applyFill="1" applyBorder="1" applyAlignment="1">
      <alignment horizontal="center" vertical="center" wrapText="1"/>
    </xf>
    <xf numFmtId="9" fontId="19" fillId="40" borderId="14" xfId="0" applyNumberFormat="1" applyFont="1" applyFill="1" applyBorder="1" applyAlignment="1">
      <alignment horizontal="center" vertical="center" wrapText="1"/>
    </xf>
    <xf numFmtId="9" fontId="19" fillId="40" borderId="12" xfId="0" applyNumberFormat="1" applyFont="1" applyFill="1" applyBorder="1" applyAlignment="1">
      <alignment horizontal="center" vertical="center" wrapText="1"/>
    </xf>
    <xf numFmtId="1" fontId="18" fillId="40" borderId="18" xfId="0" applyNumberFormat="1" applyFont="1" applyFill="1" applyBorder="1" applyAlignment="1">
      <alignment horizontal="center" vertical="center" wrapText="1"/>
    </xf>
    <xf numFmtId="1" fontId="18" fillId="40" borderId="12" xfId="0" applyNumberFormat="1" applyFont="1" applyFill="1" applyBorder="1" applyAlignment="1">
      <alignment horizontal="center" vertical="center" wrapText="1"/>
    </xf>
    <xf numFmtId="1" fontId="19" fillId="40" borderId="18" xfId="0" applyNumberFormat="1" applyFont="1" applyFill="1" applyBorder="1" applyAlignment="1">
      <alignment horizontal="center" vertical="center" wrapText="1"/>
    </xf>
    <xf numFmtId="1" fontId="19" fillId="40" borderId="12" xfId="0" applyNumberFormat="1" applyFont="1" applyFill="1" applyBorder="1" applyAlignment="1">
      <alignment horizontal="center" vertical="center" wrapText="1"/>
    </xf>
    <xf numFmtId="0" fontId="18" fillId="40" borderId="18" xfId="0" applyFont="1" applyFill="1" applyBorder="1" applyAlignment="1">
      <alignment horizontal="center" vertical="center" wrapText="1"/>
    </xf>
    <xf numFmtId="0" fontId="18" fillId="40" borderId="14" xfId="0" applyFont="1" applyFill="1" applyBorder="1" applyAlignment="1">
      <alignment horizontal="center" vertical="center" wrapText="1"/>
    </xf>
    <xf numFmtId="0" fontId="18" fillId="40" borderId="12" xfId="0" applyFont="1" applyFill="1" applyBorder="1" applyAlignment="1">
      <alignment horizontal="center" vertical="center" wrapText="1"/>
    </xf>
    <xf numFmtId="1" fontId="19" fillId="40" borderId="14" xfId="0" applyNumberFormat="1" applyFont="1" applyFill="1" applyBorder="1" applyAlignment="1">
      <alignment horizontal="center" vertical="center" wrapText="1"/>
    </xf>
    <xf numFmtId="0" fontId="23" fillId="35" borderId="18" xfId="0" applyFont="1" applyFill="1" applyBorder="1" applyAlignment="1">
      <alignment horizontal="center" vertical="center" wrapText="1"/>
    </xf>
    <xf numFmtId="0" fontId="23" fillId="35" borderId="14" xfId="0" applyFont="1" applyFill="1" applyBorder="1" applyAlignment="1">
      <alignment horizontal="center" vertical="center" wrapText="1"/>
    </xf>
    <xf numFmtId="0" fontId="23" fillId="35" borderId="12" xfId="0" applyFont="1" applyFill="1" applyBorder="1" applyAlignment="1">
      <alignment horizontal="center" vertical="center" wrapText="1"/>
    </xf>
    <xf numFmtId="9" fontId="19" fillId="35" borderId="50" xfId="2" applyFont="1" applyFill="1" applyBorder="1" applyAlignment="1">
      <alignment horizontal="center" vertical="center" wrapText="1"/>
    </xf>
    <xf numFmtId="9" fontId="19" fillId="35" borderId="51" xfId="2" applyFont="1" applyFill="1" applyBorder="1" applyAlignment="1">
      <alignment horizontal="center" vertical="center" wrapText="1"/>
    </xf>
    <xf numFmtId="9" fontId="19" fillId="35" borderId="52" xfId="2" applyFont="1" applyFill="1" applyBorder="1" applyAlignment="1">
      <alignment horizontal="center" vertical="center" wrapText="1"/>
    </xf>
    <xf numFmtId="2" fontId="18" fillId="35" borderId="14" xfId="2" applyNumberFormat="1" applyFont="1" applyFill="1" applyBorder="1" applyAlignment="1">
      <alignment horizontal="center" vertical="center" wrapText="1"/>
    </xf>
    <xf numFmtId="0" fontId="18" fillId="35" borderId="18" xfId="2" applyNumberFormat="1" applyFont="1" applyFill="1" applyBorder="1" applyAlignment="1">
      <alignment horizontal="center" vertical="center" wrapText="1"/>
    </xf>
    <xf numFmtId="0" fontId="18" fillId="35" borderId="12" xfId="2" applyNumberFormat="1" applyFont="1" applyFill="1" applyBorder="1" applyAlignment="1">
      <alignment horizontal="center" vertical="center" wrapText="1"/>
    </xf>
    <xf numFmtId="0" fontId="39" fillId="35" borderId="10" xfId="0" applyFont="1" applyFill="1" applyBorder="1" applyAlignment="1">
      <alignment horizontal="center" vertical="center" wrapText="1"/>
    </xf>
    <xf numFmtId="0" fontId="19" fillId="35" borderId="18" xfId="2" applyNumberFormat="1" applyFont="1" applyFill="1" applyBorder="1" applyAlignment="1">
      <alignment horizontal="center" vertical="center" wrapText="1"/>
    </xf>
    <xf numFmtId="0" fontId="19" fillId="35" borderId="14" xfId="2" applyNumberFormat="1" applyFont="1" applyFill="1" applyBorder="1" applyAlignment="1">
      <alignment horizontal="center" vertical="center" wrapText="1"/>
    </xf>
    <xf numFmtId="0" fontId="19" fillId="35" borderId="12" xfId="2" applyNumberFormat="1" applyFont="1" applyFill="1" applyBorder="1" applyAlignment="1">
      <alignment horizontal="center" vertical="center" wrapText="1"/>
    </xf>
    <xf numFmtId="1" fontId="19" fillId="35" borderId="18" xfId="2" applyNumberFormat="1" applyFont="1" applyFill="1" applyBorder="1" applyAlignment="1">
      <alignment horizontal="center" vertical="center" wrapText="1"/>
    </xf>
    <xf numFmtId="1" fontId="19" fillId="35" borderId="12" xfId="2" applyNumberFormat="1" applyFont="1" applyFill="1" applyBorder="1" applyAlignment="1">
      <alignment horizontal="center" vertical="center" wrapText="1"/>
    </xf>
    <xf numFmtId="0" fontId="39" fillId="35" borderId="18" xfId="0" applyFont="1" applyFill="1" applyBorder="1" applyAlignment="1">
      <alignment horizontal="center" vertical="center" wrapText="1"/>
    </xf>
    <xf numFmtId="0" fontId="39" fillId="35" borderId="14" xfId="0" applyFont="1" applyFill="1" applyBorder="1" applyAlignment="1">
      <alignment horizontal="center" vertical="center" wrapText="1"/>
    </xf>
    <xf numFmtId="0" fontId="39" fillId="35" borderId="12" xfId="0" applyFont="1" applyFill="1" applyBorder="1" applyAlignment="1">
      <alignment horizontal="center" vertical="center" wrapText="1"/>
    </xf>
    <xf numFmtId="1" fontId="19" fillId="35" borderId="14" xfId="0" applyNumberFormat="1" applyFont="1" applyFill="1" applyBorder="1" applyAlignment="1">
      <alignment horizontal="center" vertical="center" wrapText="1"/>
    </xf>
    <xf numFmtId="165" fontId="19" fillId="35" borderId="18" xfId="2" applyNumberFormat="1" applyFont="1" applyFill="1" applyBorder="1" applyAlignment="1">
      <alignment horizontal="center" vertical="center" wrapText="1"/>
    </xf>
    <xf numFmtId="165" fontId="19" fillId="35" borderId="12" xfId="2" applyNumberFormat="1" applyFont="1" applyFill="1" applyBorder="1" applyAlignment="1">
      <alignment horizontal="center" vertical="center" wrapText="1"/>
    </xf>
    <xf numFmtId="165" fontId="19" fillId="35" borderId="14" xfId="2" applyNumberFormat="1" applyFont="1" applyFill="1" applyBorder="1" applyAlignment="1">
      <alignment horizontal="center" vertical="center" wrapText="1"/>
    </xf>
    <xf numFmtId="0" fontId="18" fillId="35" borderId="13" xfId="0" applyFont="1" applyFill="1" applyBorder="1" applyAlignment="1">
      <alignment horizontal="center" wrapText="1"/>
    </xf>
    <xf numFmtId="0" fontId="18" fillId="35" borderId="12" xfId="0" applyFont="1" applyFill="1" applyBorder="1" applyAlignment="1">
      <alignment horizontal="center" wrapText="1"/>
    </xf>
    <xf numFmtId="0" fontId="18" fillId="0" borderId="10" xfId="0" applyFont="1" applyBorder="1" applyAlignment="1">
      <alignment horizontal="center" vertical="center" wrapText="1"/>
    </xf>
    <xf numFmtId="2" fontId="19" fillId="35" borderId="18" xfId="2" applyNumberFormat="1" applyFont="1" applyFill="1" applyBorder="1" applyAlignment="1">
      <alignment horizontal="center" vertical="center" wrapText="1"/>
    </xf>
    <xf numFmtId="2" fontId="19" fillId="35" borderId="14" xfId="2" applyNumberFormat="1" applyFont="1" applyFill="1" applyBorder="1" applyAlignment="1">
      <alignment horizontal="center" vertical="center" wrapText="1"/>
    </xf>
    <xf numFmtId="2" fontId="19" fillId="35" borderId="12" xfId="2" applyNumberFormat="1" applyFont="1" applyFill="1" applyBorder="1" applyAlignment="1">
      <alignment horizontal="center" vertical="center" wrapText="1"/>
    </xf>
    <xf numFmtId="9" fontId="19" fillId="0" borderId="18" xfId="2" applyFont="1" applyFill="1" applyBorder="1" applyAlignment="1">
      <alignment horizontal="center" vertical="center" wrapText="1"/>
    </xf>
    <xf numFmtId="9" fontId="19" fillId="0" borderId="12" xfId="2" applyFont="1" applyFill="1" applyBorder="1" applyAlignment="1">
      <alignment horizontal="center" vertical="center" wrapText="1"/>
    </xf>
    <xf numFmtId="9" fontId="19" fillId="0" borderId="14" xfId="2" applyFont="1" applyFill="1" applyBorder="1" applyAlignment="1">
      <alignment horizontal="center" vertical="center" wrapText="1"/>
    </xf>
    <xf numFmtId="9" fontId="19" fillId="0" borderId="115" xfId="2" applyFont="1" applyFill="1" applyBorder="1" applyAlignment="1">
      <alignment horizontal="center" vertical="center" wrapText="1"/>
    </xf>
    <xf numFmtId="164" fontId="19" fillId="35" borderId="18" xfId="1" applyNumberFormat="1" applyFont="1" applyFill="1" applyBorder="1" applyAlignment="1">
      <alignment horizontal="center" vertical="center" wrapText="1"/>
    </xf>
    <xf numFmtId="164" fontId="19" fillId="35" borderId="14" xfId="1" applyNumberFormat="1" applyFont="1" applyFill="1" applyBorder="1" applyAlignment="1">
      <alignment horizontal="center" vertical="center" wrapText="1"/>
    </xf>
    <xf numFmtId="164" fontId="19" fillId="35" borderId="12" xfId="1" applyNumberFormat="1" applyFont="1" applyFill="1" applyBorder="1" applyAlignment="1">
      <alignment horizontal="center" vertical="center" wrapText="1"/>
    </xf>
    <xf numFmtId="1" fontId="18" fillId="35" borderId="18" xfId="2" applyNumberFormat="1" applyFont="1" applyFill="1" applyBorder="1" applyAlignment="1">
      <alignment horizontal="center" vertical="center" wrapText="1"/>
    </xf>
    <xf numFmtId="1" fontId="18" fillId="35" borderId="14" xfId="2" applyNumberFormat="1" applyFont="1" applyFill="1" applyBorder="1" applyAlignment="1">
      <alignment horizontal="center" vertical="center" wrapText="1"/>
    </xf>
    <xf numFmtId="1" fontId="18" fillId="35" borderId="12" xfId="2" applyNumberFormat="1" applyFont="1" applyFill="1" applyBorder="1" applyAlignment="1">
      <alignment horizontal="center" vertical="center" wrapText="1"/>
    </xf>
    <xf numFmtId="1" fontId="19" fillId="35" borderId="14" xfId="2" applyNumberFormat="1" applyFont="1" applyFill="1" applyBorder="1" applyAlignment="1">
      <alignment horizontal="center" vertical="center" wrapText="1"/>
    </xf>
    <xf numFmtId="0" fontId="28" fillId="41" borderId="64" xfId="0" applyFont="1" applyFill="1" applyBorder="1" applyAlignment="1">
      <alignment vertical="center" wrapText="1"/>
    </xf>
    <xf numFmtId="0" fontId="28" fillId="41" borderId="63" xfId="0" applyFont="1" applyFill="1" applyBorder="1" applyAlignment="1">
      <alignment vertical="center" wrapText="1"/>
    </xf>
    <xf numFmtId="0" fontId="28" fillId="41" borderId="58" xfId="0" applyFont="1" applyFill="1" applyBorder="1" applyAlignment="1">
      <alignment vertical="center" wrapText="1"/>
    </xf>
    <xf numFmtId="0" fontId="28" fillId="41" borderId="59" xfId="0" applyFont="1" applyFill="1" applyBorder="1" applyAlignment="1">
      <alignment vertical="center" wrapText="1"/>
    </xf>
    <xf numFmtId="0" fontId="28" fillId="41" borderId="60" xfId="0" applyFont="1" applyFill="1" applyBorder="1" applyAlignment="1">
      <alignment vertical="center" wrapText="1"/>
    </xf>
    <xf numFmtId="0" fontId="33" fillId="41" borderId="58" xfId="0" applyFont="1" applyFill="1" applyBorder="1" applyAlignment="1">
      <alignment vertical="center" wrapText="1"/>
    </xf>
    <xf numFmtId="0" fontId="33" fillId="41" borderId="59" xfId="0" applyFont="1" applyFill="1" applyBorder="1" applyAlignment="1">
      <alignment vertical="center" wrapText="1"/>
    </xf>
    <xf numFmtId="0" fontId="33" fillId="41" borderId="60" xfId="0" applyFont="1" applyFill="1" applyBorder="1" applyAlignment="1">
      <alignment vertical="center" wrapText="1"/>
    </xf>
    <xf numFmtId="9" fontId="28" fillId="41" borderId="59" xfId="0" applyNumberFormat="1" applyFont="1" applyFill="1" applyBorder="1" applyAlignment="1">
      <alignment horizontal="center" vertical="center" wrapText="1"/>
    </xf>
    <xf numFmtId="0" fontId="28" fillId="41" borderId="60" xfId="0" applyFont="1" applyFill="1" applyBorder="1" applyAlignment="1">
      <alignment horizontal="center" vertical="center" wrapText="1"/>
    </xf>
    <xf numFmtId="9" fontId="33" fillId="41" borderId="59" xfId="0" applyNumberFormat="1" applyFont="1" applyFill="1" applyBorder="1" applyAlignment="1">
      <alignment horizontal="center" vertical="center" wrapText="1"/>
    </xf>
    <xf numFmtId="0" fontId="33" fillId="41" borderId="60" xfId="0" applyFont="1" applyFill="1" applyBorder="1" applyAlignment="1">
      <alignment horizontal="center" vertical="center" wrapText="1"/>
    </xf>
    <xf numFmtId="9" fontId="28" fillId="41" borderId="58" xfId="0" applyNumberFormat="1" applyFont="1" applyFill="1" applyBorder="1" applyAlignment="1">
      <alignment horizontal="center" vertical="center" wrapText="1"/>
    </xf>
    <xf numFmtId="9" fontId="28" fillId="41" borderId="58" xfId="2" quotePrefix="1" applyFont="1" applyFill="1" applyBorder="1" applyAlignment="1">
      <alignment horizontal="center" vertical="center" wrapText="1"/>
    </xf>
    <xf numFmtId="9" fontId="28" fillId="41" borderId="60" xfId="2" applyFont="1" applyFill="1" applyBorder="1" applyAlignment="1">
      <alignment horizontal="center" vertical="center" wrapText="1"/>
    </xf>
    <xf numFmtId="0" fontId="28" fillId="41" borderId="58" xfId="0" quotePrefix="1" applyFont="1" applyFill="1" applyBorder="1" applyAlignment="1">
      <alignment horizontal="center" vertical="center" wrapText="1"/>
    </xf>
    <xf numFmtId="0" fontId="28" fillId="41" borderId="58" xfId="0" applyFont="1" applyFill="1" applyBorder="1" applyAlignment="1">
      <alignment horizontal="center" vertical="center" wrapText="1"/>
    </xf>
    <xf numFmtId="9" fontId="28" fillId="41" borderId="59" xfId="0" quotePrefix="1" applyNumberFormat="1" applyFont="1" applyFill="1" applyBorder="1" applyAlignment="1">
      <alignment horizontal="center" vertical="center" wrapText="1"/>
    </xf>
    <xf numFmtId="0" fontId="28" fillId="41" borderId="58" xfId="0" applyFont="1" applyFill="1" applyBorder="1" applyAlignment="1">
      <alignment horizontal="left" vertical="center" wrapText="1"/>
    </xf>
    <xf numFmtId="0" fontId="28" fillId="41" borderId="60" xfId="0" applyFont="1" applyFill="1" applyBorder="1" applyAlignment="1">
      <alignment horizontal="left" vertical="center" wrapText="1"/>
    </xf>
    <xf numFmtId="0" fontId="33" fillId="41" borderId="59" xfId="0" quotePrefix="1" applyFont="1" applyFill="1" applyBorder="1" applyAlignment="1">
      <alignment horizontal="center" vertical="center" wrapText="1"/>
    </xf>
    <xf numFmtId="0" fontId="28" fillId="41" borderId="59" xfId="0" quotePrefix="1" applyFont="1" applyFill="1" applyBorder="1" applyAlignment="1">
      <alignment horizontal="center" vertical="center" wrapText="1"/>
    </xf>
    <xf numFmtId="0" fontId="33" fillId="41" borderId="58" xfId="0" applyFont="1" applyFill="1" applyBorder="1" applyAlignment="1">
      <alignment horizontal="center" vertical="center" wrapText="1"/>
    </xf>
    <xf numFmtId="0" fontId="28" fillId="41" borderId="61" xfId="0" applyFont="1" applyFill="1" applyBorder="1" applyAlignment="1">
      <alignment vertical="center" wrapText="1"/>
    </xf>
    <xf numFmtId="0" fontId="28" fillId="41" borderId="0" xfId="0" applyFont="1" applyFill="1" applyAlignment="1">
      <alignment vertical="center" wrapText="1"/>
    </xf>
    <xf numFmtId="0" fontId="33" fillId="41" borderId="59" xfId="0" applyFont="1" applyFill="1" applyBorder="1" applyAlignment="1">
      <alignment horizontal="center" vertical="center" wrapText="1"/>
    </xf>
    <xf numFmtId="0" fontId="31" fillId="46" borderId="55" xfId="0" applyFont="1" applyFill="1" applyBorder="1" applyAlignment="1">
      <alignment horizontal="center" vertical="center" wrapText="1"/>
    </xf>
    <xf numFmtId="0" fontId="31" fillId="46" borderId="54" xfId="0" applyFont="1" applyFill="1" applyBorder="1" applyAlignment="1">
      <alignment horizontal="center" vertical="center" wrapText="1"/>
    </xf>
    <xf numFmtId="0" fontId="31" fillId="42" borderId="55" xfId="0" applyFont="1" applyFill="1" applyBorder="1" applyAlignment="1">
      <alignment horizontal="center" vertical="center" wrapText="1"/>
    </xf>
    <xf numFmtId="0" fontId="31" fillId="42" borderId="54" xfId="0" applyFont="1" applyFill="1" applyBorder="1" applyAlignment="1">
      <alignment horizontal="center" vertical="center" wrapText="1"/>
    </xf>
    <xf numFmtId="0" fontId="30" fillId="46" borderId="55" xfId="0" applyFont="1" applyFill="1" applyBorder="1" applyAlignment="1">
      <alignment horizontal="center" vertical="center" wrapText="1"/>
    </xf>
    <xf numFmtId="0" fontId="30" fillId="46" borderId="54" xfId="0" applyFont="1" applyFill="1" applyBorder="1" applyAlignment="1">
      <alignment horizontal="center" vertical="center" wrapText="1"/>
    </xf>
    <xf numFmtId="0" fontId="30" fillId="42" borderId="55" xfId="0" applyFont="1" applyFill="1" applyBorder="1" applyAlignment="1">
      <alignment horizontal="center" vertical="center" wrapText="1"/>
    </xf>
    <xf numFmtId="0" fontId="30" fillId="42" borderId="54" xfId="0" applyFont="1" applyFill="1" applyBorder="1" applyAlignment="1">
      <alignment horizontal="center" vertical="center" wrapText="1"/>
    </xf>
    <xf numFmtId="9" fontId="19" fillId="35" borderId="10" xfId="2" applyFont="1" applyFill="1" applyBorder="1" applyAlignment="1">
      <alignment horizontal="center" vertical="center" wrapText="1"/>
    </xf>
    <xf numFmtId="9" fontId="19" fillId="35" borderId="13" xfId="2" applyFont="1" applyFill="1" applyBorder="1" applyAlignment="1">
      <alignment horizontal="center" vertical="center" wrapText="1"/>
    </xf>
    <xf numFmtId="0" fontId="19" fillId="35" borderId="13" xfId="0" applyFont="1" applyFill="1" applyBorder="1" applyAlignment="1">
      <alignment horizontal="center" wrapText="1"/>
    </xf>
    <xf numFmtId="0" fontId="19" fillId="35" borderId="12" xfId="0" applyFont="1" applyFill="1" applyBorder="1" applyAlignment="1">
      <alignment horizontal="center" wrapText="1"/>
    </xf>
    <xf numFmtId="0" fontId="18" fillId="35" borderId="13" xfId="0" applyFont="1" applyFill="1" applyBorder="1" applyAlignment="1">
      <alignment horizontal="center" vertical="center" wrapText="1"/>
    </xf>
    <xf numFmtId="164" fontId="18" fillId="35" borderId="13" xfId="1" applyNumberFormat="1" applyFont="1" applyFill="1" applyBorder="1" applyAlignment="1">
      <alignment horizontal="center" vertical="center" wrapText="1"/>
    </xf>
    <xf numFmtId="9" fontId="18" fillId="35" borderId="13" xfId="2" applyFont="1" applyFill="1" applyBorder="1" applyAlignment="1">
      <alignment horizontal="center" vertical="center" wrapText="1"/>
    </xf>
    <xf numFmtId="0" fontId="23" fillId="35" borderId="13" xfId="0" applyFont="1" applyFill="1" applyBorder="1" applyAlignment="1">
      <alignment horizontal="center" vertical="center" wrapText="1"/>
    </xf>
  </cellXfs>
  <cellStyles count="46">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illares" xfId="44" builtinId="3"/>
    <cellStyle name="Millares 2" xfId="45" xr:uid="{7409FC5C-9F22-40BE-8DCC-FC6BE9572FF9}"/>
    <cellStyle name="Moneda" xfId="1" builtinId="4"/>
    <cellStyle name="Neutral" xfId="10" builtinId="28" customBuiltin="1"/>
    <cellStyle name="Normal" xfId="0" builtinId="0"/>
    <cellStyle name="Notas" xfId="17" builtinId="10" customBuiltin="1"/>
    <cellStyle name="Porcentaje" xfId="2" builtinId="5"/>
    <cellStyle name="Salida" xfId="12" builtinId="21" customBuiltin="1"/>
    <cellStyle name="Texto de advertencia" xfId="16" builtinId="11" customBuiltin="1"/>
    <cellStyle name="Texto explicativo" xfId="18" builtinId="53" customBuiltin="1"/>
    <cellStyle name="Título" xfId="3" builtinId="15" customBuiltin="1"/>
    <cellStyle name="Título 2" xfId="5" builtinId="17" customBuiltin="1"/>
    <cellStyle name="Título 3" xfId="6" builtinId="18" customBuiltin="1"/>
    <cellStyle name="Total" xfId="19" builtinId="25"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externalLink" Target="externalLinks/externalLink29.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41"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28575</xdr:rowOff>
    </xdr:from>
    <xdr:to>
      <xdr:col>39</xdr:col>
      <xdr:colOff>9525</xdr:colOff>
      <xdr:row>5</xdr:row>
      <xdr:rowOff>9525</xdr:rowOff>
    </xdr:to>
    <xdr:sp macro="" textlink="">
      <xdr:nvSpPr>
        <xdr:cNvPr id="2" name="CuadroTexto 1">
          <a:extLst>
            <a:ext uri="{FF2B5EF4-FFF2-40B4-BE49-F238E27FC236}">
              <a16:creationId xmlns:a16="http://schemas.microsoft.com/office/drawing/2014/main" id="{A8F81CDD-A7EF-40B4-8081-36FF6973B653}"/>
            </a:ext>
          </a:extLst>
        </xdr:cNvPr>
        <xdr:cNvSpPr txBox="1"/>
      </xdr:nvSpPr>
      <xdr:spPr>
        <a:xfrm>
          <a:off x="57150" y="28575"/>
          <a:ext cx="556736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FE6BA3A7-00CA-444F-8BD0-5E2C0B358355}"/>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4A2AD30B-59AB-43BD-8F43-8C37E50BE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BAC49946-3707-4530-99C7-3D86D9D4306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39</xdr:col>
      <xdr:colOff>1438275</xdr:colOff>
      <xdr:row>0</xdr:row>
      <xdr:rowOff>0</xdr:rowOff>
    </xdr:from>
    <xdr:to>
      <xdr:col>40</xdr:col>
      <xdr:colOff>2949313</xdr:colOff>
      <xdr:row>4</xdr:row>
      <xdr:rowOff>114801</xdr:rowOff>
    </xdr:to>
    <xdr:grpSp>
      <xdr:nvGrpSpPr>
        <xdr:cNvPr id="6" name="Grupo 5">
          <a:extLst>
            <a:ext uri="{FF2B5EF4-FFF2-40B4-BE49-F238E27FC236}">
              <a16:creationId xmlns:a16="http://schemas.microsoft.com/office/drawing/2014/main" id="{56CFCC20-2D57-408D-9A69-E94687B256AD}"/>
            </a:ext>
          </a:extLst>
        </xdr:cNvPr>
        <xdr:cNvGrpSpPr/>
      </xdr:nvGrpSpPr>
      <xdr:grpSpPr>
        <a:xfrm>
          <a:off x="58795444" y="0"/>
          <a:ext cx="1175282" cy="876801"/>
          <a:chOff x="228600" y="47625"/>
          <a:chExt cx="2680608" cy="981075"/>
        </a:xfrm>
      </xdr:grpSpPr>
      <xdr:pic>
        <xdr:nvPicPr>
          <xdr:cNvPr id="7" name="Picture 5">
            <a:extLst>
              <a:ext uri="{FF2B5EF4-FFF2-40B4-BE49-F238E27FC236}">
                <a16:creationId xmlns:a16="http://schemas.microsoft.com/office/drawing/2014/main" id="{F37182B6-59BE-43C0-9D6E-33DF4EEF37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B3C4E2DF-A3B4-485F-B566-F9754336742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57150</xdr:colOff>
      <xdr:row>0</xdr:row>
      <xdr:rowOff>28575</xdr:rowOff>
    </xdr:from>
    <xdr:to>
      <xdr:col>48</xdr:col>
      <xdr:colOff>9525</xdr:colOff>
      <xdr:row>5</xdr:row>
      <xdr:rowOff>9525</xdr:rowOff>
    </xdr:to>
    <xdr:sp macro="" textlink="">
      <xdr:nvSpPr>
        <xdr:cNvPr id="9" name="CuadroTexto 1">
          <a:extLst>
            <a:ext uri="{FF2B5EF4-FFF2-40B4-BE49-F238E27FC236}">
              <a16:creationId xmlns:a16="http://schemas.microsoft.com/office/drawing/2014/main" id="{BCE186D4-B51C-4FAA-83F2-CDD20618F858}"/>
            </a:ext>
          </a:extLst>
        </xdr:cNvPr>
        <xdr:cNvSpPr txBox="1"/>
      </xdr:nvSpPr>
      <xdr:spPr>
        <a:xfrm>
          <a:off x="57150" y="28575"/>
          <a:ext cx="691610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10" name="Grupo 2">
          <a:extLst>
            <a:ext uri="{FF2B5EF4-FFF2-40B4-BE49-F238E27FC236}">
              <a16:creationId xmlns:a16="http://schemas.microsoft.com/office/drawing/2014/main" id="{AEC256F8-F930-40F6-9213-2A98564A0224}"/>
            </a:ext>
          </a:extLst>
        </xdr:cNvPr>
        <xdr:cNvGrpSpPr/>
      </xdr:nvGrpSpPr>
      <xdr:grpSpPr>
        <a:xfrm>
          <a:off x="38100" y="28575"/>
          <a:ext cx="3516051" cy="876801"/>
          <a:chOff x="228600" y="47625"/>
          <a:chExt cx="2680608" cy="981075"/>
        </a:xfrm>
      </xdr:grpSpPr>
      <xdr:pic>
        <xdr:nvPicPr>
          <xdr:cNvPr id="11" name="Picture 5">
            <a:extLst>
              <a:ext uri="{FF2B5EF4-FFF2-40B4-BE49-F238E27FC236}">
                <a16:creationId xmlns:a16="http://schemas.microsoft.com/office/drawing/2014/main" id="{0C9AE7AA-B7FE-46D0-8660-591D83E5EC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2" name="5 CuadroTexto">
            <a:extLst>
              <a:ext uri="{FF2B5EF4-FFF2-40B4-BE49-F238E27FC236}">
                <a16:creationId xmlns:a16="http://schemas.microsoft.com/office/drawing/2014/main" id="{262660DC-17EC-43B6-9B75-D3891DC50F82}"/>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49</xdr:col>
      <xdr:colOff>0</xdr:colOff>
      <xdr:row>0</xdr:row>
      <xdr:rowOff>0</xdr:rowOff>
    </xdr:from>
    <xdr:to>
      <xdr:col>49</xdr:col>
      <xdr:colOff>758563</xdr:colOff>
      <xdr:row>4</xdr:row>
      <xdr:rowOff>114801</xdr:rowOff>
    </xdr:to>
    <xdr:grpSp>
      <xdr:nvGrpSpPr>
        <xdr:cNvPr id="13" name="Grupo 5">
          <a:extLst>
            <a:ext uri="{FF2B5EF4-FFF2-40B4-BE49-F238E27FC236}">
              <a16:creationId xmlns:a16="http://schemas.microsoft.com/office/drawing/2014/main" id="{B03AF79A-85FA-4811-9669-1DD5A32CE9B6}"/>
            </a:ext>
          </a:extLst>
        </xdr:cNvPr>
        <xdr:cNvGrpSpPr/>
      </xdr:nvGrpSpPr>
      <xdr:grpSpPr>
        <a:xfrm>
          <a:off x="70234969" y="0"/>
          <a:ext cx="758563" cy="876801"/>
          <a:chOff x="228600" y="47625"/>
          <a:chExt cx="2680608" cy="981075"/>
        </a:xfrm>
      </xdr:grpSpPr>
      <xdr:pic>
        <xdr:nvPicPr>
          <xdr:cNvPr id="14" name="Picture 5">
            <a:extLst>
              <a:ext uri="{FF2B5EF4-FFF2-40B4-BE49-F238E27FC236}">
                <a16:creationId xmlns:a16="http://schemas.microsoft.com/office/drawing/2014/main" id="{1C979D84-2F41-439F-9155-79101F4EBB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5" name="5 CuadroTexto">
            <a:extLst>
              <a:ext uri="{FF2B5EF4-FFF2-40B4-BE49-F238E27FC236}">
                <a16:creationId xmlns:a16="http://schemas.microsoft.com/office/drawing/2014/main" id="{C93DF444-DDD0-4BE8-BEB2-E771233BDDC1}"/>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0</xdr:row>
      <xdr:rowOff>28575</xdr:rowOff>
    </xdr:from>
    <xdr:to>
      <xdr:col>87</xdr:col>
      <xdr:colOff>9525</xdr:colOff>
      <xdr:row>5</xdr:row>
      <xdr:rowOff>9525</xdr:rowOff>
    </xdr:to>
    <xdr:sp macro="" textlink="">
      <xdr:nvSpPr>
        <xdr:cNvPr id="2" name="CuadroTexto 1">
          <a:extLst>
            <a:ext uri="{FF2B5EF4-FFF2-40B4-BE49-F238E27FC236}">
              <a16:creationId xmlns:a16="http://schemas.microsoft.com/office/drawing/2014/main" id="{F6B25713-80DE-460D-B298-E07963123D07}"/>
            </a:ext>
          </a:extLst>
        </xdr:cNvPr>
        <xdr:cNvSpPr txBox="1"/>
      </xdr:nvSpPr>
      <xdr:spPr>
        <a:xfrm>
          <a:off x="57150" y="28575"/>
          <a:ext cx="15635287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0</xdr:colOff>
      <xdr:row>0</xdr:row>
      <xdr:rowOff>66675</xdr:rowOff>
    </xdr:from>
    <xdr:to>
      <xdr:col>1</xdr:col>
      <xdr:colOff>491863</xdr:colOff>
      <xdr:row>4</xdr:row>
      <xdr:rowOff>181476</xdr:rowOff>
    </xdr:to>
    <xdr:grpSp>
      <xdr:nvGrpSpPr>
        <xdr:cNvPr id="3" name="Grupo 2">
          <a:extLst>
            <a:ext uri="{FF2B5EF4-FFF2-40B4-BE49-F238E27FC236}">
              <a16:creationId xmlns:a16="http://schemas.microsoft.com/office/drawing/2014/main" id="{D5A3FDFF-B344-42F5-8317-4C5146AE163D}"/>
            </a:ext>
            <a:ext uri="{147F2762-F138-4A5C-976F-8EAC2B608ADB}">
              <a16:predDERef xmlns:a16="http://schemas.microsoft.com/office/drawing/2014/main" pred="{2F3DC2C7-CEBB-46D2-8038-F80BBE7F9D3C}"/>
            </a:ext>
          </a:extLst>
        </xdr:cNvPr>
        <xdr:cNvGrpSpPr/>
      </xdr:nvGrpSpPr>
      <xdr:grpSpPr>
        <a:xfrm>
          <a:off x="0" y="66675"/>
          <a:ext cx="3516051" cy="876801"/>
          <a:chOff x="228600" y="47625"/>
          <a:chExt cx="2680608" cy="981075"/>
        </a:xfrm>
      </xdr:grpSpPr>
      <xdr:pic>
        <xdr:nvPicPr>
          <xdr:cNvPr id="4" name="Picture 5">
            <a:extLst>
              <a:ext uri="{FF2B5EF4-FFF2-40B4-BE49-F238E27FC236}">
                <a16:creationId xmlns:a16="http://schemas.microsoft.com/office/drawing/2014/main" id="{476256F8-67F5-4629-A3A5-41BD8E2C9B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C6FD3D8A-820D-48BC-96CF-A724553010F1}"/>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87</xdr:col>
      <xdr:colOff>1438275</xdr:colOff>
      <xdr:row>0</xdr:row>
      <xdr:rowOff>0</xdr:rowOff>
    </xdr:from>
    <xdr:to>
      <xdr:col>88</xdr:col>
      <xdr:colOff>2949313</xdr:colOff>
      <xdr:row>4</xdr:row>
      <xdr:rowOff>114801</xdr:rowOff>
    </xdr:to>
    <xdr:grpSp>
      <xdr:nvGrpSpPr>
        <xdr:cNvPr id="6" name="Grupo 5">
          <a:extLst>
            <a:ext uri="{FF2B5EF4-FFF2-40B4-BE49-F238E27FC236}">
              <a16:creationId xmlns:a16="http://schemas.microsoft.com/office/drawing/2014/main" id="{87E17761-0EE0-4A84-8FA6-784F493867BF}"/>
            </a:ext>
          </a:extLst>
        </xdr:cNvPr>
        <xdr:cNvGrpSpPr/>
      </xdr:nvGrpSpPr>
      <xdr:grpSpPr>
        <a:xfrm>
          <a:off x="156874369" y="0"/>
          <a:ext cx="3523194" cy="876801"/>
          <a:chOff x="228600" y="47625"/>
          <a:chExt cx="2680608" cy="981075"/>
        </a:xfrm>
      </xdr:grpSpPr>
      <xdr:pic>
        <xdr:nvPicPr>
          <xdr:cNvPr id="7" name="Picture 5">
            <a:extLst>
              <a:ext uri="{FF2B5EF4-FFF2-40B4-BE49-F238E27FC236}">
                <a16:creationId xmlns:a16="http://schemas.microsoft.com/office/drawing/2014/main" id="{B735BB83-E2DD-4973-9969-3C5A7BAC0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BB8B6A0C-440E-4AA6-AEFF-7C7690CCC0BF}"/>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0</xdr:row>
      <xdr:rowOff>28575</xdr:rowOff>
    </xdr:from>
    <xdr:to>
      <xdr:col>62</xdr:col>
      <xdr:colOff>0</xdr:colOff>
      <xdr:row>5</xdr:row>
      <xdr:rowOff>9525</xdr:rowOff>
    </xdr:to>
    <xdr:sp macro="" textlink="">
      <xdr:nvSpPr>
        <xdr:cNvPr id="2" name="CuadroTexto 1">
          <a:extLst>
            <a:ext uri="{FF2B5EF4-FFF2-40B4-BE49-F238E27FC236}">
              <a16:creationId xmlns:a16="http://schemas.microsoft.com/office/drawing/2014/main" id="{79CD6992-0FD5-42B0-8B0D-D84A7BA102EE}"/>
            </a:ext>
          </a:extLst>
        </xdr:cNvPr>
        <xdr:cNvSpPr txBox="1"/>
      </xdr:nvSpPr>
      <xdr:spPr>
        <a:xfrm>
          <a:off x="57150" y="28575"/>
          <a:ext cx="9235440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ConPLAN DE ACCIÓN INSTITUCIONAL VIGENCIA 2021</a:t>
          </a:r>
        </a:p>
      </xdr:txBody>
    </xdr:sp>
    <xdr:clientData/>
  </xdr:twoCellAnchor>
  <xdr:twoCellAnchor>
    <xdr:from>
      <xdr:col>0</xdr:col>
      <xdr:colOff>38100</xdr:colOff>
      <xdr:row>0</xdr:row>
      <xdr:rowOff>28575</xdr:rowOff>
    </xdr:from>
    <xdr:to>
      <xdr:col>1</xdr:col>
      <xdr:colOff>714374</xdr:colOff>
      <xdr:row>4</xdr:row>
      <xdr:rowOff>333375</xdr:rowOff>
    </xdr:to>
    <xdr:grpSp>
      <xdr:nvGrpSpPr>
        <xdr:cNvPr id="3" name="Grupo 2">
          <a:extLst>
            <a:ext uri="{FF2B5EF4-FFF2-40B4-BE49-F238E27FC236}">
              <a16:creationId xmlns:a16="http://schemas.microsoft.com/office/drawing/2014/main" id="{0D9A075D-4859-4F69-B9AC-5098546EB819}"/>
            </a:ext>
          </a:extLst>
        </xdr:cNvPr>
        <xdr:cNvGrpSpPr/>
      </xdr:nvGrpSpPr>
      <xdr:grpSpPr>
        <a:xfrm>
          <a:off x="38100" y="28575"/>
          <a:ext cx="3703107" cy="1066800"/>
          <a:chOff x="228600" y="47625"/>
          <a:chExt cx="2680608" cy="981075"/>
        </a:xfrm>
      </xdr:grpSpPr>
      <xdr:pic>
        <xdr:nvPicPr>
          <xdr:cNvPr id="4" name="Picture 5">
            <a:extLst>
              <a:ext uri="{FF2B5EF4-FFF2-40B4-BE49-F238E27FC236}">
                <a16:creationId xmlns:a16="http://schemas.microsoft.com/office/drawing/2014/main" id="{BFF0C6F7-9BA6-467F-8EB4-1C69BEBA7B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CF02F5AC-0D8D-427F-BA11-DD860711D0B8}"/>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68</xdr:col>
      <xdr:colOff>509588</xdr:colOff>
      <xdr:row>0</xdr:row>
      <xdr:rowOff>130969</xdr:rowOff>
    </xdr:from>
    <xdr:to>
      <xdr:col>71</xdr:col>
      <xdr:colOff>0</xdr:colOff>
      <xdr:row>5</xdr:row>
      <xdr:rowOff>55270</xdr:rowOff>
    </xdr:to>
    <xdr:grpSp>
      <xdr:nvGrpSpPr>
        <xdr:cNvPr id="6" name="Grupo 5">
          <a:extLst>
            <a:ext uri="{FF2B5EF4-FFF2-40B4-BE49-F238E27FC236}">
              <a16:creationId xmlns:a16="http://schemas.microsoft.com/office/drawing/2014/main" id="{6CC4096A-A16E-4B84-BF53-74AD481BBDEB}"/>
            </a:ext>
          </a:extLst>
        </xdr:cNvPr>
        <xdr:cNvGrpSpPr/>
      </xdr:nvGrpSpPr>
      <xdr:grpSpPr>
        <a:xfrm>
          <a:off x="99611921" y="130969"/>
          <a:ext cx="3258079" cy="1067301"/>
          <a:chOff x="228600" y="47625"/>
          <a:chExt cx="2680608" cy="981075"/>
        </a:xfrm>
      </xdr:grpSpPr>
      <xdr:pic>
        <xdr:nvPicPr>
          <xdr:cNvPr id="7" name="Picture 5">
            <a:extLst>
              <a:ext uri="{FF2B5EF4-FFF2-40B4-BE49-F238E27FC236}">
                <a16:creationId xmlns:a16="http://schemas.microsoft.com/office/drawing/2014/main" id="{84A2479E-F7AB-4C00-BE44-7EDDBC94D0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2224D52F-0726-48B8-BA50-C2C1FEF98C3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86</xdr:col>
      <xdr:colOff>509588</xdr:colOff>
      <xdr:row>0</xdr:row>
      <xdr:rowOff>130969</xdr:rowOff>
    </xdr:from>
    <xdr:to>
      <xdr:col>89</xdr:col>
      <xdr:colOff>0</xdr:colOff>
      <xdr:row>5</xdr:row>
      <xdr:rowOff>55270</xdr:rowOff>
    </xdr:to>
    <xdr:grpSp>
      <xdr:nvGrpSpPr>
        <xdr:cNvPr id="9" name="Grupo 8">
          <a:extLst>
            <a:ext uri="{FF2B5EF4-FFF2-40B4-BE49-F238E27FC236}">
              <a16:creationId xmlns:a16="http://schemas.microsoft.com/office/drawing/2014/main" id="{0852526B-75D8-4DAE-914E-920FEAE89D15}"/>
            </a:ext>
          </a:extLst>
        </xdr:cNvPr>
        <xdr:cNvGrpSpPr/>
      </xdr:nvGrpSpPr>
      <xdr:grpSpPr>
        <a:xfrm>
          <a:off x="122217921" y="130969"/>
          <a:ext cx="3258079" cy="1067301"/>
          <a:chOff x="228600" y="47625"/>
          <a:chExt cx="2680608" cy="981075"/>
        </a:xfrm>
      </xdr:grpSpPr>
      <xdr:pic>
        <xdr:nvPicPr>
          <xdr:cNvPr id="10" name="Picture 5">
            <a:extLst>
              <a:ext uri="{FF2B5EF4-FFF2-40B4-BE49-F238E27FC236}">
                <a16:creationId xmlns:a16="http://schemas.microsoft.com/office/drawing/2014/main" id="{D376E975-D77F-471B-96A6-21645C2DC6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1" name="5 CuadroTexto">
            <a:extLst>
              <a:ext uri="{FF2B5EF4-FFF2-40B4-BE49-F238E27FC236}">
                <a16:creationId xmlns:a16="http://schemas.microsoft.com/office/drawing/2014/main" id="{F55E3F19-CABA-4360-A75F-56E2A84FB7AD}"/>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57150</xdr:colOff>
      <xdr:row>0</xdr:row>
      <xdr:rowOff>28575</xdr:rowOff>
    </xdr:from>
    <xdr:to>
      <xdr:col>87</xdr:col>
      <xdr:colOff>9525</xdr:colOff>
      <xdr:row>5</xdr:row>
      <xdr:rowOff>9525</xdr:rowOff>
    </xdr:to>
    <xdr:sp macro="" textlink="">
      <xdr:nvSpPr>
        <xdr:cNvPr id="2" name="CuadroTexto 1">
          <a:extLst>
            <a:ext uri="{FF2B5EF4-FFF2-40B4-BE49-F238E27FC236}">
              <a16:creationId xmlns:a16="http://schemas.microsoft.com/office/drawing/2014/main" id="{B5ACF54E-6085-4381-A765-699E0CA143FD}"/>
            </a:ext>
          </a:extLst>
        </xdr:cNvPr>
        <xdr:cNvSpPr txBox="1"/>
      </xdr:nvSpPr>
      <xdr:spPr>
        <a:xfrm>
          <a:off x="57150" y="28575"/>
          <a:ext cx="12616815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A1941586-4F7C-40C0-8801-211341556F09}"/>
            </a:ext>
          </a:extLst>
        </xdr:cNvPr>
        <xdr:cNvGrpSpPr/>
      </xdr:nvGrpSpPr>
      <xdr:grpSpPr>
        <a:xfrm>
          <a:off x="38100" y="28575"/>
          <a:ext cx="3520813" cy="876801"/>
          <a:chOff x="228600" y="47625"/>
          <a:chExt cx="2680608" cy="981075"/>
        </a:xfrm>
      </xdr:grpSpPr>
      <xdr:pic>
        <xdr:nvPicPr>
          <xdr:cNvPr id="4" name="Picture 5">
            <a:extLst>
              <a:ext uri="{FF2B5EF4-FFF2-40B4-BE49-F238E27FC236}">
                <a16:creationId xmlns:a16="http://schemas.microsoft.com/office/drawing/2014/main" id="{9F1289EA-9FEF-47A2-ACF5-AC9893467D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83E07D37-83A3-4391-91B1-98381E7AA351}"/>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87</xdr:col>
      <xdr:colOff>1438275</xdr:colOff>
      <xdr:row>0</xdr:row>
      <xdr:rowOff>0</xdr:rowOff>
    </xdr:from>
    <xdr:to>
      <xdr:col>88</xdr:col>
      <xdr:colOff>2949313</xdr:colOff>
      <xdr:row>4</xdr:row>
      <xdr:rowOff>114801</xdr:rowOff>
    </xdr:to>
    <xdr:grpSp>
      <xdr:nvGrpSpPr>
        <xdr:cNvPr id="6" name="Grupo 5">
          <a:extLst>
            <a:ext uri="{FF2B5EF4-FFF2-40B4-BE49-F238E27FC236}">
              <a16:creationId xmlns:a16="http://schemas.microsoft.com/office/drawing/2014/main" id="{595FE27C-3AA9-4695-ABEF-02DD526ECA22}"/>
            </a:ext>
          </a:extLst>
        </xdr:cNvPr>
        <xdr:cNvGrpSpPr/>
      </xdr:nvGrpSpPr>
      <xdr:grpSpPr>
        <a:xfrm>
          <a:off x="126739650" y="0"/>
          <a:ext cx="3520813" cy="876801"/>
          <a:chOff x="228600" y="47625"/>
          <a:chExt cx="2680608" cy="981075"/>
        </a:xfrm>
      </xdr:grpSpPr>
      <xdr:pic>
        <xdr:nvPicPr>
          <xdr:cNvPr id="7" name="Picture 5">
            <a:extLst>
              <a:ext uri="{FF2B5EF4-FFF2-40B4-BE49-F238E27FC236}">
                <a16:creationId xmlns:a16="http://schemas.microsoft.com/office/drawing/2014/main" id="{4E23121D-5E9A-4CBA-9E15-9427A479CE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AFD9DC45-DD65-4678-9B43-DC5441B0BDD9}"/>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28575</xdr:rowOff>
    </xdr:from>
    <xdr:to>
      <xdr:col>69</xdr:col>
      <xdr:colOff>9525</xdr:colOff>
      <xdr:row>5</xdr:row>
      <xdr:rowOff>9525</xdr:rowOff>
    </xdr:to>
    <xdr:sp macro="" textlink="">
      <xdr:nvSpPr>
        <xdr:cNvPr id="2" name="CuadroTexto 1">
          <a:extLst>
            <a:ext uri="{FF2B5EF4-FFF2-40B4-BE49-F238E27FC236}">
              <a16:creationId xmlns:a16="http://schemas.microsoft.com/office/drawing/2014/main" id="{407AFBAC-6D86-47FF-AB88-AAC64DF7BB35}"/>
            </a:ext>
          </a:extLst>
        </xdr:cNvPr>
        <xdr:cNvSpPr txBox="1"/>
      </xdr:nvSpPr>
      <xdr:spPr>
        <a:xfrm>
          <a:off x="57150" y="28575"/>
          <a:ext cx="329279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ABB3F6A3-EFB5-41C2-AA94-7371985ECBAE}"/>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F4A495BC-280D-4E67-91F9-BEC3216CBA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EEA4D37E-A294-40E6-82F7-26A638A39740}"/>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69</xdr:col>
      <xdr:colOff>1438275</xdr:colOff>
      <xdr:row>0</xdr:row>
      <xdr:rowOff>0</xdr:rowOff>
    </xdr:from>
    <xdr:to>
      <xdr:col>70</xdr:col>
      <xdr:colOff>2949313</xdr:colOff>
      <xdr:row>4</xdr:row>
      <xdr:rowOff>114801</xdr:rowOff>
    </xdr:to>
    <xdr:grpSp>
      <xdr:nvGrpSpPr>
        <xdr:cNvPr id="6" name="Grupo 5">
          <a:extLst>
            <a:ext uri="{FF2B5EF4-FFF2-40B4-BE49-F238E27FC236}">
              <a16:creationId xmlns:a16="http://schemas.microsoft.com/office/drawing/2014/main" id="{FF6AD133-5002-48D4-87D4-164420B88087}"/>
            </a:ext>
          </a:extLst>
        </xdr:cNvPr>
        <xdr:cNvGrpSpPr/>
      </xdr:nvGrpSpPr>
      <xdr:grpSpPr>
        <a:xfrm>
          <a:off x="133228556" y="0"/>
          <a:ext cx="2030151" cy="876801"/>
          <a:chOff x="228600" y="47625"/>
          <a:chExt cx="2680608" cy="981075"/>
        </a:xfrm>
      </xdr:grpSpPr>
      <xdr:pic>
        <xdr:nvPicPr>
          <xdr:cNvPr id="7" name="Picture 5">
            <a:extLst>
              <a:ext uri="{FF2B5EF4-FFF2-40B4-BE49-F238E27FC236}">
                <a16:creationId xmlns:a16="http://schemas.microsoft.com/office/drawing/2014/main" id="{15E5553F-D0EF-4C32-996A-9BC736C813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BC619231-31EA-42DA-92BA-1B69273C7071}"/>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57150</xdr:colOff>
      <xdr:row>0</xdr:row>
      <xdr:rowOff>28575</xdr:rowOff>
    </xdr:from>
    <xdr:to>
      <xdr:col>87</xdr:col>
      <xdr:colOff>9525</xdr:colOff>
      <xdr:row>5</xdr:row>
      <xdr:rowOff>9525</xdr:rowOff>
    </xdr:to>
    <xdr:sp macro="" textlink="">
      <xdr:nvSpPr>
        <xdr:cNvPr id="9" name="CuadroTexto 1">
          <a:extLst>
            <a:ext uri="{FF2B5EF4-FFF2-40B4-BE49-F238E27FC236}">
              <a16:creationId xmlns:a16="http://schemas.microsoft.com/office/drawing/2014/main" id="{5BAC9886-E3C2-4443-B2C6-347067D94FBB}"/>
            </a:ext>
          </a:extLst>
        </xdr:cNvPr>
        <xdr:cNvSpPr txBox="1"/>
      </xdr:nvSpPr>
      <xdr:spPr>
        <a:xfrm>
          <a:off x="57150" y="28575"/>
          <a:ext cx="16168687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10" name="Grupo 2">
          <a:extLst>
            <a:ext uri="{FF2B5EF4-FFF2-40B4-BE49-F238E27FC236}">
              <a16:creationId xmlns:a16="http://schemas.microsoft.com/office/drawing/2014/main" id="{A47F4B78-9405-43D5-A7AD-884759E163A9}"/>
            </a:ext>
          </a:extLst>
        </xdr:cNvPr>
        <xdr:cNvGrpSpPr/>
      </xdr:nvGrpSpPr>
      <xdr:grpSpPr>
        <a:xfrm>
          <a:off x="38100" y="28575"/>
          <a:ext cx="3516051" cy="876801"/>
          <a:chOff x="228600" y="47625"/>
          <a:chExt cx="2680608" cy="981075"/>
        </a:xfrm>
      </xdr:grpSpPr>
      <xdr:pic>
        <xdr:nvPicPr>
          <xdr:cNvPr id="11" name="Picture 5">
            <a:extLst>
              <a:ext uri="{FF2B5EF4-FFF2-40B4-BE49-F238E27FC236}">
                <a16:creationId xmlns:a16="http://schemas.microsoft.com/office/drawing/2014/main" id="{786093F0-5020-469E-B382-C4CEDCB968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2" name="5 CuadroTexto">
            <a:extLst>
              <a:ext uri="{FF2B5EF4-FFF2-40B4-BE49-F238E27FC236}">
                <a16:creationId xmlns:a16="http://schemas.microsoft.com/office/drawing/2014/main" id="{FC89EA69-EAFC-4318-BAD5-DB75454379B9}"/>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88</xdr:col>
      <xdr:colOff>0</xdr:colOff>
      <xdr:row>0</xdr:row>
      <xdr:rowOff>0</xdr:rowOff>
    </xdr:from>
    <xdr:to>
      <xdr:col>88</xdr:col>
      <xdr:colOff>758563</xdr:colOff>
      <xdr:row>4</xdr:row>
      <xdr:rowOff>114801</xdr:rowOff>
    </xdr:to>
    <xdr:grpSp>
      <xdr:nvGrpSpPr>
        <xdr:cNvPr id="13" name="Grupo 5">
          <a:extLst>
            <a:ext uri="{FF2B5EF4-FFF2-40B4-BE49-F238E27FC236}">
              <a16:creationId xmlns:a16="http://schemas.microsoft.com/office/drawing/2014/main" id="{AD2A2EA5-B84F-4140-B0A4-4D0AB1B937B9}"/>
            </a:ext>
          </a:extLst>
        </xdr:cNvPr>
        <xdr:cNvGrpSpPr/>
      </xdr:nvGrpSpPr>
      <xdr:grpSpPr>
        <a:xfrm>
          <a:off x="162984656" y="0"/>
          <a:ext cx="758563" cy="876801"/>
          <a:chOff x="228600" y="47625"/>
          <a:chExt cx="2680608" cy="981075"/>
        </a:xfrm>
      </xdr:grpSpPr>
      <xdr:pic>
        <xdr:nvPicPr>
          <xdr:cNvPr id="14" name="Picture 5">
            <a:extLst>
              <a:ext uri="{FF2B5EF4-FFF2-40B4-BE49-F238E27FC236}">
                <a16:creationId xmlns:a16="http://schemas.microsoft.com/office/drawing/2014/main" id="{28425845-9BF2-444C-8406-FF7B0DDCC9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5" name="5 CuadroTexto">
            <a:extLst>
              <a:ext uri="{FF2B5EF4-FFF2-40B4-BE49-F238E27FC236}">
                <a16:creationId xmlns:a16="http://schemas.microsoft.com/office/drawing/2014/main" id="{1A754857-4B43-400D-8082-EDB54B4B7A4C}"/>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28575</xdr:rowOff>
    </xdr:from>
    <xdr:to>
      <xdr:col>87</xdr:col>
      <xdr:colOff>9525</xdr:colOff>
      <xdr:row>5</xdr:row>
      <xdr:rowOff>9525</xdr:rowOff>
    </xdr:to>
    <xdr:sp macro="" textlink="">
      <xdr:nvSpPr>
        <xdr:cNvPr id="2" name="CuadroTexto 1">
          <a:extLst>
            <a:ext uri="{FF2B5EF4-FFF2-40B4-BE49-F238E27FC236}">
              <a16:creationId xmlns:a16="http://schemas.microsoft.com/office/drawing/2014/main" id="{542D3503-9E18-4D5A-B73D-3BB31E28D597}"/>
            </a:ext>
          </a:extLst>
        </xdr:cNvPr>
        <xdr:cNvSpPr txBox="1"/>
      </xdr:nvSpPr>
      <xdr:spPr>
        <a:xfrm>
          <a:off x="57150" y="28575"/>
          <a:ext cx="556736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28BFA8F1-EB5A-4A3A-A9E6-615323DFB9AC}"/>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9143C4D6-86E4-4C8A-A732-7BD58E725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97F1867D-2655-4907-A264-3E873EDEA175}"/>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87</xdr:col>
      <xdr:colOff>1438275</xdr:colOff>
      <xdr:row>0</xdr:row>
      <xdr:rowOff>0</xdr:rowOff>
    </xdr:from>
    <xdr:to>
      <xdr:col>88</xdr:col>
      <xdr:colOff>2949313</xdr:colOff>
      <xdr:row>4</xdr:row>
      <xdr:rowOff>114801</xdr:rowOff>
    </xdr:to>
    <xdr:grpSp>
      <xdr:nvGrpSpPr>
        <xdr:cNvPr id="6" name="Grupo 5">
          <a:extLst>
            <a:ext uri="{FF2B5EF4-FFF2-40B4-BE49-F238E27FC236}">
              <a16:creationId xmlns:a16="http://schemas.microsoft.com/office/drawing/2014/main" id="{A7E1249D-E0CD-4678-9660-3C3E05FED2A4}"/>
            </a:ext>
          </a:extLst>
        </xdr:cNvPr>
        <xdr:cNvGrpSpPr/>
      </xdr:nvGrpSpPr>
      <xdr:grpSpPr>
        <a:xfrm>
          <a:off x="123941681" y="0"/>
          <a:ext cx="3523195" cy="876801"/>
          <a:chOff x="228600" y="47625"/>
          <a:chExt cx="2680608" cy="981075"/>
        </a:xfrm>
      </xdr:grpSpPr>
      <xdr:pic>
        <xdr:nvPicPr>
          <xdr:cNvPr id="7" name="Picture 5">
            <a:extLst>
              <a:ext uri="{FF2B5EF4-FFF2-40B4-BE49-F238E27FC236}">
                <a16:creationId xmlns:a16="http://schemas.microsoft.com/office/drawing/2014/main" id="{A7A6FDE4-0B3C-43B0-B04C-5362D460D7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F2C587A3-B276-4B29-A344-1B9234265850}"/>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0</xdr:row>
      <xdr:rowOff>28575</xdr:rowOff>
    </xdr:from>
    <xdr:to>
      <xdr:col>87</xdr:col>
      <xdr:colOff>9525</xdr:colOff>
      <xdr:row>5</xdr:row>
      <xdr:rowOff>9525</xdr:rowOff>
    </xdr:to>
    <xdr:sp macro="" textlink="">
      <xdr:nvSpPr>
        <xdr:cNvPr id="2" name="CuadroTexto 1">
          <a:extLst>
            <a:ext uri="{FF2B5EF4-FFF2-40B4-BE49-F238E27FC236}">
              <a16:creationId xmlns:a16="http://schemas.microsoft.com/office/drawing/2014/main" id="{28215A65-54D3-4378-843C-49C2B3E9C8F5}"/>
            </a:ext>
          </a:extLst>
        </xdr:cNvPr>
        <xdr:cNvSpPr txBox="1"/>
      </xdr:nvSpPr>
      <xdr:spPr>
        <a:xfrm>
          <a:off x="57150" y="28575"/>
          <a:ext cx="1233773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A686BEC9-DF25-4355-9A57-F5CC20A8B296}"/>
            </a:ext>
          </a:extLst>
        </xdr:cNvPr>
        <xdr:cNvGrpSpPr/>
      </xdr:nvGrpSpPr>
      <xdr:grpSpPr>
        <a:xfrm>
          <a:off x="38100" y="28575"/>
          <a:ext cx="3520813" cy="876801"/>
          <a:chOff x="228600" y="47625"/>
          <a:chExt cx="2680608" cy="981075"/>
        </a:xfrm>
      </xdr:grpSpPr>
      <xdr:pic>
        <xdr:nvPicPr>
          <xdr:cNvPr id="4" name="Picture 5">
            <a:extLst>
              <a:ext uri="{FF2B5EF4-FFF2-40B4-BE49-F238E27FC236}">
                <a16:creationId xmlns:a16="http://schemas.microsoft.com/office/drawing/2014/main" id="{11444828-1076-40A7-AD7F-C4A6EE3216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C10AA5CF-6BBF-43DC-B677-976B9BA342A4}"/>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87</xdr:col>
      <xdr:colOff>1438275</xdr:colOff>
      <xdr:row>0</xdr:row>
      <xdr:rowOff>0</xdr:rowOff>
    </xdr:from>
    <xdr:to>
      <xdr:col>88</xdr:col>
      <xdr:colOff>2949313</xdr:colOff>
      <xdr:row>4</xdr:row>
      <xdr:rowOff>114801</xdr:rowOff>
    </xdr:to>
    <xdr:grpSp>
      <xdr:nvGrpSpPr>
        <xdr:cNvPr id="6" name="Grupo 5">
          <a:extLst>
            <a:ext uri="{FF2B5EF4-FFF2-40B4-BE49-F238E27FC236}">
              <a16:creationId xmlns:a16="http://schemas.microsoft.com/office/drawing/2014/main" id="{43485C1E-DEEC-487A-8E9C-97D884572C73}"/>
            </a:ext>
          </a:extLst>
        </xdr:cNvPr>
        <xdr:cNvGrpSpPr/>
      </xdr:nvGrpSpPr>
      <xdr:grpSpPr>
        <a:xfrm>
          <a:off x="123948825" y="0"/>
          <a:ext cx="3520813" cy="876801"/>
          <a:chOff x="228600" y="47625"/>
          <a:chExt cx="2680608" cy="981075"/>
        </a:xfrm>
      </xdr:grpSpPr>
      <xdr:pic>
        <xdr:nvPicPr>
          <xdr:cNvPr id="7" name="Picture 5">
            <a:extLst>
              <a:ext uri="{FF2B5EF4-FFF2-40B4-BE49-F238E27FC236}">
                <a16:creationId xmlns:a16="http://schemas.microsoft.com/office/drawing/2014/main" id="{A36786FA-E1C1-437A-8C6A-2E772DE2C1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FB863E84-1190-4808-95F4-D17E86C54DAB}"/>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0</xdr:row>
      <xdr:rowOff>28575</xdr:rowOff>
    </xdr:from>
    <xdr:to>
      <xdr:col>69</xdr:col>
      <xdr:colOff>9525</xdr:colOff>
      <xdr:row>5</xdr:row>
      <xdr:rowOff>9525</xdr:rowOff>
    </xdr:to>
    <xdr:sp macro="" textlink="">
      <xdr:nvSpPr>
        <xdr:cNvPr id="2" name="CuadroTexto 1">
          <a:extLst>
            <a:ext uri="{FF2B5EF4-FFF2-40B4-BE49-F238E27FC236}">
              <a16:creationId xmlns:a16="http://schemas.microsoft.com/office/drawing/2014/main" id="{4205A23A-4CF3-4D71-B01F-66C675468406}"/>
            </a:ext>
          </a:extLst>
        </xdr:cNvPr>
        <xdr:cNvSpPr txBox="1"/>
      </xdr:nvSpPr>
      <xdr:spPr>
        <a:xfrm>
          <a:off x="57150" y="28575"/>
          <a:ext cx="556736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BBBC736D-504D-4204-A957-97B7FD310F81}"/>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0D08B531-8F2D-4022-925D-F1ECEAA8C4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2B7995B6-8FDA-411D-B421-BD8B88D31C79}"/>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69</xdr:col>
      <xdr:colOff>1438275</xdr:colOff>
      <xdr:row>0</xdr:row>
      <xdr:rowOff>0</xdr:rowOff>
    </xdr:from>
    <xdr:to>
      <xdr:col>70</xdr:col>
      <xdr:colOff>2949313</xdr:colOff>
      <xdr:row>4</xdr:row>
      <xdr:rowOff>114801</xdr:rowOff>
    </xdr:to>
    <xdr:grpSp>
      <xdr:nvGrpSpPr>
        <xdr:cNvPr id="6" name="Grupo 5">
          <a:extLst>
            <a:ext uri="{FF2B5EF4-FFF2-40B4-BE49-F238E27FC236}">
              <a16:creationId xmlns:a16="http://schemas.microsoft.com/office/drawing/2014/main" id="{89C1BF7E-EE1A-45A3-AF35-BBF70B4E3225}"/>
            </a:ext>
          </a:extLst>
        </xdr:cNvPr>
        <xdr:cNvGrpSpPr/>
      </xdr:nvGrpSpPr>
      <xdr:grpSpPr>
        <a:xfrm>
          <a:off x="97369313" y="0"/>
          <a:ext cx="0" cy="876801"/>
          <a:chOff x="228600" y="47625"/>
          <a:chExt cx="2680608" cy="981075"/>
        </a:xfrm>
      </xdr:grpSpPr>
      <xdr:pic>
        <xdr:nvPicPr>
          <xdr:cNvPr id="7" name="Picture 5">
            <a:extLst>
              <a:ext uri="{FF2B5EF4-FFF2-40B4-BE49-F238E27FC236}">
                <a16:creationId xmlns:a16="http://schemas.microsoft.com/office/drawing/2014/main" id="{248E2379-07F2-47A0-A1E9-BD8B2927A6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B7136C94-D767-49F6-A54E-16F8FE1AB4D9}"/>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57150</xdr:colOff>
      <xdr:row>0</xdr:row>
      <xdr:rowOff>28575</xdr:rowOff>
    </xdr:from>
    <xdr:to>
      <xdr:col>87</xdr:col>
      <xdr:colOff>9525</xdr:colOff>
      <xdr:row>5</xdr:row>
      <xdr:rowOff>9525</xdr:rowOff>
    </xdr:to>
    <xdr:sp macro="" textlink="">
      <xdr:nvSpPr>
        <xdr:cNvPr id="9" name="CuadroTexto 1">
          <a:extLst>
            <a:ext uri="{FF2B5EF4-FFF2-40B4-BE49-F238E27FC236}">
              <a16:creationId xmlns:a16="http://schemas.microsoft.com/office/drawing/2014/main" id="{BAF98B48-A896-48E8-A0A5-5AD792B96844}"/>
            </a:ext>
          </a:extLst>
        </xdr:cNvPr>
        <xdr:cNvSpPr txBox="1"/>
      </xdr:nvSpPr>
      <xdr:spPr>
        <a:xfrm>
          <a:off x="57150" y="28575"/>
          <a:ext cx="1191101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10" name="Grupo 2">
          <a:extLst>
            <a:ext uri="{FF2B5EF4-FFF2-40B4-BE49-F238E27FC236}">
              <a16:creationId xmlns:a16="http://schemas.microsoft.com/office/drawing/2014/main" id="{0DEFB3B3-C99A-4A3D-BD71-EB0D1523CCE2}"/>
            </a:ext>
          </a:extLst>
        </xdr:cNvPr>
        <xdr:cNvGrpSpPr/>
      </xdr:nvGrpSpPr>
      <xdr:grpSpPr>
        <a:xfrm>
          <a:off x="38100" y="28575"/>
          <a:ext cx="3516051" cy="876801"/>
          <a:chOff x="228600" y="47625"/>
          <a:chExt cx="2680608" cy="981075"/>
        </a:xfrm>
      </xdr:grpSpPr>
      <xdr:pic>
        <xdr:nvPicPr>
          <xdr:cNvPr id="11" name="Picture 5">
            <a:extLst>
              <a:ext uri="{FF2B5EF4-FFF2-40B4-BE49-F238E27FC236}">
                <a16:creationId xmlns:a16="http://schemas.microsoft.com/office/drawing/2014/main" id="{17B18560-CCED-416D-BC3F-AF201114F3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2" name="5 CuadroTexto">
            <a:extLst>
              <a:ext uri="{FF2B5EF4-FFF2-40B4-BE49-F238E27FC236}">
                <a16:creationId xmlns:a16="http://schemas.microsoft.com/office/drawing/2014/main" id="{0094CCC2-7BED-4F80-8175-6D0A33B65F37}"/>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88</xdr:col>
      <xdr:colOff>0</xdr:colOff>
      <xdr:row>0</xdr:row>
      <xdr:rowOff>0</xdr:rowOff>
    </xdr:from>
    <xdr:to>
      <xdr:col>88</xdr:col>
      <xdr:colOff>758563</xdr:colOff>
      <xdr:row>4</xdr:row>
      <xdr:rowOff>114801</xdr:rowOff>
    </xdr:to>
    <xdr:grpSp>
      <xdr:nvGrpSpPr>
        <xdr:cNvPr id="13" name="Grupo 5">
          <a:extLst>
            <a:ext uri="{FF2B5EF4-FFF2-40B4-BE49-F238E27FC236}">
              <a16:creationId xmlns:a16="http://schemas.microsoft.com/office/drawing/2014/main" id="{942D9E0D-B980-41A6-B77E-D4D22354F20A}"/>
            </a:ext>
          </a:extLst>
        </xdr:cNvPr>
        <xdr:cNvGrpSpPr/>
      </xdr:nvGrpSpPr>
      <xdr:grpSpPr>
        <a:xfrm>
          <a:off x="121455656" y="0"/>
          <a:ext cx="758563" cy="876801"/>
          <a:chOff x="228600" y="47625"/>
          <a:chExt cx="2680608" cy="981075"/>
        </a:xfrm>
      </xdr:grpSpPr>
      <xdr:pic>
        <xdr:nvPicPr>
          <xdr:cNvPr id="14" name="Picture 5">
            <a:extLst>
              <a:ext uri="{FF2B5EF4-FFF2-40B4-BE49-F238E27FC236}">
                <a16:creationId xmlns:a16="http://schemas.microsoft.com/office/drawing/2014/main" id="{2CDBD81E-0999-432B-9B0B-5A8309399D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5" name="5 CuadroTexto">
            <a:extLst>
              <a:ext uri="{FF2B5EF4-FFF2-40B4-BE49-F238E27FC236}">
                <a16:creationId xmlns:a16="http://schemas.microsoft.com/office/drawing/2014/main" id="{1E05FEA3-5A9C-4A00-BBB9-7F3E792235CB}"/>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xdr:colOff>
      <xdr:row>0</xdr:row>
      <xdr:rowOff>28575</xdr:rowOff>
    </xdr:from>
    <xdr:to>
      <xdr:col>87</xdr:col>
      <xdr:colOff>9525</xdr:colOff>
      <xdr:row>5</xdr:row>
      <xdr:rowOff>9525</xdr:rowOff>
    </xdr:to>
    <xdr:sp macro="" textlink="">
      <xdr:nvSpPr>
        <xdr:cNvPr id="2" name="CuadroTexto 1">
          <a:extLst>
            <a:ext uri="{FF2B5EF4-FFF2-40B4-BE49-F238E27FC236}">
              <a16:creationId xmlns:a16="http://schemas.microsoft.com/office/drawing/2014/main" id="{835339D7-878A-47DC-9E44-F70926072ABC}"/>
            </a:ext>
          </a:extLst>
        </xdr:cNvPr>
        <xdr:cNvSpPr txBox="1"/>
      </xdr:nvSpPr>
      <xdr:spPr>
        <a:xfrm>
          <a:off x="57150" y="28575"/>
          <a:ext cx="12339637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C3B6FCFF-2306-48E2-A65F-31DFF617D688}"/>
            </a:ext>
          </a:extLst>
        </xdr:cNvPr>
        <xdr:cNvGrpSpPr/>
      </xdr:nvGrpSpPr>
      <xdr:grpSpPr>
        <a:xfrm>
          <a:off x="38100" y="28575"/>
          <a:ext cx="3520813" cy="876801"/>
          <a:chOff x="228600" y="47625"/>
          <a:chExt cx="2680608" cy="981075"/>
        </a:xfrm>
      </xdr:grpSpPr>
      <xdr:pic>
        <xdr:nvPicPr>
          <xdr:cNvPr id="4" name="Picture 5">
            <a:extLst>
              <a:ext uri="{FF2B5EF4-FFF2-40B4-BE49-F238E27FC236}">
                <a16:creationId xmlns:a16="http://schemas.microsoft.com/office/drawing/2014/main" id="{D4B2485A-2DAA-448D-AB9E-96E7B4B3CD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12525ABC-009A-475F-8F1E-00F1171CD5F3}"/>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87</xdr:col>
      <xdr:colOff>1438275</xdr:colOff>
      <xdr:row>0</xdr:row>
      <xdr:rowOff>0</xdr:rowOff>
    </xdr:from>
    <xdr:to>
      <xdr:col>88</xdr:col>
      <xdr:colOff>2949313</xdr:colOff>
      <xdr:row>4</xdr:row>
      <xdr:rowOff>114801</xdr:rowOff>
    </xdr:to>
    <xdr:grpSp>
      <xdr:nvGrpSpPr>
        <xdr:cNvPr id="6" name="Grupo 5">
          <a:extLst>
            <a:ext uri="{FF2B5EF4-FFF2-40B4-BE49-F238E27FC236}">
              <a16:creationId xmlns:a16="http://schemas.microsoft.com/office/drawing/2014/main" id="{399BDC85-640A-43F0-B9A2-DB13C0174E12}"/>
            </a:ext>
          </a:extLst>
        </xdr:cNvPr>
        <xdr:cNvGrpSpPr/>
      </xdr:nvGrpSpPr>
      <xdr:grpSpPr>
        <a:xfrm>
          <a:off x="123967875" y="0"/>
          <a:ext cx="3520813" cy="876801"/>
          <a:chOff x="228600" y="47625"/>
          <a:chExt cx="2680608" cy="981075"/>
        </a:xfrm>
      </xdr:grpSpPr>
      <xdr:pic>
        <xdr:nvPicPr>
          <xdr:cNvPr id="7" name="Picture 5">
            <a:extLst>
              <a:ext uri="{FF2B5EF4-FFF2-40B4-BE49-F238E27FC236}">
                <a16:creationId xmlns:a16="http://schemas.microsoft.com/office/drawing/2014/main" id="{4A071ECD-8730-4060-AEF9-A4A961F871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A0F9C7DD-28B9-4B6E-8EC5-079CD9EBD5FD}"/>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0</xdr:row>
      <xdr:rowOff>28575</xdr:rowOff>
    </xdr:from>
    <xdr:to>
      <xdr:col>87</xdr:col>
      <xdr:colOff>9525</xdr:colOff>
      <xdr:row>5</xdr:row>
      <xdr:rowOff>9525</xdr:rowOff>
    </xdr:to>
    <xdr:sp macro="" textlink="">
      <xdr:nvSpPr>
        <xdr:cNvPr id="2" name="CuadroTexto 1">
          <a:extLst>
            <a:ext uri="{FF2B5EF4-FFF2-40B4-BE49-F238E27FC236}">
              <a16:creationId xmlns:a16="http://schemas.microsoft.com/office/drawing/2014/main" id="{0986CEC7-81AF-426D-85E2-427038C4093B}"/>
            </a:ext>
          </a:extLst>
        </xdr:cNvPr>
        <xdr:cNvSpPr txBox="1"/>
      </xdr:nvSpPr>
      <xdr:spPr>
        <a:xfrm>
          <a:off x="57150" y="28575"/>
          <a:ext cx="5735955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552EB427-7364-48BE-9C90-AB23C460CA2F}"/>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8CC3F22B-0A83-41D2-BFEE-9ED44D1A35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43B5C647-D912-4633-9085-F8E2FB801C04}"/>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87</xdr:col>
      <xdr:colOff>1438275</xdr:colOff>
      <xdr:row>0</xdr:row>
      <xdr:rowOff>0</xdr:rowOff>
    </xdr:from>
    <xdr:to>
      <xdr:col>88</xdr:col>
      <xdr:colOff>2949313</xdr:colOff>
      <xdr:row>4</xdr:row>
      <xdr:rowOff>114801</xdr:rowOff>
    </xdr:to>
    <xdr:grpSp>
      <xdr:nvGrpSpPr>
        <xdr:cNvPr id="6" name="Grupo 5">
          <a:extLst>
            <a:ext uri="{FF2B5EF4-FFF2-40B4-BE49-F238E27FC236}">
              <a16:creationId xmlns:a16="http://schemas.microsoft.com/office/drawing/2014/main" id="{2EEEE300-1EA9-4234-99EF-6AE5986C3DD9}"/>
            </a:ext>
          </a:extLst>
        </xdr:cNvPr>
        <xdr:cNvGrpSpPr/>
      </xdr:nvGrpSpPr>
      <xdr:grpSpPr>
        <a:xfrm>
          <a:off x="134526338" y="0"/>
          <a:ext cx="3523194" cy="876801"/>
          <a:chOff x="228600" y="47625"/>
          <a:chExt cx="2680608" cy="981075"/>
        </a:xfrm>
      </xdr:grpSpPr>
      <xdr:pic>
        <xdr:nvPicPr>
          <xdr:cNvPr id="7" name="Picture 5">
            <a:extLst>
              <a:ext uri="{FF2B5EF4-FFF2-40B4-BE49-F238E27FC236}">
                <a16:creationId xmlns:a16="http://schemas.microsoft.com/office/drawing/2014/main" id="{17D16EFF-BAB8-4E77-BE74-4BCEEAEC6A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E42A4472-B62B-4775-8AA5-A6F37B12F1CF}"/>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xdr:colOff>
      <xdr:row>0</xdr:row>
      <xdr:rowOff>28575</xdr:rowOff>
    </xdr:from>
    <xdr:to>
      <xdr:col>87</xdr:col>
      <xdr:colOff>9525</xdr:colOff>
      <xdr:row>5</xdr:row>
      <xdr:rowOff>9525</xdr:rowOff>
    </xdr:to>
    <xdr:sp macro="" textlink="">
      <xdr:nvSpPr>
        <xdr:cNvPr id="2" name="CuadroTexto 1">
          <a:extLst>
            <a:ext uri="{FF2B5EF4-FFF2-40B4-BE49-F238E27FC236}">
              <a16:creationId xmlns:a16="http://schemas.microsoft.com/office/drawing/2014/main" id="{02B16C67-3776-4F8A-B594-7D5F454D8422}"/>
            </a:ext>
          </a:extLst>
        </xdr:cNvPr>
        <xdr:cNvSpPr txBox="1"/>
      </xdr:nvSpPr>
      <xdr:spPr>
        <a:xfrm>
          <a:off x="57150" y="28575"/>
          <a:ext cx="12339637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529963</xdr:colOff>
      <xdr:row>4</xdr:row>
      <xdr:rowOff>143376</xdr:rowOff>
    </xdr:to>
    <xdr:grpSp>
      <xdr:nvGrpSpPr>
        <xdr:cNvPr id="3" name="Grupo 2">
          <a:extLst>
            <a:ext uri="{FF2B5EF4-FFF2-40B4-BE49-F238E27FC236}">
              <a16:creationId xmlns:a16="http://schemas.microsoft.com/office/drawing/2014/main" id="{ECE1544A-79CA-4A98-BFDB-26FE3526F3F3}"/>
            </a:ext>
          </a:extLst>
        </xdr:cNvPr>
        <xdr:cNvGrpSpPr/>
      </xdr:nvGrpSpPr>
      <xdr:grpSpPr>
        <a:xfrm>
          <a:off x="38100" y="28575"/>
          <a:ext cx="3516051" cy="876801"/>
          <a:chOff x="228600" y="47625"/>
          <a:chExt cx="2680608" cy="981075"/>
        </a:xfrm>
      </xdr:grpSpPr>
      <xdr:pic>
        <xdr:nvPicPr>
          <xdr:cNvPr id="4" name="Picture 5">
            <a:extLst>
              <a:ext uri="{FF2B5EF4-FFF2-40B4-BE49-F238E27FC236}">
                <a16:creationId xmlns:a16="http://schemas.microsoft.com/office/drawing/2014/main" id="{81ADEA65-2687-4A37-ADBC-D949A2671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7D85FC94-DE70-413F-9785-EFBB2505B368}"/>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87</xdr:col>
      <xdr:colOff>1438275</xdr:colOff>
      <xdr:row>0</xdr:row>
      <xdr:rowOff>0</xdr:rowOff>
    </xdr:from>
    <xdr:to>
      <xdr:col>88</xdr:col>
      <xdr:colOff>2949313</xdr:colOff>
      <xdr:row>4</xdr:row>
      <xdr:rowOff>114801</xdr:rowOff>
    </xdr:to>
    <xdr:grpSp>
      <xdr:nvGrpSpPr>
        <xdr:cNvPr id="6" name="Grupo 5">
          <a:extLst>
            <a:ext uri="{FF2B5EF4-FFF2-40B4-BE49-F238E27FC236}">
              <a16:creationId xmlns:a16="http://schemas.microsoft.com/office/drawing/2014/main" id="{69676AB7-DE5A-4504-B859-0278C9F4D9F4}"/>
            </a:ext>
          </a:extLst>
        </xdr:cNvPr>
        <xdr:cNvGrpSpPr/>
      </xdr:nvGrpSpPr>
      <xdr:grpSpPr>
        <a:xfrm>
          <a:off x="123965494" y="0"/>
          <a:ext cx="3523194" cy="876801"/>
          <a:chOff x="228600" y="47625"/>
          <a:chExt cx="2680608" cy="981075"/>
        </a:xfrm>
      </xdr:grpSpPr>
      <xdr:pic>
        <xdr:nvPicPr>
          <xdr:cNvPr id="7" name="Picture 5">
            <a:extLst>
              <a:ext uri="{FF2B5EF4-FFF2-40B4-BE49-F238E27FC236}">
                <a16:creationId xmlns:a16="http://schemas.microsoft.com/office/drawing/2014/main" id="{774FDDE7-E592-4C80-AE7D-04412C8084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C0428A06-A02B-4CCC-83F3-DD3199EE369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28575</xdr:rowOff>
    </xdr:from>
    <xdr:to>
      <xdr:col>87</xdr:col>
      <xdr:colOff>9525</xdr:colOff>
      <xdr:row>5</xdr:row>
      <xdr:rowOff>9525</xdr:rowOff>
    </xdr:to>
    <xdr:sp macro="" textlink="">
      <xdr:nvSpPr>
        <xdr:cNvPr id="2" name="CuadroTexto 1">
          <a:extLst>
            <a:ext uri="{FF2B5EF4-FFF2-40B4-BE49-F238E27FC236}">
              <a16:creationId xmlns:a16="http://schemas.microsoft.com/office/drawing/2014/main" id="{5A4472C8-5C47-4D5F-8607-E5432B483435}"/>
            </a:ext>
          </a:extLst>
        </xdr:cNvPr>
        <xdr:cNvSpPr txBox="1"/>
      </xdr:nvSpPr>
      <xdr:spPr>
        <a:xfrm>
          <a:off x="57150" y="28575"/>
          <a:ext cx="6478905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4800" b="1" cap="none" spc="0">
              <a:ln w="9525">
                <a:solidFill>
                  <a:schemeClr val="accent6">
                    <a:lumMod val="50000"/>
                  </a:schemeClr>
                </a:solidFill>
                <a:prstDash val="solid"/>
              </a:ln>
              <a:solidFill>
                <a:schemeClr val="accent1">
                  <a:lumMod val="75000"/>
                </a:schemeClr>
              </a:solidFill>
              <a:effectLst>
                <a:outerShdw blurRad="12700" dist="38100" dir="2700000" algn="tl" rotWithShape="0">
                  <a:schemeClr val="accent5">
                    <a:lumMod val="60000"/>
                    <a:lumOff val="40000"/>
                  </a:schemeClr>
                </a:outerShdw>
              </a:effectLst>
            </a:rPr>
            <a:t>PLAN DE ACCIÓN INSTITUCIONAL VIGENCIA 2021</a:t>
          </a:r>
        </a:p>
      </xdr:txBody>
    </xdr:sp>
    <xdr:clientData/>
  </xdr:twoCellAnchor>
  <xdr:twoCellAnchor>
    <xdr:from>
      <xdr:col>0</xdr:col>
      <xdr:colOff>38100</xdr:colOff>
      <xdr:row>0</xdr:row>
      <xdr:rowOff>28575</xdr:rowOff>
    </xdr:from>
    <xdr:to>
      <xdr:col>1</xdr:col>
      <xdr:colOff>0</xdr:colOff>
      <xdr:row>4</xdr:row>
      <xdr:rowOff>143376</xdr:rowOff>
    </xdr:to>
    <xdr:grpSp>
      <xdr:nvGrpSpPr>
        <xdr:cNvPr id="3" name="Grupo 2">
          <a:extLst>
            <a:ext uri="{FF2B5EF4-FFF2-40B4-BE49-F238E27FC236}">
              <a16:creationId xmlns:a16="http://schemas.microsoft.com/office/drawing/2014/main" id="{49B8C3E5-1B19-4E76-AF0B-928F97852747}"/>
            </a:ext>
          </a:extLst>
        </xdr:cNvPr>
        <xdr:cNvGrpSpPr/>
      </xdr:nvGrpSpPr>
      <xdr:grpSpPr>
        <a:xfrm>
          <a:off x="38100" y="28575"/>
          <a:ext cx="3200400" cy="876801"/>
          <a:chOff x="228600" y="47625"/>
          <a:chExt cx="2680608" cy="981075"/>
        </a:xfrm>
      </xdr:grpSpPr>
      <xdr:pic>
        <xdr:nvPicPr>
          <xdr:cNvPr id="4" name="Picture 5">
            <a:extLst>
              <a:ext uri="{FF2B5EF4-FFF2-40B4-BE49-F238E27FC236}">
                <a16:creationId xmlns:a16="http://schemas.microsoft.com/office/drawing/2014/main" id="{1BBA43CA-E0E5-4E9C-BB95-46DD46D77E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5" name="5 CuadroTexto">
            <a:extLst>
              <a:ext uri="{FF2B5EF4-FFF2-40B4-BE49-F238E27FC236}">
                <a16:creationId xmlns:a16="http://schemas.microsoft.com/office/drawing/2014/main" id="{AC784867-F4FB-4469-BDB2-28CEDED130C6}"/>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87</xdr:col>
      <xdr:colOff>1438275</xdr:colOff>
      <xdr:row>0</xdr:row>
      <xdr:rowOff>0</xdr:rowOff>
    </xdr:from>
    <xdr:to>
      <xdr:col>88</xdr:col>
      <xdr:colOff>2949313</xdr:colOff>
      <xdr:row>4</xdr:row>
      <xdr:rowOff>114801</xdr:rowOff>
    </xdr:to>
    <xdr:grpSp>
      <xdr:nvGrpSpPr>
        <xdr:cNvPr id="6" name="Grupo 5">
          <a:extLst>
            <a:ext uri="{FF2B5EF4-FFF2-40B4-BE49-F238E27FC236}">
              <a16:creationId xmlns:a16="http://schemas.microsoft.com/office/drawing/2014/main" id="{C9264FCA-0F40-48F8-8464-7170CF021603}"/>
            </a:ext>
          </a:extLst>
        </xdr:cNvPr>
        <xdr:cNvGrpSpPr/>
      </xdr:nvGrpSpPr>
      <xdr:grpSpPr>
        <a:xfrm>
          <a:off x="75030806" y="0"/>
          <a:ext cx="3523195" cy="876801"/>
          <a:chOff x="228600" y="47625"/>
          <a:chExt cx="2680608" cy="981075"/>
        </a:xfrm>
      </xdr:grpSpPr>
      <xdr:pic>
        <xdr:nvPicPr>
          <xdr:cNvPr id="7" name="Picture 5">
            <a:extLst>
              <a:ext uri="{FF2B5EF4-FFF2-40B4-BE49-F238E27FC236}">
                <a16:creationId xmlns:a16="http://schemas.microsoft.com/office/drawing/2014/main" id="{6D2F826E-08E8-4FF1-89C1-0946C031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8" name="5 CuadroTexto">
            <a:extLst>
              <a:ext uri="{FF2B5EF4-FFF2-40B4-BE49-F238E27FC236}">
                <a16:creationId xmlns:a16="http://schemas.microsoft.com/office/drawing/2014/main" id="{46D3336C-09A9-4F9C-A00E-8584F78C37E5}"/>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rive\ANLA\PT%20Control%20Seguimientos%2029-Dic-17.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nambiente4\SGC-SILA\Indicadores\Informes%20Evaluaci&#242;n\IND.%20PERMISOS\Indicadores%202008\Octubre%2008-02(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inambiente4\SGC-SILA\Indicadores\Informes%20Evaluaci&#242;n\IND.%20PERMISOS\Indicadores%202008\Octubre%2008-02(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anla-my.sharepoint.com/Minambiente4/SGC-SILA/Indicadores/Informes%20Evaluaci&#242;n/IND.%20PERMISOS/Indicadores%202008/Octubre%2008-02(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Minambiente4/SGC-SILA/Indicadores/Informes%20Evaluaci&#242;n/IND.%20PERMISOS/Indicadores%202008/Octubre%2008-02(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NBOGVIEWFSS04\Perfiles\larcila\Docs\Plan%20de%20Accion%20Institucional\PAI%202017\Seguimiento%202017\Balance%202016\PT%20Control%20T&#233;rminos%20DICIEMBRE%202016%20FINAL%2011012017.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Balance%202016\PT%20Control%20T&#233;rminos%20DICIEMBRE%202016%20FINAL%2011012017.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anla-my.sharepoint.com/ANBOGVIEWFSS04/Perfiles/larcila/Docs/Plan%20de%20Accion%20Institucional/PAI%202017/Seguimiento%202017/Balance%202016/PT%20Control%20T&#233;rminos%20DICIEMBRE%202016%20FINAL%2011012017.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ANBOGVIEWFSS04/Perfiles/larcila/Docs/Plan%20de%20Accion%20Institucional/PAI%202017/Seguimiento%202017/Balance%202016/PT%20Control%20T&#233;rminos%20DICIEMBRE%202016%20FINAL%2011012017.xlsm"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Sectorial"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0%20SUBDIRECCION%20DE%20EYS/2016/CONTROL%20TERMINOS%20SIGOV/ENERGIA-MINERIA/2016-09-30/SIGOV%202016%20V5%2030Sep2016%20_Martha%20rev%20SES%20051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NBOGVIEWFSS04\Perfiles\larcila\Docs\Plan%20de%20Accion%20Institucional\PAI%202018\Seguimiento%202018\Cierre%202017\Control%20de%20SEGUIMIENTO%202017_defintivo_RevLore_22ene.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anla-my.sharepoint.com/0%20SUBDIRECCION%20DE%20EYS/2016/CONTROL%20TERMINOS%20SIGOV/ENERGIA-MINERIA/2016-09-30/SIGOV%202016%20V5%2030Sep2016%20_Martha%20rev%20SES%2005102016.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ANBOGVIEWFSS04\Perfiles\larcila\Docs\Plan%20de%20Accion%20Institucional\PAI%202017\Seguimiento%202017\MAYO\SES%20-%20ANEXOS\Copia%20de%20Control%20T&#233;rminos%20mayo%202017%20Evaluaci&#243;n_EVALUACI&#211;N_defintiivo_V10jun.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MAYO\SES%20-%20ANEXOS\Copia%20de%20Control%20T&#233;rminos%20mayo%202017%20Evaluaci&#243;n_EVALUACI&#211;N_defintiivo_V10jun.xlsm" TargetMode="External"/></Relationships>
</file>

<file path=xl/externalLinks/_rels/externalLink23.xml.rels><?xml version="1.0" encoding="UTF-8" standalone="yes"?>
<Relationships xmlns="http://schemas.openxmlformats.org/package/2006/relationships"><Relationship Id="rId2" Type="http://schemas.microsoft.com/office/2019/04/relationships/externalLinkLongPath" Target="https://anla-my.sharepoint.com/ANBOGVIEWFSS04/Perfiles/larcila/Docs/Plan%20de%20Accion%20Institucional/PAI%202017/Seguimiento%202017/MAYO/SES%20-%20ANEXOS/Copia%20de%20Control%20T&#233;rminos%20mayo%202017%20Evaluaci&#243;n_EVALUACI&#211;N_defintiivo_V10jun.xlsm?10B8FD47" TargetMode="External"/><Relationship Id="rId1" Type="http://schemas.openxmlformats.org/officeDocument/2006/relationships/externalLinkPath" Target="file:///\\10B8FD47\Copia%20de%20Control%20T&#233;rminos%20mayo%202017%20Evaluaci&#243;n_EVALUACI&#211;N_defintiivo_V10jun.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ANBOGVIEWFSS04/Perfiles/larcila/Docs/Plan%20de%20Accion%20Institucional/PAI%202017/Seguimiento%202017/MAYO/SES%20-%20ANEXOS/Copia%20de%20Control%20T&#233;rminos%20mayo%202017%20Evaluaci&#243;n_EVALUACI&#211;N_defintiivo_V10jun.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ANBOGVIEWFSS04\Perfiles\larcila\Docs\Plan%20de%20Accion%20Institucional\PAI%202017\Seguimiento%202017\ABRIL\SES\Copia%20de%20Control%20T&#233;rminos%20Abril_2017%20REV2_EVALUACI&#211;N_DefJaz.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ABRIL\SES\Copia%20de%20Control%20T&#233;rminos%20Abril_2017%20REV2_EVALUACI&#211;N_DefJaz.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anla-my.sharepoint.com/ANBOGVIEWFSS04/Perfiles/larcila/Docs/Plan%20de%20Accion%20Institucional/PAI%202017/Seguimiento%202017/ABRIL/SES/Copia%20de%20Control%20T&#233;rminos%20Abril_2017%20REV2_EVALUACI&#211;N_DefJaz.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ANBOGVIEWFSS04/Perfiles/larcila/Docs/Plan%20de%20Accion%20Institucional/PAI%202017/Seguimiento%202017/ABRIL/SES/Copia%20de%20Control%20T&#233;rminos%20Abril_2017%20REV2_EVALUACI&#211;N_DefJaz.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larcila/AppData/Local/Microsoft/Windows/INetCache/Content.Outlook/XHN05ZOW/PT%20Control%20T&#233;rminos%20ENERO%202017%2019012017.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8\Seguimiento%202018\Cierre%202017\Control%20de%20SEGUIMIENTO%202017_defintivo_RevLore_22ene.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anla-my.sharepoint.com/Users/larcila/AppData/Local/Microsoft/Windows/INetCache/Content.Outlook/XHN05ZOW/PT%20Control%20T&#233;rminos%20ENERO%202017%201901201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nla-my.sharepoint.com/ANBOGVIEWFSS04/Perfiles/larcila/Docs/Plan%20de%20Accion%20Institucional/PAI%202018/Seguimiento%202018/Cierre%202017/Control%20de%20SEGUIMIENTO%202017_defintivo_RevLore_22en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NBOGVIEWFSS04/Perfiles/larcila/Docs/Plan%20de%20Accion%20Institucional/PAI%202018/Seguimiento%202018/Cierre%202017/Control%20de%20SEGUIMIENTO%202017_defintivo_RevLore_22en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larcila/AppData/Local/Microsoft/Windows/INetCache/Content.Outlook/XHN05ZOW/PT%20Control%20Seguimientos%202016%20ENERO%202017%20A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nla-my.sharepoint.com/Users/larcila/AppData/Local/Microsoft/Windows/INetCache/Content.Outlook/XHN05ZOW/PT%20Control%20Seguimientos%202016%20ENERO%202017%20A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nla-my.sharepoint.com/0%20SUBDIRECCION%20DE%20EYS/2017/CONTROL%20DE%20TERMINOS/0%20DICIEMBRE%2031%202016/Control%20de%20Terminos%20SIGOV%202016%20V5%20con%20corte%20al%2010-11-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0%20SUBDIRECCION%20DE%20EYS/2017/CONTROL%20DE%20TERMINOS/0%20DICIEMBRE%2031%202016/Control%20de%20Terminos%20SIGOV%202016%20V5%20con%20corte%20al%2010-11-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Esta. Informe Seguimiento"/>
      <sheetName val="Hoja7"/>
      <sheetName val="Registro Control Tiempos"/>
      <sheetName val="29 Dic"/>
      <sheetName val="27-29 Dic"/>
      <sheetName val="Infome Plan de Accion SES 2017"/>
      <sheetName val="Productividad por sector"/>
      <sheetName val="Info Agroquímicos"/>
      <sheetName val="Resumen Estadisticas"/>
      <sheetName val="Resumen estadístico"/>
      <sheetName val="Info Minería"/>
      <sheetName val="Info Hidrocarburos"/>
      <sheetName val="Info Infraestructura"/>
      <sheetName val="Info Energía"/>
      <sheetName val="Anexo 1 de Pago"/>
      <sheetName val="Estado de Proyectos"/>
      <sheetName val="Hoja4"/>
      <sheetName val="Grafico LA Nueva"/>
      <sheetName val="Grafico LA Modificacion"/>
      <sheetName val="Decreto aplicable"/>
      <sheetName val="Proyectos PINES"/>
      <sheetName val="Bd Resoluciones"/>
      <sheetName val="Tiempos Años anteriores"/>
      <sheetName val="Informes de gestión"/>
      <sheetName val="Semaforos"/>
      <sheetName val="Hoja2"/>
      <sheetName val="PT Control Seguimientos 29-Dic-"/>
      <sheetName val="VIG. ANT - X GESTIO"/>
      <sheetName val="Vig. Ant"/>
      <sheetName val="VIG. 2017 - X GESTI"/>
      <sheetName val="2017"/>
      <sheetName val="SIN GESTIÓN BD"/>
      <sheetName val="REV. REZAGOS"/>
    </sheetNames>
    <sheetDataSet>
      <sheetData sheetId="0">
        <row r="2">
          <cell r="G2" t="str">
            <v>Enero</v>
          </cell>
          <cell r="H2" t="str">
            <v>Octubre</v>
          </cell>
        </row>
        <row r="5">
          <cell r="G5">
            <v>0.13417999999999999</v>
          </cell>
        </row>
        <row r="11">
          <cell r="R11" t="str">
            <v>Audiencia pública</v>
          </cell>
          <cell r="AB11" t="str">
            <v>Levantamiento de Veda</v>
          </cell>
        </row>
        <row r="12">
          <cell r="R12" t="str">
            <v>Solicitud del usuario</v>
          </cell>
          <cell r="AB12" t="str">
            <v>Sustracción de reservas</v>
          </cell>
        </row>
        <row r="13">
          <cell r="R13" t="str">
            <v>Consulta previa</v>
          </cell>
          <cell r="AB13" t="str">
            <v>Parques</v>
          </cell>
        </row>
        <row r="14">
          <cell r="R14" t="str">
            <v>Visita Aplazada (Seguimiento)</v>
          </cell>
        </row>
      </sheetData>
      <sheetData sheetId="1"/>
      <sheetData sheetId="2">
        <row r="2">
          <cell r="I2" t="str">
            <v>*</v>
          </cell>
        </row>
        <row r="5">
          <cell r="AV5">
            <v>0.85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diente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2008"/>
      <sheetName val="MOV. TRANFRONTERIZO"/>
      <sheetName val="INVESTIGACION"/>
      <sheetName val="CITES"/>
      <sheetName val="SUSTRACCION DE RESERVA"/>
      <sheetName val="PERMISO FUERA LICENCIAS AMBIENT"/>
      <sheetName val="pendientes CITES"/>
      <sheetName val="Octubre"/>
      <sheetName val="% Evaluaciones Resueltas"/>
      <sheetName val="Tiempo de evaluación PROPUESTO"/>
      <sheetName val="Eficiencia_terminos"/>
      <sheetName val="Eficiencia_terminos (2)"/>
      <sheetName val="Tiempo de evaluación"/>
      <sheetName val="Hoja1"/>
      <sheetName val="Pendientes"/>
      <sheetName val="datoa paula"/>
      <sheetName val="% Evaluaciones Resueltas (2)"/>
      <sheetName val="Octubre 08-02(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4">
          <cell r="C24" t="str">
            <v>Dentro de Término</v>
          </cell>
        </row>
      </sheetData>
      <sheetData sheetId="13"/>
      <sheetData sheetId="14">
        <row r="49">
          <cell r="B49">
            <v>1</v>
          </cell>
          <cell r="C49">
            <v>0</v>
          </cell>
          <cell r="D49">
            <v>12</v>
          </cell>
          <cell r="E49">
            <v>48</v>
          </cell>
        </row>
      </sheetData>
      <sheetData sheetId="15"/>
      <sheetData sheetId="16"/>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diente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diente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N11" t="str">
            <v>AGROQUÍMICOS</v>
          </cell>
        </row>
        <row r="12">
          <cell r="N12" t="str">
            <v>ENERGÍA</v>
          </cell>
        </row>
        <row r="13">
          <cell r="N13" t="str">
            <v>ESPECIALES</v>
          </cell>
        </row>
        <row r="14">
          <cell r="N14" t="str">
            <v>HIDROCARBUROS</v>
          </cell>
        </row>
        <row r="15">
          <cell r="N15" t="str">
            <v>INFRAESTRUCTURA</v>
          </cell>
        </row>
        <row r="16">
          <cell r="N16" t="str">
            <v>MINERÍA</v>
          </cell>
        </row>
        <row r="17">
          <cell r="N17" t="str">
            <v>POSCONSUMO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ial"/>
      <sheetName val="Parametros"/>
    </sheet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s>
    <sheetDataSet>
      <sheetData sheetId="0"/>
      <sheetData sheetId="1"/>
      <sheetData sheetId="2"/>
      <sheetData sheetId="3"/>
      <sheetData sheetId="4"/>
      <sheetData sheetId="5"/>
      <sheetData sheetId="6"/>
      <sheetData sheetId="7"/>
      <sheetData sheetId="8"/>
      <sheetData sheetId="9"/>
      <sheetData sheetId="10"/>
      <sheetData sheetId="11">
        <row r="12">
          <cell r="BI12" t="str">
            <v>Si</v>
          </cell>
        </row>
        <row r="13">
          <cell r="BI13" t="str">
            <v>No</v>
          </cell>
        </row>
      </sheetData>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Control Tiempos"/>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s>
    <sheetDataSet>
      <sheetData sheetId="0"/>
      <sheetData sheetId="1"/>
      <sheetData sheetId="2"/>
      <sheetData sheetId="3"/>
      <sheetData sheetId="4"/>
      <sheetData sheetId="5"/>
      <sheetData sheetId="6"/>
      <sheetData sheetId="7"/>
      <sheetData sheetId="8"/>
      <sheetData sheetId="9"/>
      <sheetData sheetId="10"/>
      <sheetData sheetId="11">
        <row r="12">
          <cell r="BI12" t="str">
            <v>Si</v>
          </cell>
        </row>
        <row r="13">
          <cell r="BI13" t="str">
            <v>No</v>
          </cell>
        </row>
      </sheetData>
      <sheetData sheetId="12"/>
      <sheetData sheetId="13"/>
      <sheetData sheetId="14"/>
      <sheetData sheetId="15"/>
      <sheetData sheetId="16"/>
      <sheetData sheetId="1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T11" t="str">
            <v>Resolución</v>
          </cell>
        </row>
        <row r="12">
          <cell r="T12" t="str">
            <v>Auto</v>
          </cell>
        </row>
        <row r="13">
          <cell r="T13" t="str">
            <v>Oficio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Estado Empalme"/>
      <sheetName val="Hoja4"/>
      <sheetName val="Hoja3"/>
      <sheetName val="Hoja2"/>
      <sheetName val="Registro Control Tiempos"/>
      <sheetName val="Resumen Estadisticas"/>
      <sheetName val="Resumen estadístico"/>
      <sheetName val="Estado de Proyectos"/>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 val="Semaforos"/>
    </sheetNames>
    <sheetDataSet>
      <sheetData sheetId="0">
        <row r="11">
          <cell r="V11" t="str">
            <v>Archiva</v>
          </cell>
        </row>
        <row r="12">
          <cell r="V12" t="str">
            <v>Desiste</v>
          </cell>
        </row>
        <row r="13">
          <cell r="V13" t="str">
            <v>Niega</v>
          </cell>
        </row>
        <row r="14">
          <cell r="V14" t="str">
            <v>Otorga</v>
          </cell>
        </row>
        <row r="15">
          <cell r="V15" t="str">
            <v>Revoca</v>
          </cell>
        </row>
        <row r="16">
          <cell r="V16" t="str">
            <v>Define DAA</v>
          </cell>
        </row>
        <row r="17">
          <cell r="V17" t="str">
            <v>Requiere DAA</v>
          </cell>
        </row>
        <row r="18">
          <cell r="V18" t="str">
            <v>No requiere DAA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1">
          <cell r="L11" t="str">
            <v>Nuevo</v>
          </cell>
        </row>
        <row r="12">
          <cell r="L12" t="str">
            <v>Modificación</v>
          </cell>
        </row>
        <row r="13">
          <cell r="L13" t="str">
            <v>Mod. Fuente Materiales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Control Tiempos"/>
      <sheetName val="Hidrocarburos"/>
      <sheetName val="Infraestructura"/>
      <sheetName val="Minería"/>
      <sheetName val="Energía"/>
      <sheetName val="Agroquímicos"/>
    </sheetNames>
    <sheetDataSet>
      <sheetData sheetId="0">
        <row r="7">
          <cell r="C7">
            <v>42978</v>
          </cell>
        </row>
        <row r="9">
          <cell r="C9">
            <v>42978</v>
          </cell>
        </row>
      </sheetData>
      <sheetData sheetId="1"/>
      <sheetData sheetId="2"/>
      <sheetData sheetId="3"/>
      <sheetData sheetId="4"/>
      <sheetData sheetId="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1">
          <cell r="L11" t="str">
            <v>Nuevo</v>
          </cell>
        </row>
        <row r="12">
          <cell r="L12" t="str">
            <v>Modificación</v>
          </cell>
        </row>
        <row r="13">
          <cell r="L13" t="str">
            <v>Mod. Fuente Materiales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Control Tiempo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Control Tiempo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Registro Control Tiempos"/>
      <sheetName val="Resumen Estadisticas"/>
      <sheetName val="Resumen estadístico"/>
      <sheetName val="Anexo 1 de Pago"/>
      <sheetName val="Estado de Proyectos"/>
      <sheetName val="Grafico LA Nueva"/>
      <sheetName val="Grafico LA Modificacion"/>
      <sheetName val="Decreto aplicable"/>
      <sheetName val="Proyectos PINES"/>
      <sheetName val="Bd Resoluciones"/>
      <sheetName val="Tiempos Años anteriores"/>
      <sheetName val="Informes de gestión"/>
      <sheetName val="Semaforos"/>
    </sheetNames>
    <sheetDataSet>
      <sheetData sheetId="0">
        <row r="11">
          <cell r="F11" t="str">
            <v>LA</v>
          </cell>
        </row>
        <row r="12">
          <cell r="F12" t="str">
            <v>PMA</v>
          </cell>
        </row>
        <row r="13">
          <cell r="F13" t="str">
            <v>MMA</v>
          </cell>
        </row>
        <row r="14">
          <cell r="F14" t="str">
            <v>NDA</v>
          </cell>
        </row>
        <row r="15">
          <cell r="F15" t="str">
            <v>DAA</v>
          </cell>
        </row>
        <row r="16">
          <cell r="F16" t="str">
            <v>PMRA</v>
          </cell>
        </row>
        <row r="17">
          <cell r="F17" t="str">
            <v>DTA</v>
          </cell>
        </row>
        <row r="18">
          <cell r="F18" t="str">
            <v>POSC</v>
          </cell>
        </row>
        <row r="19">
          <cell r="F19" t="str">
            <v>P.E.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Registro Control Tiempos"/>
      <sheetName val="Resumen Estadisticas"/>
      <sheetName val="Resumen estadístico"/>
      <sheetName val="Anexo 1 de Pago"/>
      <sheetName val="Estado de Proyectos"/>
      <sheetName val="Grafico LA Nueva"/>
      <sheetName val="Grafico LA Modificacion"/>
      <sheetName val="Decreto aplicable"/>
      <sheetName val="Proyectos PINES"/>
      <sheetName val="Bd Resoluciones"/>
      <sheetName val="Tiempos Años anteriores"/>
      <sheetName val="Informes de gestión"/>
      <sheetName val="Semaforos"/>
    </sheetNames>
    <sheetDataSet>
      <sheetData sheetId="0">
        <row r="11">
          <cell r="F11" t="str">
            <v>LA</v>
          </cell>
        </row>
        <row r="12">
          <cell r="F12" t="str">
            <v>PMA</v>
          </cell>
        </row>
        <row r="13">
          <cell r="F13" t="str">
            <v>MMA</v>
          </cell>
        </row>
        <row r="14">
          <cell r="F14" t="str">
            <v>NDA</v>
          </cell>
        </row>
        <row r="15">
          <cell r="F15" t="str">
            <v>DAA</v>
          </cell>
        </row>
        <row r="16">
          <cell r="F16" t="str">
            <v>PMRA</v>
          </cell>
        </row>
        <row r="17">
          <cell r="F17" t="str">
            <v>DTA</v>
          </cell>
        </row>
        <row r="18">
          <cell r="F18" t="str">
            <v>POSC</v>
          </cell>
        </row>
        <row r="19">
          <cell r="F19" t="str">
            <v>P.E.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 val="Control de Terminos SIGOV 2016 "/>
      <sheetName val="Control%20de%20Terminos%20SIGOV"/>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ow r="12">
          <cell r="BI12" t="str">
            <v>Si</v>
          </cell>
        </row>
        <row r="15">
          <cell r="BI15" t="str">
            <v>Dec. 1310 de 2005</v>
          </cell>
        </row>
        <row r="16">
          <cell r="BI16" t="str">
            <v>Res. 1442 de 2008</v>
          </cell>
        </row>
        <row r="17">
          <cell r="BI17" t="str">
            <v>Dec. 2820 de 2010</v>
          </cell>
        </row>
        <row r="18">
          <cell r="BI18" t="str">
            <v>Dec. 2041 de 2014</v>
          </cell>
        </row>
        <row r="19">
          <cell r="BI19" t="str">
            <v>Dec. 1076 de 2015</v>
          </cell>
        </row>
      </sheetData>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 val="Control de Terminos SIGOV 2016 "/>
      <sheetName val="Control%20de%20Terminos%20SIGOV"/>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ow r="12">
          <cell r="BI12" t="str">
            <v>Si</v>
          </cell>
        </row>
        <row r="15">
          <cell r="BI15" t="str">
            <v>Dec. 1310 de 2005</v>
          </cell>
        </row>
        <row r="16">
          <cell r="BI16" t="str">
            <v>Res. 1442 de 2008</v>
          </cell>
        </row>
        <row r="17">
          <cell r="BI17" t="str">
            <v>Dec. 2820 de 2010</v>
          </cell>
        </row>
        <row r="18">
          <cell r="BI18" t="str">
            <v>Dec. 2041 de 2014</v>
          </cell>
        </row>
        <row r="19">
          <cell r="BI19" t="str">
            <v>Dec. 1076 de 2015</v>
          </cell>
        </row>
      </sheetData>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00EBE-655B-4AEA-9277-269DAB30EC99}">
  <sheetPr>
    <tabColor theme="4" tint="0.59999389629810485"/>
  </sheetPr>
  <dimension ref="A1:AH116"/>
  <sheetViews>
    <sheetView topLeftCell="A31" workbookViewId="0">
      <selection activeCell="AA47" sqref="AA47"/>
    </sheetView>
  </sheetViews>
  <sheetFormatPr baseColWidth="10" defaultColWidth="11.42578125" defaultRowHeight="15" x14ac:dyDescent="0.25"/>
  <cols>
    <col min="1" max="1" width="19.140625" style="292" bestFit="1" customWidth="1"/>
    <col min="2" max="2" width="39.7109375" style="292" customWidth="1"/>
    <col min="3" max="18" width="11.42578125" style="292" hidden="1" customWidth="1"/>
    <col min="19" max="19" width="15.7109375" style="292" customWidth="1"/>
    <col min="20" max="21" width="11.42578125" style="292" customWidth="1"/>
    <col min="22" max="22" width="12.28515625" style="292" customWidth="1"/>
    <col min="23" max="24" width="11.42578125" style="292" customWidth="1"/>
    <col min="25" max="25" width="12.5703125" style="292" customWidth="1"/>
    <col min="26" max="26" width="11.42578125" style="292" customWidth="1"/>
    <col min="27" max="27" width="14.85546875" style="292" customWidth="1"/>
    <col min="28" max="28" width="11.42578125" style="292" customWidth="1"/>
    <col min="29" max="16384" width="11.42578125" style="292"/>
  </cols>
  <sheetData>
    <row r="1" spans="1:34" s="18" customFormat="1" x14ac:dyDescent="0.25">
      <c r="A1" s="356" t="s">
        <v>0</v>
      </c>
      <c r="B1" s="356" t="s">
        <v>1</v>
      </c>
      <c r="C1" s="351" t="s">
        <v>2</v>
      </c>
      <c r="D1" s="352"/>
      <c r="E1" s="351" t="s">
        <v>3</v>
      </c>
      <c r="F1" s="352"/>
      <c r="G1" s="351" t="s">
        <v>4</v>
      </c>
      <c r="H1" s="352"/>
      <c r="I1" s="351" t="s">
        <v>830</v>
      </c>
      <c r="J1" s="352"/>
      <c r="K1" s="351" t="s">
        <v>831</v>
      </c>
      <c r="L1" s="352"/>
      <c r="M1" s="351" t="s">
        <v>832</v>
      </c>
      <c r="N1" s="352"/>
      <c r="O1" s="351" t="s">
        <v>1026</v>
      </c>
      <c r="P1" s="352"/>
      <c r="Q1" s="351" t="s">
        <v>1027</v>
      </c>
      <c r="R1" s="352"/>
      <c r="S1" s="351" t="s">
        <v>1028</v>
      </c>
      <c r="T1" s="352"/>
      <c r="U1" s="353" t="s">
        <v>1029</v>
      </c>
      <c r="V1" s="354"/>
      <c r="W1" s="351" t="s">
        <v>1030</v>
      </c>
      <c r="X1" s="352"/>
      <c r="Y1" s="351" t="s">
        <v>2094</v>
      </c>
      <c r="Z1" s="352"/>
    </row>
    <row r="2" spans="1:34" s="21" customFormat="1" ht="30" x14ac:dyDescent="0.25">
      <c r="A2" s="357"/>
      <c r="B2" s="357"/>
      <c r="C2" s="19" t="s">
        <v>5</v>
      </c>
      <c r="D2" s="20" t="s">
        <v>6</v>
      </c>
      <c r="E2" s="19" t="s">
        <v>5</v>
      </c>
      <c r="F2" s="20" t="s">
        <v>6</v>
      </c>
      <c r="G2" s="19" t="s">
        <v>5</v>
      </c>
      <c r="H2" s="20" t="s">
        <v>6</v>
      </c>
      <c r="I2" s="19" t="s">
        <v>5</v>
      </c>
      <c r="J2" s="20" t="s">
        <v>6</v>
      </c>
      <c r="K2" s="145" t="s">
        <v>5</v>
      </c>
      <c r="L2" s="146" t="s">
        <v>6</v>
      </c>
      <c r="M2" s="19" t="s">
        <v>5</v>
      </c>
      <c r="N2" s="20" t="s">
        <v>6</v>
      </c>
      <c r="O2" s="19" t="s">
        <v>5</v>
      </c>
      <c r="P2" s="20" t="s">
        <v>6</v>
      </c>
      <c r="Q2" s="19" t="s">
        <v>5</v>
      </c>
      <c r="R2" s="20" t="s">
        <v>6</v>
      </c>
      <c r="S2" s="19" t="s">
        <v>5</v>
      </c>
      <c r="T2" s="20" t="s">
        <v>6</v>
      </c>
      <c r="U2" s="19" t="s">
        <v>5</v>
      </c>
      <c r="V2" s="20" t="s">
        <v>6</v>
      </c>
      <c r="W2" s="19" t="s">
        <v>5</v>
      </c>
      <c r="X2" s="20" t="s">
        <v>6</v>
      </c>
      <c r="Y2" s="19" t="s">
        <v>5</v>
      </c>
      <c r="Z2" s="20" t="s">
        <v>6</v>
      </c>
    </row>
    <row r="3" spans="1:34" x14ac:dyDescent="0.25">
      <c r="A3" s="22" t="s">
        <v>7</v>
      </c>
      <c r="B3" s="300"/>
      <c r="C3" s="301">
        <v>0.02</v>
      </c>
      <c r="D3" s="23">
        <v>0.02</v>
      </c>
      <c r="E3" s="24">
        <v>0.09</v>
      </c>
      <c r="F3" s="25">
        <v>0.08</v>
      </c>
      <c r="G3" s="24">
        <v>0.20899999999999999</v>
      </c>
      <c r="H3" s="25">
        <v>0.13100000000000001</v>
      </c>
      <c r="I3" s="24">
        <v>0.28000000000000003</v>
      </c>
      <c r="J3" s="147">
        <v>0.19800000000000001</v>
      </c>
      <c r="K3" s="148">
        <v>0.34399999999999997</v>
      </c>
      <c r="L3" s="149">
        <v>0.374</v>
      </c>
      <c r="M3" s="150">
        <v>0.47299999999999998</v>
      </c>
      <c r="N3" s="25">
        <v>0.60099999999999998</v>
      </c>
      <c r="O3" s="24">
        <v>0.60319999999999996</v>
      </c>
      <c r="P3" s="25">
        <v>0.69910000000000005</v>
      </c>
      <c r="Q3" s="24">
        <v>0.63239999999999996</v>
      </c>
      <c r="R3" s="25">
        <v>0.72250000000000003</v>
      </c>
      <c r="S3" s="24">
        <v>0.74560000000000004</v>
      </c>
      <c r="T3" s="25">
        <v>0.79700000000000004</v>
      </c>
      <c r="U3" s="24">
        <v>0.80620000000000003</v>
      </c>
      <c r="V3" s="25">
        <v>0.85009999999999997</v>
      </c>
      <c r="W3" s="24">
        <v>0.85019999999999996</v>
      </c>
      <c r="X3" s="25">
        <v>0.89359999999999995</v>
      </c>
      <c r="Y3" s="24">
        <v>0.9839</v>
      </c>
      <c r="Z3" s="25">
        <v>0.99590000000000001</v>
      </c>
    </row>
    <row r="4" spans="1:34" x14ac:dyDescent="0.25">
      <c r="A4" s="342" t="s">
        <v>8</v>
      </c>
      <c r="B4" s="302" t="s">
        <v>9</v>
      </c>
      <c r="C4" s="154">
        <v>8.4000000000000005E-2</v>
      </c>
      <c r="D4" s="27">
        <v>8.8599999999999998E-2</v>
      </c>
      <c r="E4" s="26">
        <v>0.18260000000000001</v>
      </c>
      <c r="F4" s="27">
        <v>0.18729999999999999</v>
      </c>
      <c r="G4" s="26">
        <v>0.26590000000000003</v>
      </c>
      <c r="H4" s="27">
        <v>0.26690000000000003</v>
      </c>
      <c r="I4" s="26">
        <v>0.37830000000000003</v>
      </c>
      <c r="J4" s="151">
        <v>0.39689999999999998</v>
      </c>
      <c r="K4" s="152">
        <v>0.4894</v>
      </c>
      <c r="L4" s="153">
        <v>0.53210000000000002</v>
      </c>
      <c r="M4" s="152">
        <v>0.60470000000000002</v>
      </c>
      <c r="N4" s="152">
        <v>0.69159999999999999</v>
      </c>
      <c r="O4" s="303">
        <v>0.69530000000000003</v>
      </c>
      <c r="P4" s="304">
        <v>0.78879999999999995</v>
      </c>
      <c r="Q4" s="303">
        <v>0.69079999999999997</v>
      </c>
      <c r="R4" s="304">
        <v>0.72299999999999998</v>
      </c>
      <c r="S4" s="303">
        <v>0.78249999999999997</v>
      </c>
      <c r="T4" s="304">
        <v>0.81769999999999998</v>
      </c>
      <c r="U4" s="303">
        <v>0.96560000000000001</v>
      </c>
      <c r="V4" s="304">
        <v>1.0710999999999999</v>
      </c>
      <c r="W4" s="303">
        <v>0.9577</v>
      </c>
      <c r="X4" s="305">
        <v>0.99580000000000002</v>
      </c>
      <c r="Y4" s="303">
        <v>1</v>
      </c>
      <c r="Z4" s="304">
        <v>1</v>
      </c>
    </row>
    <row r="5" spans="1:34" x14ac:dyDescent="0.25">
      <c r="A5" s="343"/>
      <c r="B5" s="302" t="s">
        <v>10</v>
      </c>
      <c r="C5" s="154">
        <v>9.8000000000000004E-2</v>
      </c>
      <c r="D5" s="27" t="s">
        <v>11</v>
      </c>
      <c r="E5" s="26">
        <v>0.1961</v>
      </c>
      <c r="F5" s="27" t="s">
        <v>11</v>
      </c>
      <c r="G5" s="26">
        <v>0.29409999999999997</v>
      </c>
      <c r="H5" s="27" t="s">
        <v>11</v>
      </c>
      <c r="I5" s="26">
        <v>0.39219999999999999</v>
      </c>
      <c r="J5" s="151" t="s">
        <v>11</v>
      </c>
      <c r="K5" s="152">
        <v>0.49020000000000002</v>
      </c>
      <c r="L5" s="153" t="s">
        <v>11</v>
      </c>
      <c r="M5" s="154">
        <v>0.58819999999999995</v>
      </c>
      <c r="N5" s="27" t="s">
        <v>11</v>
      </c>
      <c r="O5" s="303">
        <v>0.68630000000000002</v>
      </c>
      <c r="P5" s="304" t="s">
        <v>11</v>
      </c>
      <c r="Q5" s="303">
        <v>0.7843</v>
      </c>
      <c r="R5" s="304" t="s">
        <v>11</v>
      </c>
      <c r="S5" s="303">
        <v>0.88239999999999996</v>
      </c>
      <c r="T5" s="304" t="s">
        <v>11</v>
      </c>
      <c r="U5" s="303">
        <v>0.98040000000000005</v>
      </c>
      <c r="V5" s="304" t="s">
        <v>11</v>
      </c>
      <c r="W5" s="303">
        <v>1.0425</v>
      </c>
      <c r="X5" s="305" t="s">
        <v>11</v>
      </c>
      <c r="Y5" s="303">
        <v>1</v>
      </c>
      <c r="Z5" s="304" t="s">
        <v>11</v>
      </c>
    </row>
    <row r="6" spans="1:34" x14ac:dyDescent="0.25">
      <c r="A6" s="343"/>
      <c r="B6" s="302" t="s">
        <v>12</v>
      </c>
      <c r="C6" s="154">
        <v>0.05</v>
      </c>
      <c r="D6" s="27">
        <v>0.08</v>
      </c>
      <c r="E6" s="26">
        <v>0.13</v>
      </c>
      <c r="F6" s="27">
        <v>0.155</v>
      </c>
      <c r="G6" s="26">
        <v>0.19</v>
      </c>
      <c r="H6" s="27">
        <v>0.22500000000000001</v>
      </c>
      <c r="I6" s="26">
        <v>0.22</v>
      </c>
      <c r="J6" s="151">
        <v>0.33500000000000002</v>
      </c>
      <c r="K6" s="152">
        <v>0.33</v>
      </c>
      <c r="L6" s="153">
        <v>0.56999999999999995</v>
      </c>
      <c r="M6" s="154">
        <v>0.42</v>
      </c>
      <c r="N6" s="154">
        <v>0.87</v>
      </c>
      <c r="O6" s="303">
        <v>0.37</v>
      </c>
      <c r="P6" s="304">
        <v>0.49</v>
      </c>
      <c r="Q6" s="303">
        <v>0.65</v>
      </c>
      <c r="R6" s="304">
        <v>0.67500000000000004</v>
      </c>
      <c r="S6" s="303">
        <v>0.69</v>
      </c>
      <c r="T6" s="304">
        <v>0.68500000000000005</v>
      </c>
      <c r="U6" s="303">
        <v>0.56999999999999995</v>
      </c>
      <c r="V6" s="304">
        <v>0.56999999999999995</v>
      </c>
      <c r="W6" s="303">
        <v>0.68</v>
      </c>
      <c r="X6" s="305">
        <v>0.68</v>
      </c>
      <c r="Y6" s="303">
        <v>0.88</v>
      </c>
      <c r="Z6" s="304">
        <v>0.85499999999999998</v>
      </c>
    </row>
    <row r="7" spans="1:34" x14ac:dyDescent="0.25">
      <c r="A7" s="343"/>
      <c r="B7" s="302" t="s">
        <v>13</v>
      </c>
      <c r="C7" s="154">
        <v>7.2499999999999995E-2</v>
      </c>
      <c r="D7" s="27" t="s">
        <v>11</v>
      </c>
      <c r="E7" s="28">
        <v>0.1467</v>
      </c>
      <c r="F7" s="27" t="s">
        <v>11</v>
      </c>
      <c r="G7" s="26">
        <v>0.22</v>
      </c>
      <c r="H7" s="27" t="s">
        <v>11</v>
      </c>
      <c r="I7" s="26">
        <v>0.29830000000000001</v>
      </c>
      <c r="J7" s="151" t="s">
        <v>11</v>
      </c>
      <c r="K7" s="152">
        <v>0.37580000000000002</v>
      </c>
      <c r="L7" s="153" t="s">
        <v>11</v>
      </c>
      <c r="M7" s="154">
        <v>0.47710000000000002</v>
      </c>
      <c r="N7" s="27" t="s">
        <v>11</v>
      </c>
      <c r="O7" s="303">
        <v>0.5333</v>
      </c>
      <c r="P7" s="304" t="s">
        <v>11</v>
      </c>
      <c r="Q7" s="303">
        <v>0.61250000000000004</v>
      </c>
      <c r="R7" s="304" t="s">
        <v>11</v>
      </c>
      <c r="S7" s="303">
        <v>0.59619999999999995</v>
      </c>
      <c r="T7" s="304" t="s">
        <v>11</v>
      </c>
      <c r="U7" s="303">
        <v>0.63639999999999997</v>
      </c>
      <c r="V7" s="304" t="s">
        <v>11</v>
      </c>
      <c r="W7" s="303">
        <v>0.67679999999999996</v>
      </c>
      <c r="X7" s="305" t="s">
        <v>11</v>
      </c>
      <c r="Y7" s="303">
        <v>0.98609999999999998</v>
      </c>
      <c r="Z7" s="304" t="s">
        <v>11</v>
      </c>
    </row>
    <row r="8" spans="1:34" x14ac:dyDescent="0.25">
      <c r="A8" s="344"/>
      <c r="B8" s="306" t="s">
        <v>14</v>
      </c>
      <c r="C8" s="181">
        <v>7.6100000000000001E-2</v>
      </c>
      <c r="D8" s="30">
        <v>8.43E-2</v>
      </c>
      <c r="E8" s="31">
        <v>0.1638</v>
      </c>
      <c r="F8" s="32">
        <v>0.17119999999999999</v>
      </c>
      <c r="G8" s="31">
        <v>0.2429</v>
      </c>
      <c r="H8" s="32">
        <v>0.24590000000000001</v>
      </c>
      <c r="I8" s="24">
        <v>0.32219999999999999</v>
      </c>
      <c r="J8" s="147">
        <v>0.36599999999999999</v>
      </c>
      <c r="K8" s="155">
        <v>0.42130000000000001</v>
      </c>
      <c r="L8" s="156">
        <v>0.55110000000000003</v>
      </c>
      <c r="M8" s="150">
        <v>0.52249999999999996</v>
      </c>
      <c r="N8" s="25">
        <v>0.78080000000000005</v>
      </c>
      <c r="O8" s="24">
        <v>0.57120000000000004</v>
      </c>
      <c r="P8" s="25">
        <v>0.63939999999999997</v>
      </c>
      <c r="Q8" s="24">
        <v>0.67030000000000001</v>
      </c>
      <c r="R8" s="25">
        <v>0.69899999999999995</v>
      </c>
      <c r="S8" s="24">
        <v>0.73780000000000001</v>
      </c>
      <c r="T8" s="25">
        <v>0.75139999999999996</v>
      </c>
      <c r="U8" s="24">
        <v>0.78810000000000002</v>
      </c>
      <c r="V8" s="25">
        <v>0.8206</v>
      </c>
      <c r="W8" s="25">
        <v>0.83930000000000005</v>
      </c>
      <c r="X8" s="25">
        <v>0.83789999999999998</v>
      </c>
      <c r="Y8" s="24">
        <v>0.96630000000000005</v>
      </c>
      <c r="Z8" s="25">
        <v>0.92749999999999999</v>
      </c>
      <c r="AB8" s="83"/>
    </row>
    <row r="9" spans="1:34" x14ac:dyDescent="0.25">
      <c r="A9" s="261" t="s">
        <v>15</v>
      </c>
      <c r="B9" s="300"/>
      <c r="C9" s="150">
        <v>8.3299999999999999E-2</v>
      </c>
      <c r="D9" s="33">
        <v>0</v>
      </c>
      <c r="E9" s="24">
        <v>0.16669999999999999</v>
      </c>
      <c r="F9" s="33">
        <v>0.2</v>
      </c>
      <c r="G9" s="24">
        <v>0.25</v>
      </c>
      <c r="H9" s="25">
        <v>0.4</v>
      </c>
      <c r="I9" s="24">
        <v>0.30559999999999998</v>
      </c>
      <c r="J9" s="157">
        <v>0.5</v>
      </c>
      <c r="K9" s="155">
        <v>0.36109999999999998</v>
      </c>
      <c r="L9" s="156">
        <v>0.6</v>
      </c>
      <c r="M9" s="150">
        <v>0.5</v>
      </c>
      <c r="N9" s="25">
        <v>0.8</v>
      </c>
      <c r="O9" s="24">
        <v>0.55559999999999998</v>
      </c>
      <c r="P9" s="25">
        <v>0.9</v>
      </c>
      <c r="Q9" s="24">
        <v>0.61109999999999998</v>
      </c>
      <c r="R9" s="25">
        <v>0.76429999999999998</v>
      </c>
      <c r="S9" s="24">
        <v>0.72799999999999998</v>
      </c>
      <c r="T9" s="25">
        <v>0.86429999999999996</v>
      </c>
      <c r="U9" s="24">
        <v>0.78359999999999996</v>
      </c>
      <c r="V9" s="25">
        <v>0.86429999999999996</v>
      </c>
      <c r="W9" s="24">
        <v>0.83909999999999996</v>
      </c>
      <c r="X9" s="25">
        <v>0.86429999999999996</v>
      </c>
      <c r="Y9" s="24">
        <v>1</v>
      </c>
      <c r="Z9" s="25">
        <v>1</v>
      </c>
    </row>
    <row r="10" spans="1:34" x14ac:dyDescent="0.25">
      <c r="A10" s="34" t="s">
        <v>16</v>
      </c>
      <c r="B10" s="307"/>
      <c r="C10" s="308">
        <v>7.5999999999999998E-2</v>
      </c>
      <c r="D10" s="159">
        <v>9.1700000000000004E-2</v>
      </c>
      <c r="E10" s="158">
        <v>0.18279999999999999</v>
      </c>
      <c r="F10" s="159">
        <v>0.18110000000000001</v>
      </c>
      <c r="G10" s="158">
        <v>0.2044</v>
      </c>
      <c r="H10" s="159">
        <v>0.27779999999999999</v>
      </c>
      <c r="I10" s="158">
        <v>0.36099999999999999</v>
      </c>
      <c r="J10" s="160">
        <v>0.3896</v>
      </c>
      <c r="K10" s="161">
        <v>0.46039999999999998</v>
      </c>
      <c r="L10" s="162">
        <v>0.45829999999999999</v>
      </c>
      <c r="M10" s="163">
        <v>0.56020000000000003</v>
      </c>
      <c r="N10" s="36">
        <v>0.53759999999999997</v>
      </c>
      <c r="O10" s="35">
        <v>0.67759999999999998</v>
      </c>
      <c r="P10" s="36">
        <v>0.61919999999999997</v>
      </c>
      <c r="Q10" s="35">
        <v>0.77559999999999996</v>
      </c>
      <c r="R10" s="36">
        <v>0.72350000000000003</v>
      </c>
      <c r="S10" s="35">
        <v>0.91820000000000002</v>
      </c>
      <c r="T10" s="36">
        <v>0.84289999999999998</v>
      </c>
      <c r="U10" s="35">
        <v>0.91620000000000001</v>
      </c>
      <c r="V10" s="36">
        <v>0.88890000000000002</v>
      </c>
      <c r="W10" s="24">
        <v>0.96919999999999995</v>
      </c>
      <c r="X10" s="25">
        <v>0.94869999999999999</v>
      </c>
      <c r="Y10" s="35">
        <v>1</v>
      </c>
      <c r="Z10" s="36">
        <v>1</v>
      </c>
    </row>
    <row r="11" spans="1:34" x14ac:dyDescent="0.25">
      <c r="A11" s="34" t="s">
        <v>17</v>
      </c>
      <c r="B11" s="307"/>
      <c r="C11" s="163">
        <v>6.8199999999999997E-2</v>
      </c>
      <c r="D11" s="36">
        <v>7.5600000000000001E-2</v>
      </c>
      <c r="E11" s="35">
        <v>0.1288</v>
      </c>
      <c r="F11" s="36">
        <v>0.14219999999999999</v>
      </c>
      <c r="G11" s="35">
        <v>0.2321</v>
      </c>
      <c r="H11" s="36">
        <v>0.24310000000000001</v>
      </c>
      <c r="I11" s="35">
        <v>0.30690000000000001</v>
      </c>
      <c r="J11" s="164">
        <v>0.30980000000000002</v>
      </c>
      <c r="K11" s="155">
        <v>0.43430000000000002</v>
      </c>
      <c r="L11" s="156">
        <v>0.39029999999999998</v>
      </c>
      <c r="M11" s="150">
        <v>0.52969999999999995</v>
      </c>
      <c r="N11" s="25">
        <v>0.50619999999999998</v>
      </c>
      <c r="O11" s="24">
        <v>0.81540000000000001</v>
      </c>
      <c r="P11" s="25">
        <v>0.5968</v>
      </c>
      <c r="Q11" s="24">
        <v>0.88949999999999996</v>
      </c>
      <c r="R11" s="25">
        <v>0.68230000000000002</v>
      </c>
      <c r="S11" s="24">
        <v>0.79820000000000002</v>
      </c>
      <c r="T11" s="25">
        <v>0.7681</v>
      </c>
      <c r="U11" s="24">
        <v>0.88500000000000001</v>
      </c>
      <c r="V11" s="25">
        <v>0.84699999999999998</v>
      </c>
      <c r="W11" s="24">
        <v>0.92530000000000001</v>
      </c>
      <c r="X11" s="25">
        <v>0.93500000000000005</v>
      </c>
      <c r="Y11" s="24">
        <v>1</v>
      </c>
      <c r="Z11" s="25">
        <v>0.99519999999999997</v>
      </c>
    </row>
    <row r="12" spans="1:34" x14ac:dyDescent="0.25">
      <c r="A12" s="342" t="s">
        <v>18</v>
      </c>
      <c r="B12" s="309" t="s">
        <v>18</v>
      </c>
      <c r="C12" s="43" t="s">
        <v>11</v>
      </c>
      <c r="D12" s="39" t="s">
        <v>11</v>
      </c>
      <c r="E12" s="38" t="s">
        <v>11</v>
      </c>
      <c r="F12" s="39" t="s">
        <v>11</v>
      </c>
      <c r="G12" s="38" t="s">
        <v>11</v>
      </c>
      <c r="H12" s="40" t="s">
        <v>11</v>
      </c>
      <c r="I12" s="38" t="s">
        <v>11</v>
      </c>
      <c r="J12" s="165" t="s">
        <v>11</v>
      </c>
      <c r="K12" s="166" t="s">
        <v>11</v>
      </c>
      <c r="L12" s="42" t="s">
        <v>11</v>
      </c>
      <c r="M12" s="166" t="s">
        <v>11</v>
      </c>
      <c r="N12" s="42" t="s">
        <v>11</v>
      </c>
      <c r="O12" s="166" t="s">
        <v>11</v>
      </c>
      <c r="P12" s="42" t="s">
        <v>11</v>
      </c>
      <c r="Q12" s="166" t="s">
        <v>11</v>
      </c>
      <c r="R12" s="42" t="s">
        <v>11</v>
      </c>
      <c r="S12" s="166" t="s">
        <v>11</v>
      </c>
      <c r="T12" s="42" t="s">
        <v>11</v>
      </c>
      <c r="U12" s="166" t="s">
        <v>11</v>
      </c>
      <c r="V12" s="42" t="s">
        <v>11</v>
      </c>
      <c r="W12" s="166" t="s">
        <v>11</v>
      </c>
      <c r="X12" s="42" t="s">
        <v>11</v>
      </c>
      <c r="Y12" s="166" t="s">
        <v>11</v>
      </c>
      <c r="Z12" s="42" t="s">
        <v>11</v>
      </c>
    </row>
    <row r="13" spans="1:34" x14ac:dyDescent="0.25">
      <c r="A13" s="343"/>
      <c r="B13" s="37" t="s">
        <v>19</v>
      </c>
      <c r="C13" s="38">
        <v>0</v>
      </c>
      <c r="D13" s="40">
        <v>0</v>
      </c>
      <c r="E13" s="38">
        <v>0.16600000000000001</v>
      </c>
      <c r="F13" s="40">
        <v>8.3000000000000004E-2</v>
      </c>
      <c r="G13" s="38">
        <v>0.249</v>
      </c>
      <c r="H13" s="40">
        <v>0.28449999999999998</v>
      </c>
      <c r="I13" s="26">
        <v>0.33200000000000002</v>
      </c>
      <c r="J13" s="151">
        <v>0.32600000000000001</v>
      </c>
      <c r="K13" s="152">
        <v>0.41499999999999998</v>
      </c>
      <c r="L13" s="153">
        <v>0.36749999999999999</v>
      </c>
      <c r="M13" s="152">
        <v>0.498</v>
      </c>
      <c r="N13" s="153">
        <v>0.51900000000000002</v>
      </c>
      <c r="O13" s="26">
        <v>0.58099999999999996</v>
      </c>
      <c r="P13" s="27">
        <v>0.5605</v>
      </c>
      <c r="Q13" s="26">
        <v>0.42049999999999998</v>
      </c>
      <c r="R13" s="27">
        <v>0.64200000000000002</v>
      </c>
      <c r="S13" s="26">
        <v>0.76659999999999995</v>
      </c>
      <c r="T13" s="27">
        <v>0.72350000000000003</v>
      </c>
      <c r="U13" s="26">
        <v>0.86670000000000003</v>
      </c>
      <c r="V13" s="27">
        <v>0.81499999999999995</v>
      </c>
      <c r="W13" s="26">
        <v>0.9</v>
      </c>
      <c r="X13" s="27">
        <v>0.90649999999999997</v>
      </c>
      <c r="Y13" s="26">
        <v>1</v>
      </c>
      <c r="Z13" s="27">
        <v>1</v>
      </c>
    </row>
    <row r="14" spans="1:34" x14ac:dyDescent="0.25">
      <c r="A14" s="343"/>
      <c r="B14" s="37" t="s">
        <v>20</v>
      </c>
      <c r="C14" s="38">
        <v>1.67E-2</v>
      </c>
      <c r="D14" s="40">
        <v>2.3900000000000001E-2</v>
      </c>
      <c r="E14" s="26">
        <v>9.8500000000000004E-2</v>
      </c>
      <c r="F14" s="27">
        <v>9.8299999999999998E-2</v>
      </c>
      <c r="G14" s="26">
        <v>0.15429999999999999</v>
      </c>
      <c r="H14" s="27">
        <v>0.27050000000000002</v>
      </c>
      <c r="I14" s="26">
        <v>0.18959999999999999</v>
      </c>
      <c r="J14" s="151">
        <v>0.28939999999999999</v>
      </c>
      <c r="K14" s="167">
        <v>0.2697</v>
      </c>
      <c r="L14" s="168">
        <v>0.3826</v>
      </c>
      <c r="M14" s="167">
        <v>0.313</v>
      </c>
      <c r="N14" s="168">
        <v>0.46650000000000003</v>
      </c>
      <c r="O14" s="26">
        <v>0.35289999999999999</v>
      </c>
      <c r="P14" s="27">
        <v>0.55000000000000004</v>
      </c>
      <c r="Q14" s="26">
        <v>0.65849999999999997</v>
      </c>
      <c r="R14" s="27">
        <v>0.66500000000000004</v>
      </c>
      <c r="S14" s="26">
        <v>0.7319</v>
      </c>
      <c r="T14" s="27">
        <v>0.71699999999999997</v>
      </c>
      <c r="U14" s="26">
        <v>0.80300000000000005</v>
      </c>
      <c r="V14" s="27">
        <v>0.7198</v>
      </c>
      <c r="W14" s="26">
        <v>0.88439999999999996</v>
      </c>
      <c r="X14" s="27">
        <v>0.78369999999999995</v>
      </c>
      <c r="Y14" s="26">
        <v>0.99719999999999998</v>
      </c>
      <c r="Z14" s="27">
        <v>0.97570000000000001</v>
      </c>
    </row>
    <row r="15" spans="1:34" s="18" customFormat="1" x14ac:dyDescent="0.25">
      <c r="A15" s="344"/>
      <c r="B15" s="29" t="s">
        <v>21</v>
      </c>
      <c r="C15" s="30">
        <f>+AVERAGE(C13:C14)</f>
        <v>8.3499999999999998E-3</v>
      </c>
      <c r="D15" s="30">
        <f>+AVERAGE(D13:D14)</f>
        <v>1.1950000000000001E-2</v>
      </c>
      <c r="E15" s="30">
        <v>0.13220000000000001</v>
      </c>
      <c r="F15" s="30">
        <f>+AVERAGE(F13:F14)</f>
        <v>9.0650000000000008E-2</v>
      </c>
      <c r="G15" s="30">
        <v>0.2016</v>
      </c>
      <c r="H15" s="30">
        <v>0.27750000000000002</v>
      </c>
      <c r="I15" s="30">
        <v>0.26079999999999998</v>
      </c>
      <c r="J15" s="169">
        <v>0.30769999999999997</v>
      </c>
      <c r="K15" s="170">
        <v>0.34239999999999998</v>
      </c>
      <c r="L15" s="171">
        <v>0.375</v>
      </c>
      <c r="M15" s="170">
        <v>0.40550000000000003</v>
      </c>
      <c r="N15" s="171">
        <v>0.49280000000000002</v>
      </c>
      <c r="O15" s="30">
        <v>0.46689999999999998</v>
      </c>
      <c r="P15" s="30">
        <v>0.55530000000000002</v>
      </c>
      <c r="Q15" s="172">
        <v>0.53949999999999998</v>
      </c>
      <c r="R15" s="172">
        <v>0.65349999999999997</v>
      </c>
      <c r="S15" s="172">
        <v>0.74929999999999997</v>
      </c>
      <c r="T15" s="172">
        <v>0.72019999999999995</v>
      </c>
      <c r="U15" s="172">
        <v>0.83489999999999998</v>
      </c>
      <c r="V15" s="172">
        <v>0.76739999999999997</v>
      </c>
      <c r="W15" s="172">
        <v>0.89219999999999999</v>
      </c>
      <c r="X15" s="172">
        <v>0.84509999999999996</v>
      </c>
      <c r="Y15" s="172">
        <v>0.99860000000000004</v>
      </c>
      <c r="Z15" s="172">
        <v>0.98780000000000001</v>
      </c>
    </row>
    <row r="16" spans="1:34" x14ac:dyDescent="0.25">
      <c r="A16" s="342" t="s">
        <v>22</v>
      </c>
      <c r="B16" s="309" t="s">
        <v>23</v>
      </c>
      <c r="C16" s="43">
        <v>8.3299999999999999E-2</v>
      </c>
      <c r="D16" s="39" t="s">
        <v>11</v>
      </c>
      <c r="E16" s="38">
        <v>0.16669999999999999</v>
      </c>
      <c r="F16" s="39" t="s">
        <v>11</v>
      </c>
      <c r="G16" s="38">
        <v>0.36330000000000001</v>
      </c>
      <c r="H16" s="39" t="s">
        <v>11</v>
      </c>
      <c r="I16" s="38">
        <v>0.33333000000000002</v>
      </c>
      <c r="J16" s="173" t="s">
        <v>11</v>
      </c>
      <c r="K16" s="166">
        <v>0.41670000000000001</v>
      </c>
      <c r="L16" s="174" t="s">
        <v>11</v>
      </c>
      <c r="M16" s="43">
        <v>0.47332999999999997</v>
      </c>
      <c r="N16" s="174" t="s">
        <v>11</v>
      </c>
      <c r="O16" s="38">
        <v>0.58330000000000004</v>
      </c>
      <c r="P16" s="174" t="s">
        <v>11</v>
      </c>
      <c r="Q16" s="38">
        <v>0.6666666</v>
      </c>
      <c r="R16" s="174" t="s">
        <v>11</v>
      </c>
      <c r="S16" s="38">
        <v>0.80667</v>
      </c>
      <c r="T16" s="174" t="s">
        <v>11</v>
      </c>
      <c r="U16" s="38">
        <v>0.83330000000000004</v>
      </c>
      <c r="V16" s="174" t="s">
        <v>11</v>
      </c>
      <c r="W16" s="38">
        <v>0.91300000000000003</v>
      </c>
      <c r="X16" s="174" t="s">
        <v>11</v>
      </c>
      <c r="Y16" s="38">
        <v>0.98330300000000004</v>
      </c>
      <c r="Z16" s="174" t="s">
        <v>11</v>
      </c>
      <c r="AH16" s="292" t="s">
        <v>1031</v>
      </c>
    </row>
    <row r="17" spans="1:26" x14ac:dyDescent="0.25">
      <c r="A17" s="343"/>
      <c r="B17" s="309" t="s">
        <v>24</v>
      </c>
      <c r="C17" s="43">
        <v>0.2034</v>
      </c>
      <c r="D17" s="40">
        <v>2.9499999999999998E-2</v>
      </c>
      <c r="E17" s="38">
        <v>0.26740000000000003</v>
      </c>
      <c r="F17" s="40">
        <v>7.4300000000000005E-2</v>
      </c>
      <c r="G17" s="38">
        <v>0.3417</v>
      </c>
      <c r="H17" s="40">
        <v>0.2331</v>
      </c>
      <c r="I17" s="38">
        <v>0.41631600000000002</v>
      </c>
      <c r="J17" s="165">
        <v>0.219307</v>
      </c>
      <c r="K17" s="166">
        <v>0.48859999999999998</v>
      </c>
      <c r="L17" s="42">
        <v>0.30420000000000003</v>
      </c>
      <c r="M17" s="43">
        <v>0.54895000000000005</v>
      </c>
      <c r="N17" s="42">
        <v>0.46855000000000002</v>
      </c>
      <c r="O17" s="38">
        <v>0.61919999999999997</v>
      </c>
      <c r="P17" s="40">
        <v>0.4582</v>
      </c>
      <c r="Q17" s="38">
        <v>0.63390800000000003</v>
      </c>
      <c r="R17" s="40">
        <v>0.54036899999999999</v>
      </c>
      <c r="S17" s="38">
        <v>0.75563000000000002</v>
      </c>
      <c r="T17" s="40">
        <v>0.70677999999999996</v>
      </c>
      <c r="U17" s="38">
        <v>0.81459999999999999</v>
      </c>
      <c r="V17" s="40">
        <v>0.71809999999999996</v>
      </c>
      <c r="W17" s="38">
        <v>0.88619999999999999</v>
      </c>
      <c r="X17" s="40">
        <v>0.78449999999999998</v>
      </c>
      <c r="Y17" s="38">
        <v>0.97847799999999996</v>
      </c>
      <c r="Z17" s="40">
        <v>0.97606899999999996</v>
      </c>
    </row>
    <row r="18" spans="1:26" x14ac:dyDescent="0.25">
      <c r="A18" s="343"/>
      <c r="B18" s="309" t="s">
        <v>25</v>
      </c>
      <c r="C18" s="43">
        <v>7.6600000000000001E-2</v>
      </c>
      <c r="D18" s="40">
        <v>5.57E-2</v>
      </c>
      <c r="E18" s="38">
        <v>0.16550000000000001</v>
      </c>
      <c r="F18" s="40">
        <v>0.27879999999999999</v>
      </c>
      <c r="G18" s="38">
        <v>0.25609999999999999</v>
      </c>
      <c r="H18" s="40">
        <v>0.3367</v>
      </c>
      <c r="I18" s="38">
        <v>0.30399999999999999</v>
      </c>
      <c r="J18" s="165">
        <v>0.35699999999999998</v>
      </c>
      <c r="K18" s="166">
        <v>0.2036</v>
      </c>
      <c r="L18" s="42">
        <v>0.18690000000000001</v>
      </c>
      <c r="M18" s="43">
        <v>0.21995000000000001</v>
      </c>
      <c r="N18" s="42">
        <v>0.30854999999999999</v>
      </c>
      <c r="O18" s="38">
        <v>0.32650000000000001</v>
      </c>
      <c r="P18" s="40">
        <v>0.41010000000000002</v>
      </c>
      <c r="Q18" s="38">
        <v>0.40110000000000001</v>
      </c>
      <c r="R18" s="40">
        <v>0.35980400000000001</v>
      </c>
      <c r="S18" s="38">
        <v>0.55115000000000003</v>
      </c>
      <c r="T18" s="40">
        <v>0.67769999999999997</v>
      </c>
      <c r="U18" s="38">
        <v>0.65449999999999997</v>
      </c>
      <c r="V18" s="40">
        <v>0.84189999999999998</v>
      </c>
      <c r="W18" s="38">
        <v>0.91810000000000003</v>
      </c>
      <c r="X18" s="40">
        <v>0.94489999999999996</v>
      </c>
      <c r="Y18" s="38">
        <v>0.99795</v>
      </c>
      <c r="Z18" s="40">
        <v>1</v>
      </c>
    </row>
    <row r="19" spans="1:26" x14ac:dyDescent="0.25">
      <c r="A19" s="343"/>
      <c r="B19" s="309" t="s">
        <v>26</v>
      </c>
      <c r="C19" s="43">
        <v>7.8299999999999995E-2</v>
      </c>
      <c r="D19" s="41">
        <v>8.3299999999999999E-2</v>
      </c>
      <c r="E19" s="38">
        <v>0.13089999999999999</v>
      </c>
      <c r="F19" s="41">
        <v>0.19</v>
      </c>
      <c r="G19" s="38">
        <v>0.2036</v>
      </c>
      <c r="H19" s="41">
        <v>0.28199999999999997</v>
      </c>
      <c r="I19" s="38">
        <v>0.32140000000000002</v>
      </c>
      <c r="J19" s="165">
        <v>0.36065000000000003</v>
      </c>
      <c r="K19" s="166">
        <v>0.39600000000000002</v>
      </c>
      <c r="L19" s="175">
        <v>0.4375</v>
      </c>
      <c r="M19" s="43">
        <v>0.50049999999999994</v>
      </c>
      <c r="N19" s="175">
        <v>0.47099999999999997</v>
      </c>
      <c r="O19" s="38">
        <v>0.57989999999999997</v>
      </c>
      <c r="P19" s="41">
        <v>0.48330000000000001</v>
      </c>
      <c r="Q19" s="38">
        <v>0.670462</v>
      </c>
      <c r="R19" s="41">
        <v>0.60950000000000004</v>
      </c>
      <c r="S19" s="38">
        <v>0.76165000000000005</v>
      </c>
      <c r="T19" s="41">
        <v>0.94286000000000003</v>
      </c>
      <c r="U19" s="38">
        <v>0.84450000000000003</v>
      </c>
      <c r="V19" s="41">
        <v>0.77800000000000002</v>
      </c>
      <c r="W19" s="38">
        <v>0.87649999999999995</v>
      </c>
      <c r="X19" s="41">
        <v>0.8609</v>
      </c>
      <c r="Y19" s="38">
        <v>0.97468399999999999</v>
      </c>
      <c r="Z19" s="41">
        <v>0.96893200000000002</v>
      </c>
    </row>
    <row r="20" spans="1:26" x14ac:dyDescent="0.25">
      <c r="A20" s="343"/>
      <c r="B20" s="309" t="s">
        <v>27</v>
      </c>
      <c r="C20" s="43">
        <v>4.7399999999999998E-2</v>
      </c>
      <c r="D20" s="42">
        <v>8.3299999999999999E-2</v>
      </c>
      <c r="E20" s="43">
        <v>0.15040000000000001</v>
      </c>
      <c r="F20" s="40">
        <v>0.16420000000000001</v>
      </c>
      <c r="G20" s="38">
        <v>0.25530000000000003</v>
      </c>
      <c r="H20" s="40">
        <v>0.2455</v>
      </c>
      <c r="I20" s="38">
        <v>0.35083900000000001</v>
      </c>
      <c r="J20" s="176">
        <v>0.32916600000000001</v>
      </c>
      <c r="K20" s="166">
        <v>0.4531</v>
      </c>
      <c r="L20" s="42">
        <v>0.4133</v>
      </c>
      <c r="M20" s="43">
        <v>0.59765000000000001</v>
      </c>
      <c r="N20" s="42">
        <v>0.4985</v>
      </c>
      <c r="O20" s="38">
        <v>0.66120000000000001</v>
      </c>
      <c r="P20" s="40">
        <v>0.58260000000000001</v>
      </c>
      <c r="Q20" s="38">
        <v>0.749274</v>
      </c>
      <c r="R20" s="40">
        <v>0.66778300000000002</v>
      </c>
      <c r="S20" s="38">
        <v>0.84611000000000003</v>
      </c>
      <c r="T20" s="40">
        <v>0.75270000000000004</v>
      </c>
      <c r="U20" s="38">
        <v>0.89229999999999998</v>
      </c>
      <c r="V20" s="40">
        <v>0.83720000000000006</v>
      </c>
      <c r="W20" s="38">
        <v>0.97350000000000003</v>
      </c>
      <c r="X20" s="40">
        <v>0.95650000000000002</v>
      </c>
      <c r="Y20" s="38">
        <v>1</v>
      </c>
      <c r="Z20" s="40">
        <v>0.99945300000000004</v>
      </c>
    </row>
    <row r="21" spans="1:26" x14ac:dyDescent="0.25">
      <c r="A21" s="343"/>
      <c r="B21" s="310" t="s">
        <v>28</v>
      </c>
      <c r="C21" s="46">
        <v>0.08</v>
      </c>
      <c r="D21" s="45" t="s">
        <v>11</v>
      </c>
      <c r="E21" s="46">
        <v>0.16500000000000001</v>
      </c>
      <c r="F21" s="39" t="s">
        <v>11</v>
      </c>
      <c r="G21" s="44">
        <v>0.246</v>
      </c>
      <c r="H21" s="39" t="s">
        <v>11</v>
      </c>
      <c r="I21" s="38">
        <v>0.32700000000000001</v>
      </c>
      <c r="J21" s="173" t="s">
        <v>11</v>
      </c>
      <c r="K21" s="177">
        <v>0.41</v>
      </c>
      <c r="L21" s="174" t="s">
        <v>11</v>
      </c>
      <c r="M21" s="178">
        <v>0.49299999999999999</v>
      </c>
      <c r="N21" s="174" t="s">
        <v>11</v>
      </c>
      <c r="O21" s="44">
        <v>0.57689999999999997</v>
      </c>
      <c r="P21" s="174" t="s">
        <v>11</v>
      </c>
      <c r="Q21" s="44">
        <v>0.66010000000000002</v>
      </c>
      <c r="R21" s="174" t="s">
        <v>11</v>
      </c>
      <c r="S21" s="44">
        <v>0.74319999999999997</v>
      </c>
      <c r="T21" s="174" t="s">
        <v>11</v>
      </c>
      <c r="U21" s="44">
        <v>0.82599999999999996</v>
      </c>
      <c r="V21" s="174" t="s">
        <v>11</v>
      </c>
      <c r="W21" s="38">
        <v>0.90569999999999995</v>
      </c>
      <c r="X21" s="174" t="s">
        <v>11</v>
      </c>
      <c r="Y21" s="44">
        <v>0.992649</v>
      </c>
      <c r="Z21" s="174" t="s">
        <v>11</v>
      </c>
    </row>
    <row r="22" spans="1:26" s="18" customFormat="1" x14ac:dyDescent="0.25">
      <c r="A22" s="344"/>
      <c r="B22" s="306" t="s">
        <v>29</v>
      </c>
      <c r="C22" s="181">
        <v>9.7799999999999998E-2</v>
      </c>
      <c r="D22" s="30">
        <v>6.3E-2</v>
      </c>
      <c r="E22" s="30">
        <v>0.17430000000000001</v>
      </c>
      <c r="F22" s="30">
        <v>0.17680000000000001</v>
      </c>
      <c r="G22" s="30">
        <v>0.22770000000000001</v>
      </c>
      <c r="H22" s="30">
        <v>0.27429999999999999</v>
      </c>
      <c r="I22" s="30">
        <v>0.34209099999999998</v>
      </c>
      <c r="J22" s="169">
        <v>0.31652999999999998</v>
      </c>
      <c r="K22" s="179">
        <v>0.3947</v>
      </c>
      <c r="L22" s="180">
        <v>0.33550000000000002</v>
      </c>
      <c r="M22" s="181">
        <v>0.47222999999999998</v>
      </c>
      <c r="N22" s="180">
        <v>0.43657000000000001</v>
      </c>
      <c r="O22" s="30">
        <v>0.55779999999999996</v>
      </c>
      <c r="P22" s="30">
        <v>0.48349999999999999</v>
      </c>
      <c r="Q22" s="30">
        <f>AVERAGE(Q16:Q21)</f>
        <v>0.6302517666666666</v>
      </c>
      <c r="R22" s="30">
        <f>AVERAGE(R16:R21)</f>
        <v>0.54436400000000007</v>
      </c>
      <c r="S22" s="30">
        <v>0.74407000000000001</v>
      </c>
      <c r="T22" s="30">
        <v>0.76983000000000001</v>
      </c>
      <c r="U22" s="30">
        <v>0.81089999999999995</v>
      </c>
      <c r="V22" s="30">
        <v>0.79379999999999995</v>
      </c>
      <c r="W22" s="172">
        <v>0.91220000000000001</v>
      </c>
      <c r="X22" s="172">
        <v>0.88670000000000004</v>
      </c>
      <c r="Y22" s="30">
        <v>0.98784300000000003</v>
      </c>
      <c r="Z22" s="30">
        <v>0.98611300000000002</v>
      </c>
    </row>
    <row r="23" spans="1:26" s="18" customFormat="1" x14ac:dyDescent="0.25">
      <c r="A23" s="345" t="s">
        <v>1595</v>
      </c>
      <c r="B23" s="309" t="s">
        <v>30</v>
      </c>
      <c r="C23" s="43" t="s">
        <v>11</v>
      </c>
      <c r="D23" s="40">
        <v>0.04</v>
      </c>
      <c r="E23" s="38" t="s">
        <v>11</v>
      </c>
      <c r="F23" s="38">
        <v>0.21</v>
      </c>
      <c r="G23" s="38" t="s">
        <v>11</v>
      </c>
      <c r="H23" s="40">
        <v>0.28870000000000001</v>
      </c>
      <c r="I23" s="28" t="s">
        <v>11</v>
      </c>
      <c r="J23" s="182">
        <v>0.36249999999999999</v>
      </c>
      <c r="K23" s="178" t="s">
        <v>11</v>
      </c>
      <c r="L23" s="183">
        <v>0.49130000000000001</v>
      </c>
      <c r="M23" s="178">
        <v>0.53</v>
      </c>
      <c r="N23" s="183">
        <v>0.50190000000000001</v>
      </c>
      <c r="O23" s="311">
        <v>0.53</v>
      </c>
      <c r="P23" s="312">
        <v>0.68630000000000002</v>
      </c>
      <c r="Q23" s="184">
        <v>0.53</v>
      </c>
      <c r="R23" s="185">
        <v>0.82250000000000001</v>
      </c>
      <c r="S23" s="184">
        <v>0.53</v>
      </c>
      <c r="T23" s="185">
        <v>0.72599999999999998</v>
      </c>
      <c r="U23" s="184">
        <v>0.53</v>
      </c>
      <c r="V23" s="185">
        <v>0.76029999999999998</v>
      </c>
      <c r="W23" s="184">
        <v>0.53</v>
      </c>
      <c r="X23" s="40">
        <v>0.79259999999999997</v>
      </c>
      <c r="Y23" s="184">
        <v>1</v>
      </c>
      <c r="Z23" s="185">
        <v>1</v>
      </c>
    </row>
    <row r="24" spans="1:26" x14ac:dyDescent="0.25">
      <c r="A24" s="346"/>
      <c r="B24" s="309" t="s">
        <v>31</v>
      </c>
      <c r="C24" s="43">
        <v>8.2799999999999999E-2</v>
      </c>
      <c r="D24" s="40">
        <v>8.3299999999999999E-2</v>
      </c>
      <c r="E24" s="38">
        <v>0.15629999999999999</v>
      </c>
      <c r="F24" s="40">
        <v>0.16669999999999999</v>
      </c>
      <c r="G24" s="38">
        <v>0.2495</v>
      </c>
      <c r="H24" s="40">
        <v>0.25</v>
      </c>
      <c r="I24" s="38">
        <v>0.32890000000000003</v>
      </c>
      <c r="J24" s="165">
        <v>0.33329999999999999</v>
      </c>
      <c r="K24" s="166">
        <v>0.4163</v>
      </c>
      <c r="L24" s="42">
        <v>0.41670000000000001</v>
      </c>
      <c r="M24" s="43">
        <v>0.51800000000000002</v>
      </c>
      <c r="N24" s="40">
        <v>0.75349999999999995</v>
      </c>
      <c r="O24" s="38">
        <v>0.57630000000000003</v>
      </c>
      <c r="P24" s="40">
        <v>0.58330000000000004</v>
      </c>
      <c r="Q24" s="184">
        <v>0.67179999999999995</v>
      </c>
      <c r="R24" s="185">
        <v>0.66669999999999996</v>
      </c>
      <c r="S24" s="184">
        <v>0.69340000000000002</v>
      </c>
      <c r="T24" s="185">
        <v>0.75</v>
      </c>
      <c r="U24" s="184">
        <v>0.73570000000000002</v>
      </c>
      <c r="V24" s="185">
        <v>0.83330000000000004</v>
      </c>
      <c r="W24" s="184">
        <v>0.80720000000000003</v>
      </c>
      <c r="X24" s="185">
        <v>0.91669999999999996</v>
      </c>
      <c r="Y24" s="184">
        <v>1</v>
      </c>
      <c r="Z24" s="185">
        <v>1</v>
      </c>
    </row>
    <row r="25" spans="1:26" x14ac:dyDescent="0.25">
      <c r="A25" s="346"/>
      <c r="B25" s="313" t="s">
        <v>1032</v>
      </c>
      <c r="C25" s="43">
        <v>8.3299999999999999E-2</v>
      </c>
      <c r="D25" s="48" t="s">
        <v>11</v>
      </c>
      <c r="E25" s="38">
        <v>0.16669999999999999</v>
      </c>
      <c r="F25" s="48" t="s">
        <v>11</v>
      </c>
      <c r="G25" s="38">
        <v>0.25</v>
      </c>
      <c r="H25" s="48" t="s">
        <v>11</v>
      </c>
      <c r="I25" s="38">
        <v>0.33</v>
      </c>
      <c r="J25" s="186" t="s">
        <v>11</v>
      </c>
      <c r="K25" s="166">
        <v>0.41649999999999998</v>
      </c>
      <c r="L25" s="187" t="s">
        <v>11</v>
      </c>
      <c r="M25" s="43">
        <v>0.49980000000000002</v>
      </c>
      <c r="N25" s="48" t="s">
        <v>11</v>
      </c>
      <c r="O25" s="38">
        <v>0.58299999999999996</v>
      </c>
      <c r="P25" s="48" t="s">
        <v>784</v>
      </c>
      <c r="Q25" s="185">
        <v>0.66669999999999996</v>
      </c>
      <c r="R25" s="48" t="s">
        <v>784</v>
      </c>
      <c r="S25" s="185">
        <v>0.75</v>
      </c>
      <c r="T25" s="40" t="s">
        <v>784</v>
      </c>
      <c r="U25" s="185">
        <v>0.83289999999999997</v>
      </c>
      <c r="V25" s="40" t="s">
        <v>784</v>
      </c>
      <c r="W25" s="188">
        <v>0.91649999999999998</v>
      </c>
      <c r="X25" s="189" t="s">
        <v>784</v>
      </c>
      <c r="Y25" s="185">
        <v>1</v>
      </c>
      <c r="Z25" s="40" t="s">
        <v>784</v>
      </c>
    </row>
    <row r="26" spans="1:26" s="18" customFormat="1" x14ac:dyDescent="0.25">
      <c r="A26" s="355"/>
      <c r="B26" s="306" t="s">
        <v>2095</v>
      </c>
      <c r="C26" s="181">
        <v>6.8599999999999994E-2</v>
      </c>
      <c r="D26" s="30">
        <v>8.3299999999999999E-2</v>
      </c>
      <c r="E26" s="30">
        <v>0.1777</v>
      </c>
      <c r="F26" s="30">
        <v>0.16669999999999999</v>
      </c>
      <c r="G26" s="30">
        <v>0.24979999999999999</v>
      </c>
      <c r="H26" s="30">
        <v>0.26290000000000002</v>
      </c>
      <c r="I26" s="30">
        <v>0.33110000000000001</v>
      </c>
      <c r="J26" s="169">
        <v>0.34789999999999999</v>
      </c>
      <c r="K26" s="179">
        <v>0.41639999999999999</v>
      </c>
      <c r="L26" s="180">
        <v>0.45400000000000001</v>
      </c>
      <c r="M26" s="179">
        <v>0.51590000000000003</v>
      </c>
      <c r="N26" s="180">
        <v>0.62770000000000004</v>
      </c>
      <c r="O26" s="30">
        <v>0.56310000000000004</v>
      </c>
      <c r="P26" s="30">
        <v>0.63480000000000003</v>
      </c>
      <c r="Q26" s="172">
        <v>0.60089999999999999</v>
      </c>
      <c r="R26" s="172">
        <v>0.71860000000000002</v>
      </c>
      <c r="S26" s="30">
        <f t="shared" ref="S26:Z26" si="0">AVERAGE(S23:S25)</f>
        <v>0.65780000000000005</v>
      </c>
      <c r="T26" s="30">
        <f t="shared" si="0"/>
        <v>0.73799999999999999</v>
      </c>
      <c r="U26" s="30">
        <f t="shared" si="0"/>
        <v>0.69953333333333345</v>
      </c>
      <c r="V26" s="30">
        <f t="shared" si="0"/>
        <v>0.79679999999999995</v>
      </c>
      <c r="W26" s="30">
        <f t="shared" si="0"/>
        <v>0.75123333333333342</v>
      </c>
      <c r="X26" s="30">
        <f t="shared" si="0"/>
        <v>0.85464999999999991</v>
      </c>
      <c r="Y26" s="30">
        <f t="shared" si="0"/>
        <v>1</v>
      </c>
      <c r="Z26" s="30">
        <f t="shared" si="0"/>
        <v>1</v>
      </c>
    </row>
    <row r="27" spans="1:26" x14ac:dyDescent="0.25">
      <c r="A27" s="342" t="s">
        <v>32</v>
      </c>
      <c r="B27" s="314" t="s">
        <v>32</v>
      </c>
      <c r="C27" s="191">
        <v>5.3800000000000001E-2</v>
      </c>
      <c r="D27" s="41">
        <v>4.2000000000000003E-2</v>
      </c>
      <c r="E27" s="49">
        <v>0.1236</v>
      </c>
      <c r="F27" s="41">
        <v>0.1157</v>
      </c>
      <c r="G27" s="49">
        <v>0.22090000000000001</v>
      </c>
      <c r="H27" s="41">
        <v>0.21010000000000001</v>
      </c>
      <c r="I27" s="49">
        <v>0.29170000000000001</v>
      </c>
      <c r="J27" s="176">
        <v>0.26579999999999998</v>
      </c>
      <c r="K27" s="190">
        <v>0.36</v>
      </c>
      <c r="L27" s="175">
        <v>0.30359999999999998</v>
      </c>
      <c r="M27" s="191">
        <v>0.45710000000000001</v>
      </c>
      <c r="N27" s="41">
        <v>0.51870000000000005</v>
      </c>
      <c r="O27" s="49">
        <v>0.53339999999999999</v>
      </c>
      <c r="P27" s="41">
        <v>0.60560000000000003</v>
      </c>
      <c r="Q27" s="49">
        <v>0.63790000000000002</v>
      </c>
      <c r="R27" s="41">
        <v>0.71140000000000003</v>
      </c>
      <c r="S27" s="49">
        <v>0.74819999999999998</v>
      </c>
      <c r="T27" s="41">
        <v>0.78639999999999999</v>
      </c>
      <c r="U27" s="49">
        <v>0.83819999999999995</v>
      </c>
      <c r="V27" s="41">
        <v>0.92769999999999997</v>
      </c>
      <c r="W27" s="49">
        <v>0.90900000000000003</v>
      </c>
      <c r="X27" s="41">
        <v>1.026</v>
      </c>
      <c r="Y27" s="49">
        <v>1</v>
      </c>
      <c r="Z27" s="41">
        <v>1</v>
      </c>
    </row>
    <row r="28" spans="1:26" x14ac:dyDescent="0.25">
      <c r="A28" s="343"/>
      <c r="B28" s="313" t="s">
        <v>33</v>
      </c>
      <c r="C28" s="193">
        <v>7.2900000000000006E-2</v>
      </c>
      <c r="D28" s="41">
        <v>5.2200000000000003E-2</v>
      </c>
      <c r="E28" s="50">
        <v>0.1736</v>
      </c>
      <c r="F28" s="41">
        <v>0.1336</v>
      </c>
      <c r="G28" s="50">
        <v>0.21870000000000001</v>
      </c>
      <c r="H28" s="41">
        <v>0.2195</v>
      </c>
      <c r="I28" s="50">
        <v>0.36099999999999999</v>
      </c>
      <c r="J28" s="176">
        <v>0.30719999999999997</v>
      </c>
      <c r="K28" s="192">
        <v>0.43390000000000001</v>
      </c>
      <c r="L28" s="175">
        <v>0.36630000000000001</v>
      </c>
      <c r="M28" s="193">
        <v>0.4929</v>
      </c>
      <c r="N28" s="41">
        <v>0.41970000000000002</v>
      </c>
      <c r="O28" s="50">
        <v>0.55189999999999995</v>
      </c>
      <c r="P28" s="41">
        <v>0.49780000000000002</v>
      </c>
      <c r="Q28" s="50">
        <v>0.63859999999999995</v>
      </c>
      <c r="R28" s="41">
        <v>0.5786</v>
      </c>
      <c r="S28" s="50">
        <v>0.7671</v>
      </c>
      <c r="T28" s="41">
        <v>0.66810000000000003</v>
      </c>
      <c r="U28" s="50">
        <v>0.82609999999999995</v>
      </c>
      <c r="V28" s="41">
        <v>0.74150000000000005</v>
      </c>
      <c r="W28" s="50">
        <v>0.92679999999999996</v>
      </c>
      <c r="X28" s="41">
        <v>0.85670000000000002</v>
      </c>
      <c r="Y28" s="50">
        <v>0.94399999999999995</v>
      </c>
      <c r="Z28" s="41">
        <v>0.84499999999999997</v>
      </c>
    </row>
    <row r="29" spans="1:26" x14ac:dyDescent="0.25">
      <c r="A29" s="343"/>
      <c r="B29" s="313" t="s">
        <v>34</v>
      </c>
      <c r="C29" s="193">
        <v>0.1051</v>
      </c>
      <c r="D29" s="41">
        <v>7.4999999999999997E-2</v>
      </c>
      <c r="E29" s="50">
        <v>0.19020000000000001</v>
      </c>
      <c r="F29" s="41">
        <v>0.15559999999999999</v>
      </c>
      <c r="G29" s="50">
        <v>0.27529999999999999</v>
      </c>
      <c r="H29" s="41">
        <v>0.23380000000000001</v>
      </c>
      <c r="I29" s="50">
        <v>0.35039999999999999</v>
      </c>
      <c r="J29" s="176">
        <v>0.30259999999999998</v>
      </c>
      <c r="K29" s="192">
        <v>0.4355</v>
      </c>
      <c r="L29" s="175">
        <v>0.37719999999999998</v>
      </c>
      <c r="M29" s="193">
        <v>0.50070000000000003</v>
      </c>
      <c r="N29" s="41">
        <v>0.45479999999999998</v>
      </c>
      <c r="O29" s="50">
        <v>0.57579999999999998</v>
      </c>
      <c r="P29" s="41">
        <v>0.51539999999999997</v>
      </c>
      <c r="Q29" s="50">
        <v>0.65090000000000003</v>
      </c>
      <c r="R29" s="41">
        <v>0.72140000000000004</v>
      </c>
      <c r="S29" s="50">
        <v>0.76600000000000001</v>
      </c>
      <c r="T29" s="41">
        <v>0.80130000000000001</v>
      </c>
      <c r="U29" s="50">
        <v>0.94110000000000005</v>
      </c>
      <c r="V29" s="41">
        <v>0.92920000000000003</v>
      </c>
      <c r="W29" s="50">
        <v>1.0162</v>
      </c>
      <c r="X29" s="41">
        <v>1.0036</v>
      </c>
      <c r="Y29" s="50">
        <v>1</v>
      </c>
      <c r="Z29" s="41">
        <v>0.97299999999999998</v>
      </c>
    </row>
    <row r="30" spans="1:26" x14ac:dyDescent="0.25">
      <c r="A30" s="343"/>
      <c r="B30" s="313" t="s">
        <v>35</v>
      </c>
      <c r="C30" s="193">
        <v>7.4800000000000005E-2</v>
      </c>
      <c r="D30" s="41">
        <v>5.6899999999999999E-2</v>
      </c>
      <c r="E30" s="50">
        <v>0.1076</v>
      </c>
      <c r="F30" s="41">
        <v>0.161</v>
      </c>
      <c r="G30" s="50">
        <v>0.17979999999999999</v>
      </c>
      <c r="H30" s="41">
        <v>0.20019999999999999</v>
      </c>
      <c r="I30" s="50">
        <v>0.36899999999999999</v>
      </c>
      <c r="J30" s="176">
        <v>0.33329999999999999</v>
      </c>
      <c r="K30" s="192">
        <v>0.44779999999999998</v>
      </c>
      <c r="L30" s="175">
        <v>0.43080000000000002</v>
      </c>
      <c r="M30" s="193">
        <v>0.5262</v>
      </c>
      <c r="N30" s="41">
        <v>0.51219999999999999</v>
      </c>
      <c r="O30" s="50">
        <v>0.59350000000000003</v>
      </c>
      <c r="P30" s="41">
        <v>0.58689999999999998</v>
      </c>
      <c r="Q30" s="50">
        <v>0.68310000000000004</v>
      </c>
      <c r="R30" s="41">
        <v>0.69750000000000001</v>
      </c>
      <c r="S30" s="50">
        <v>0.79490000000000005</v>
      </c>
      <c r="T30" s="41">
        <v>0.77339999999999998</v>
      </c>
      <c r="U30" s="50">
        <v>0.87329999999999997</v>
      </c>
      <c r="V30" s="41">
        <v>0.84750000000000003</v>
      </c>
      <c r="W30" s="50">
        <v>0.97399999999999998</v>
      </c>
      <c r="X30" s="41">
        <v>0.95760000000000001</v>
      </c>
      <c r="Y30" s="50">
        <v>1</v>
      </c>
      <c r="Z30" s="41">
        <v>0.86499999999999999</v>
      </c>
    </row>
    <row r="31" spans="1:26" x14ac:dyDescent="0.25">
      <c r="A31" s="343"/>
      <c r="B31" s="313" t="s">
        <v>36</v>
      </c>
      <c r="C31" s="193">
        <v>0</v>
      </c>
      <c r="D31" s="41">
        <v>1.43E-2</v>
      </c>
      <c r="E31" s="50">
        <v>0.15709999999999999</v>
      </c>
      <c r="F31" s="41">
        <v>0.3251</v>
      </c>
      <c r="G31" s="50">
        <v>0.25519999999999998</v>
      </c>
      <c r="H31" s="41">
        <v>0.2326</v>
      </c>
      <c r="I31" s="50">
        <v>0.3715</v>
      </c>
      <c r="J31" s="176">
        <v>0.30409999999999998</v>
      </c>
      <c r="K31" s="192">
        <v>0.45650000000000002</v>
      </c>
      <c r="L31" s="175">
        <v>0.3579</v>
      </c>
      <c r="M31" s="193">
        <v>0.51029999999999998</v>
      </c>
      <c r="N31" s="41">
        <v>0.45129999999999998</v>
      </c>
      <c r="O31" s="50">
        <v>0.53290000000000004</v>
      </c>
      <c r="P31" s="41">
        <v>0.5081</v>
      </c>
      <c r="Q31" s="50">
        <v>0.5867</v>
      </c>
      <c r="R31" s="41">
        <v>0.58650000000000002</v>
      </c>
      <c r="S31" s="50">
        <v>0.64049999999999996</v>
      </c>
      <c r="T31" s="41">
        <v>0.63959999999999995</v>
      </c>
      <c r="U31" s="50">
        <v>0.89449999999999996</v>
      </c>
      <c r="V31" s="41">
        <v>0.80840000000000001</v>
      </c>
      <c r="W31" s="50">
        <v>0.92449999999999999</v>
      </c>
      <c r="X31" s="41">
        <v>0.86750000000000005</v>
      </c>
      <c r="Y31" s="50">
        <v>0.90800000000000003</v>
      </c>
      <c r="Z31" s="41">
        <v>0.85399999999999998</v>
      </c>
    </row>
    <row r="32" spans="1:26" x14ac:dyDescent="0.25">
      <c r="A32" s="343"/>
      <c r="B32" s="313" t="s">
        <v>37</v>
      </c>
      <c r="C32" s="193">
        <v>3.2000000000000001E-2</v>
      </c>
      <c r="D32" s="41">
        <v>2.7900000000000001E-2</v>
      </c>
      <c r="E32" s="50">
        <v>0.1492</v>
      </c>
      <c r="F32" s="41">
        <v>0.1449</v>
      </c>
      <c r="G32" s="50">
        <v>0.22409999999999999</v>
      </c>
      <c r="H32" s="41">
        <v>0.37040000000000001</v>
      </c>
      <c r="I32" s="50">
        <v>0.28870000000000001</v>
      </c>
      <c r="J32" s="176">
        <v>0.46810000000000002</v>
      </c>
      <c r="K32" s="192">
        <v>0.3609</v>
      </c>
      <c r="L32" s="175">
        <v>0.56810000000000005</v>
      </c>
      <c r="M32" s="193">
        <v>0.43469999999999998</v>
      </c>
      <c r="N32" s="41">
        <v>0.71419999999999995</v>
      </c>
      <c r="O32" s="50">
        <v>0.55220000000000002</v>
      </c>
      <c r="P32" s="41">
        <v>0.66539999999999999</v>
      </c>
      <c r="Q32" s="50">
        <v>0.63970000000000005</v>
      </c>
      <c r="R32" s="41">
        <v>0.7379</v>
      </c>
      <c r="S32" s="50">
        <v>0.71550000000000002</v>
      </c>
      <c r="T32" s="41">
        <v>0.82269999999999999</v>
      </c>
      <c r="U32" s="50">
        <v>0.85799999999999998</v>
      </c>
      <c r="V32" s="41">
        <v>0.9395</v>
      </c>
      <c r="W32" s="50">
        <v>0.94340000000000002</v>
      </c>
      <c r="X32" s="41">
        <v>1.0428999999999999</v>
      </c>
      <c r="Y32" s="50">
        <v>1</v>
      </c>
      <c r="Z32" s="41">
        <v>1</v>
      </c>
    </row>
    <row r="33" spans="1:26" x14ac:dyDescent="0.25">
      <c r="A33" s="343"/>
      <c r="B33" s="315" t="s">
        <v>38</v>
      </c>
      <c r="C33" s="193">
        <v>5.1200000000000002E-2</v>
      </c>
      <c r="D33" s="41" t="s">
        <v>11</v>
      </c>
      <c r="E33" s="50">
        <v>0.14149999999999999</v>
      </c>
      <c r="F33" s="41" t="s">
        <v>11</v>
      </c>
      <c r="G33" s="50">
        <v>0.2084</v>
      </c>
      <c r="H33" s="41" t="s">
        <v>39</v>
      </c>
      <c r="I33" s="50">
        <v>0.3044</v>
      </c>
      <c r="J33" s="176" t="s">
        <v>39</v>
      </c>
      <c r="K33" s="192">
        <v>0.38750000000000001</v>
      </c>
      <c r="L33" s="175" t="s">
        <v>39</v>
      </c>
      <c r="M33" s="193">
        <v>0.47470000000000001</v>
      </c>
      <c r="N33" s="41" t="s">
        <v>39</v>
      </c>
      <c r="O33" s="50">
        <v>0.54079999999999995</v>
      </c>
      <c r="P33" s="41" t="s">
        <v>39</v>
      </c>
      <c r="Q33" s="50">
        <v>0.63039999999999996</v>
      </c>
      <c r="R33" s="41" t="s">
        <v>39</v>
      </c>
      <c r="S33" s="50">
        <v>0.73129999999999995</v>
      </c>
      <c r="T33" s="41" t="s">
        <v>39</v>
      </c>
      <c r="U33" s="50">
        <v>0.83699999999999997</v>
      </c>
      <c r="V33" s="41" t="s">
        <v>39</v>
      </c>
      <c r="W33" s="50">
        <v>0.9274</v>
      </c>
      <c r="X33" s="41" t="s">
        <v>39</v>
      </c>
      <c r="Y33" s="50">
        <v>0.99</v>
      </c>
      <c r="Z33" s="41" t="s">
        <v>11</v>
      </c>
    </row>
    <row r="34" spans="1:26" s="18" customFormat="1" x14ac:dyDescent="0.25">
      <c r="A34" s="344"/>
      <c r="B34" s="306" t="s">
        <v>40</v>
      </c>
      <c r="C34" s="181">
        <f>+AVERAGE(C27:C33)</f>
        <v>5.568571428571429E-2</v>
      </c>
      <c r="D34" s="30">
        <f>+AVERAGE(D27:D33)</f>
        <v>4.4716666666666675E-2</v>
      </c>
      <c r="E34" s="30">
        <f t="shared" ref="E34" si="1">+AVERAGE(E27:E33)</f>
        <v>0.14897142857142859</v>
      </c>
      <c r="F34" s="30">
        <f>+AVERAGE(F27:F32)</f>
        <v>0.17265</v>
      </c>
      <c r="G34" s="30">
        <f>+AVERAGE(G27:G33)</f>
        <v>0.22605714285714282</v>
      </c>
      <c r="H34" s="30">
        <f>+AVERAGE(H27:H32)</f>
        <v>0.24443333333333331</v>
      </c>
      <c r="I34" s="30">
        <v>0.33389999999999997</v>
      </c>
      <c r="J34" s="169">
        <v>0.33019999999999999</v>
      </c>
      <c r="K34" s="179">
        <v>0.41170000000000001</v>
      </c>
      <c r="L34" s="180">
        <v>0.40060000000000001</v>
      </c>
      <c r="M34" s="181">
        <v>0.48520000000000002</v>
      </c>
      <c r="N34" s="180">
        <v>0.51180000000000003</v>
      </c>
      <c r="O34" s="30">
        <v>0.5544</v>
      </c>
      <c r="P34" s="30">
        <v>0.56320000000000003</v>
      </c>
      <c r="Q34" s="30">
        <v>0.63819999999999999</v>
      </c>
      <c r="R34" s="30">
        <v>0.67220000000000002</v>
      </c>
      <c r="S34" s="30">
        <v>0.73760000000000003</v>
      </c>
      <c r="T34" s="30">
        <v>0.74860000000000004</v>
      </c>
      <c r="U34" s="30">
        <v>0.8669</v>
      </c>
      <c r="V34" s="30">
        <v>0.86560000000000004</v>
      </c>
      <c r="W34" s="172">
        <v>0.94589999999999996</v>
      </c>
      <c r="X34" s="172">
        <v>0.95899999999999996</v>
      </c>
      <c r="Y34" s="30">
        <v>0.97699999999999998</v>
      </c>
      <c r="Z34" s="30">
        <v>0.92300000000000004</v>
      </c>
    </row>
    <row r="35" spans="1:26" x14ac:dyDescent="0.25">
      <c r="A35" s="342" t="s">
        <v>41</v>
      </c>
      <c r="B35" s="313" t="s">
        <v>41</v>
      </c>
      <c r="C35" s="191">
        <v>2.3699999999999999E-2</v>
      </c>
      <c r="D35" s="41">
        <v>1.72E-2</v>
      </c>
      <c r="E35" s="49">
        <v>7.8700000000000006E-2</v>
      </c>
      <c r="F35" s="41">
        <v>7.8100000000000003E-2</v>
      </c>
      <c r="G35" s="49">
        <v>0.16089999999999999</v>
      </c>
      <c r="H35" s="41">
        <v>0.14580000000000001</v>
      </c>
      <c r="I35" s="49">
        <v>0.2591</v>
      </c>
      <c r="J35" s="176">
        <v>0.21</v>
      </c>
      <c r="K35" s="190">
        <v>0.34689999999999999</v>
      </c>
      <c r="L35" s="175">
        <v>0.27479999999999999</v>
      </c>
      <c r="M35" s="191">
        <v>0.43020000000000003</v>
      </c>
      <c r="N35" s="41">
        <v>0.3483</v>
      </c>
      <c r="O35" s="49">
        <v>0.51790000000000003</v>
      </c>
      <c r="P35" s="41">
        <v>0.42630000000000001</v>
      </c>
      <c r="Q35" s="49">
        <v>0.60119999999999996</v>
      </c>
      <c r="R35" s="41">
        <v>0.50749999999999995</v>
      </c>
      <c r="S35" s="49">
        <v>0.68059999999999998</v>
      </c>
      <c r="T35" s="41">
        <v>0.69210000000000005</v>
      </c>
      <c r="U35" s="49">
        <v>0.76249999999999996</v>
      </c>
      <c r="V35" s="41">
        <v>0.75609999999999999</v>
      </c>
      <c r="W35" s="49">
        <v>0.84650000000000003</v>
      </c>
      <c r="X35" s="41">
        <v>0.84230000000000005</v>
      </c>
      <c r="Y35" s="49">
        <v>0.99590000000000001</v>
      </c>
      <c r="Z35" s="41">
        <v>0.9919</v>
      </c>
    </row>
    <row r="36" spans="1:26" x14ac:dyDescent="0.25">
      <c r="A36" s="343"/>
      <c r="B36" s="313" t="s">
        <v>42</v>
      </c>
      <c r="C36" s="193">
        <v>3.27E-2</v>
      </c>
      <c r="D36" s="41">
        <v>1.5599999999999999E-2</v>
      </c>
      <c r="E36" s="50">
        <v>5.3100000000000001E-2</v>
      </c>
      <c r="F36" s="41">
        <v>9.2100000000000001E-2</v>
      </c>
      <c r="G36" s="50">
        <v>0.13880000000000001</v>
      </c>
      <c r="H36" s="41">
        <v>0.16020000000000001</v>
      </c>
      <c r="I36" s="50">
        <v>0.22450000000000001</v>
      </c>
      <c r="J36" s="176">
        <v>0.23100000000000001</v>
      </c>
      <c r="K36" s="192">
        <v>0.31430000000000002</v>
      </c>
      <c r="L36" s="175">
        <v>0.2954</v>
      </c>
      <c r="M36" s="193">
        <v>0.38779999999999998</v>
      </c>
      <c r="N36" s="41">
        <v>0.37269999999999998</v>
      </c>
      <c r="O36" s="50">
        <v>0.46939999999999998</v>
      </c>
      <c r="P36" s="41">
        <v>0.43540000000000001</v>
      </c>
      <c r="Q36" s="50">
        <v>0.52239999999999998</v>
      </c>
      <c r="R36" s="41">
        <v>0.51060000000000005</v>
      </c>
      <c r="S36" s="50">
        <v>0.54330000000000001</v>
      </c>
      <c r="T36" s="41">
        <v>0.77810000000000001</v>
      </c>
      <c r="U36" s="50">
        <v>0.57869999999999999</v>
      </c>
      <c r="V36" s="316">
        <v>0.78269999999999995</v>
      </c>
      <c r="W36" s="50">
        <v>0.66539999999999999</v>
      </c>
      <c r="X36" s="41">
        <v>0.88529999999999998</v>
      </c>
      <c r="Y36" s="50">
        <v>0.98029999999999995</v>
      </c>
      <c r="Z36" s="316">
        <v>0.97450000000000003</v>
      </c>
    </row>
    <row r="37" spans="1:26" x14ac:dyDescent="0.25">
      <c r="A37" s="343"/>
      <c r="B37" s="313" t="s">
        <v>43</v>
      </c>
      <c r="C37" s="193">
        <v>2.18E-2</v>
      </c>
      <c r="D37" s="41">
        <v>6.1100000000000002E-2</v>
      </c>
      <c r="E37" s="50">
        <v>4.8500000000000001E-2</v>
      </c>
      <c r="F37" s="41">
        <v>0.1986</v>
      </c>
      <c r="G37" s="50">
        <v>0.11650000000000001</v>
      </c>
      <c r="H37" s="41">
        <v>0.2339</v>
      </c>
      <c r="I37" s="50">
        <v>0.20630000000000001</v>
      </c>
      <c r="J37" s="176">
        <v>0.30919999999999997</v>
      </c>
      <c r="K37" s="192">
        <v>0.29370000000000002</v>
      </c>
      <c r="L37" s="175">
        <v>0.38159999999999999</v>
      </c>
      <c r="M37" s="193">
        <v>0.36890000000000001</v>
      </c>
      <c r="N37" s="41">
        <v>0.4975</v>
      </c>
      <c r="O37" s="50">
        <v>0.43690000000000001</v>
      </c>
      <c r="P37" s="41">
        <v>0.56669999999999998</v>
      </c>
      <c r="Q37" s="50">
        <v>0.50729999999999997</v>
      </c>
      <c r="R37" s="41">
        <v>0.63580000000000003</v>
      </c>
      <c r="S37" s="50">
        <v>0.57999999999999996</v>
      </c>
      <c r="T37" s="41">
        <v>0.73070000000000002</v>
      </c>
      <c r="U37" s="50">
        <v>0.67300000000000004</v>
      </c>
      <c r="V37" s="41">
        <v>0.74929999999999997</v>
      </c>
      <c r="W37" s="50">
        <v>0.76849999999999996</v>
      </c>
      <c r="X37" s="41">
        <v>0.82150000000000001</v>
      </c>
      <c r="Y37" s="50">
        <v>0.99280000000000002</v>
      </c>
      <c r="Z37" s="41">
        <v>0.98629999999999995</v>
      </c>
    </row>
    <row r="38" spans="1:26" x14ac:dyDescent="0.25">
      <c r="A38" s="343"/>
      <c r="B38" s="313" t="s">
        <v>44</v>
      </c>
      <c r="C38" s="193">
        <v>0</v>
      </c>
      <c r="D38" s="41">
        <v>2.3999999999999998E-3</v>
      </c>
      <c r="E38" s="50">
        <v>3.3999999999999998E-3</v>
      </c>
      <c r="F38" s="41">
        <v>0.1162</v>
      </c>
      <c r="G38" s="50">
        <v>6.0400000000000002E-2</v>
      </c>
      <c r="H38" s="41">
        <v>0.14319999999999999</v>
      </c>
      <c r="I38" s="50">
        <v>0.13089999999999999</v>
      </c>
      <c r="J38" s="176">
        <v>0.20569999999999999</v>
      </c>
      <c r="K38" s="192">
        <v>0.1913</v>
      </c>
      <c r="L38" s="175">
        <v>0.25979999999999998</v>
      </c>
      <c r="M38" s="193">
        <v>0.255</v>
      </c>
      <c r="N38" s="41">
        <v>0.34300000000000003</v>
      </c>
      <c r="O38" s="50">
        <v>0.35909999999999997</v>
      </c>
      <c r="P38" s="41">
        <v>0.43719999999999998</v>
      </c>
      <c r="Q38" s="50">
        <v>0.44969999999999999</v>
      </c>
      <c r="R38" s="41">
        <v>0.50539999999999996</v>
      </c>
      <c r="S38" s="50">
        <v>0.54359999999999997</v>
      </c>
      <c r="T38" s="41">
        <v>0.71699999999999997</v>
      </c>
      <c r="U38" s="50">
        <v>0.64429999999999998</v>
      </c>
      <c r="V38" s="41">
        <v>0.79</v>
      </c>
      <c r="W38" s="50">
        <v>0.76170000000000004</v>
      </c>
      <c r="X38" s="41">
        <v>0.87639999999999996</v>
      </c>
      <c r="Y38" s="50">
        <v>1</v>
      </c>
      <c r="Z38" s="41">
        <v>1</v>
      </c>
    </row>
    <row r="39" spans="1:26" x14ac:dyDescent="0.25">
      <c r="A39" s="343"/>
      <c r="B39" s="313" t="s">
        <v>45</v>
      </c>
      <c r="C39" s="193">
        <v>5.1200000000000002E-2</v>
      </c>
      <c r="D39" s="41">
        <v>1.3599999999999999E-2</v>
      </c>
      <c r="E39" s="50">
        <v>7.2300000000000003E-2</v>
      </c>
      <c r="F39" s="41">
        <v>8.7499999999999994E-2</v>
      </c>
      <c r="G39" s="50">
        <v>0.1295</v>
      </c>
      <c r="H39" s="41">
        <v>0.15809999999999999</v>
      </c>
      <c r="I39" s="50">
        <v>0.1867</v>
      </c>
      <c r="J39" s="176">
        <v>0.2329</v>
      </c>
      <c r="K39" s="192">
        <v>0.27710000000000001</v>
      </c>
      <c r="L39" s="175">
        <v>0.2969</v>
      </c>
      <c r="M39" s="193">
        <v>0.3705</v>
      </c>
      <c r="N39" s="41">
        <v>0.40629999999999999</v>
      </c>
      <c r="O39" s="50">
        <v>0.45479999999999998</v>
      </c>
      <c r="P39" s="41">
        <v>0.47699999999999998</v>
      </c>
      <c r="Q39" s="50">
        <v>0.52410000000000001</v>
      </c>
      <c r="R39" s="41">
        <v>0.54859999999999998</v>
      </c>
      <c r="S39" s="50">
        <v>0.58289999999999997</v>
      </c>
      <c r="T39" s="41">
        <v>0.69620000000000004</v>
      </c>
      <c r="U39" s="50">
        <v>0.66569999999999996</v>
      </c>
      <c r="V39" s="41">
        <v>0.77270000000000005</v>
      </c>
      <c r="W39" s="50">
        <v>0.77429999999999999</v>
      </c>
      <c r="X39" s="41">
        <v>0.8579</v>
      </c>
      <c r="Y39" s="50">
        <v>0.95709999999999995</v>
      </c>
      <c r="Z39" s="41">
        <v>0.96260000000000001</v>
      </c>
    </row>
    <row r="40" spans="1:26" x14ac:dyDescent="0.25">
      <c r="A40" s="343"/>
      <c r="B40" s="313" t="s">
        <v>46</v>
      </c>
      <c r="C40" s="193">
        <v>2.1499999999999998E-2</v>
      </c>
      <c r="D40" s="41">
        <v>5.3699999999999998E-2</v>
      </c>
      <c r="E40" s="50">
        <v>0.1061</v>
      </c>
      <c r="F40" s="41">
        <v>0.14460000000000001</v>
      </c>
      <c r="G40" s="50">
        <v>0.2014</v>
      </c>
      <c r="H40" s="41">
        <v>0.2462</v>
      </c>
      <c r="I40" s="50">
        <v>0.31759999999999999</v>
      </c>
      <c r="J40" s="176">
        <v>0.34029999999999999</v>
      </c>
      <c r="K40" s="192">
        <v>0.40970000000000001</v>
      </c>
      <c r="L40" s="175">
        <v>0.4274</v>
      </c>
      <c r="M40" s="193">
        <v>0.49809999999999999</v>
      </c>
      <c r="N40" s="41">
        <v>0.51890000000000003</v>
      </c>
      <c r="O40" s="50">
        <v>0.58960000000000001</v>
      </c>
      <c r="P40" s="41">
        <v>0.6149</v>
      </c>
      <c r="Q40" s="50">
        <v>0.68240000000000001</v>
      </c>
      <c r="R40" s="41">
        <v>0.70899999999999996</v>
      </c>
      <c r="S40" s="50">
        <v>0.76200000000000001</v>
      </c>
      <c r="T40" s="41">
        <v>0.79169999999999996</v>
      </c>
      <c r="U40" s="50">
        <v>0.84279999999999999</v>
      </c>
      <c r="V40" s="41">
        <v>0.87250000000000005</v>
      </c>
      <c r="W40" s="50">
        <v>0.92800000000000005</v>
      </c>
      <c r="X40" s="41">
        <v>0.94510000000000005</v>
      </c>
      <c r="Y40" s="50">
        <v>1</v>
      </c>
      <c r="Z40" s="41">
        <v>1</v>
      </c>
    </row>
    <row r="41" spans="1:26" x14ac:dyDescent="0.25">
      <c r="A41" s="343"/>
      <c r="B41" s="313" t="s">
        <v>47</v>
      </c>
      <c r="C41" s="193">
        <v>6.4500000000000002E-2</v>
      </c>
      <c r="D41" s="39">
        <v>3.9899999999999998E-2</v>
      </c>
      <c r="E41" s="50">
        <v>0.1024</v>
      </c>
      <c r="F41" s="41">
        <v>0.1108</v>
      </c>
      <c r="G41" s="50">
        <v>0.18690000000000001</v>
      </c>
      <c r="H41" s="39">
        <v>0.20300000000000001</v>
      </c>
      <c r="I41" s="50">
        <v>0.27979999999999999</v>
      </c>
      <c r="J41" s="176">
        <v>0.27550000000000002</v>
      </c>
      <c r="K41" s="192">
        <v>0.37330000000000002</v>
      </c>
      <c r="L41" s="174">
        <v>0.38200000000000001</v>
      </c>
      <c r="M41" s="193">
        <v>0.44869999999999999</v>
      </c>
      <c r="N41" s="41">
        <v>0.46329999999999999</v>
      </c>
      <c r="O41" s="50">
        <v>0.60609999999999997</v>
      </c>
      <c r="P41" s="41">
        <v>0.54049999999999998</v>
      </c>
      <c r="Q41" s="50">
        <v>0.68530000000000002</v>
      </c>
      <c r="R41" s="39">
        <v>0.61550000000000005</v>
      </c>
      <c r="S41" s="50">
        <v>0.75519999999999998</v>
      </c>
      <c r="T41" s="41">
        <v>0.70399999999999996</v>
      </c>
      <c r="U41" s="50">
        <v>0.82589999999999997</v>
      </c>
      <c r="V41" s="41">
        <v>0.78049999999999997</v>
      </c>
      <c r="W41" s="50">
        <v>0.90310000000000001</v>
      </c>
      <c r="X41" s="41">
        <v>0.85419999999999996</v>
      </c>
      <c r="Y41" s="50">
        <v>0.99980000000000002</v>
      </c>
      <c r="Z41" s="41">
        <v>1</v>
      </c>
    </row>
    <row r="42" spans="1:26" s="18" customFormat="1" x14ac:dyDescent="0.25">
      <c r="A42" s="344"/>
      <c r="B42" s="29" t="s">
        <v>48</v>
      </c>
      <c r="C42" s="30">
        <f>AVERAGE(C35:C41)</f>
        <v>3.0771428571428568E-2</v>
      </c>
      <c r="D42" s="30">
        <f>AVERAGE(D35:D41)</f>
        <v>2.9071428571428571E-2</v>
      </c>
      <c r="E42" s="30">
        <v>6.6299999999999998E-2</v>
      </c>
      <c r="F42" s="30">
        <v>0.1183</v>
      </c>
      <c r="G42" s="30">
        <v>0.1421</v>
      </c>
      <c r="H42" s="30">
        <v>0.18429999999999999</v>
      </c>
      <c r="I42" s="30">
        <v>0.2293</v>
      </c>
      <c r="J42" s="169">
        <v>0.25779999999999997</v>
      </c>
      <c r="K42" s="179">
        <v>0.31519999999999998</v>
      </c>
      <c r="L42" s="180">
        <v>0.33110000000000001</v>
      </c>
      <c r="M42" s="179">
        <v>0.39419999999999999</v>
      </c>
      <c r="N42" s="180">
        <v>0.4214</v>
      </c>
      <c r="O42" s="179">
        <v>0.49059999999999998</v>
      </c>
      <c r="P42" s="180">
        <v>0.49969999999999998</v>
      </c>
      <c r="Q42" s="179">
        <v>0.5675</v>
      </c>
      <c r="R42" s="180">
        <v>0.57609999999999995</v>
      </c>
      <c r="S42" s="179">
        <v>0.63539999999999996</v>
      </c>
      <c r="T42" s="180">
        <v>0.73</v>
      </c>
      <c r="U42" s="179">
        <v>0.71330000000000005</v>
      </c>
      <c r="V42" s="180">
        <v>0.7863</v>
      </c>
      <c r="W42" s="179">
        <v>0.80679999999999996</v>
      </c>
      <c r="X42" s="180">
        <v>0.86899999999999999</v>
      </c>
      <c r="Y42" s="179">
        <v>0.98960000000000004</v>
      </c>
      <c r="Z42" s="180">
        <v>0.9879</v>
      </c>
    </row>
    <row r="43" spans="1:26" x14ac:dyDescent="0.25">
      <c r="A43" s="345" t="s">
        <v>49</v>
      </c>
      <c r="B43" s="47" t="s">
        <v>50</v>
      </c>
      <c r="C43" s="51">
        <v>0.03</v>
      </c>
      <c r="D43" s="51">
        <v>0.04</v>
      </c>
      <c r="E43" s="52">
        <v>8.1000000000000003E-2</v>
      </c>
      <c r="F43" s="52">
        <v>0.10100000000000001</v>
      </c>
      <c r="G43" s="52">
        <v>0.153</v>
      </c>
      <c r="H43" s="52">
        <v>0.16500000000000001</v>
      </c>
      <c r="I43" s="52">
        <v>0.20899999999999999</v>
      </c>
      <c r="J43" s="194">
        <v>0.22900000000000001</v>
      </c>
      <c r="K43" s="195">
        <v>0.28899999999999998</v>
      </c>
      <c r="L43" s="196">
        <v>0.311</v>
      </c>
      <c r="M43" s="192">
        <v>0.38340000000000002</v>
      </c>
      <c r="N43" s="197">
        <v>0.40849999999999997</v>
      </c>
      <c r="O43" s="192">
        <v>0.47899999999999998</v>
      </c>
      <c r="P43" s="197">
        <v>0.50939999999999996</v>
      </c>
      <c r="Q43" s="192">
        <v>0.58689999999999998</v>
      </c>
      <c r="R43" s="197">
        <v>0.62360000000000004</v>
      </c>
      <c r="S43" s="192">
        <v>0.70860000000000001</v>
      </c>
      <c r="T43" s="197">
        <v>0.73709999999999998</v>
      </c>
      <c r="U43" s="192">
        <v>0.80020000000000002</v>
      </c>
      <c r="V43" s="197">
        <v>0.82189999999999996</v>
      </c>
      <c r="W43" s="192">
        <v>0.93420000000000003</v>
      </c>
      <c r="X43" s="197">
        <v>0.94330000000000003</v>
      </c>
      <c r="Y43" s="192">
        <v>1</v>
      </c>
      <c r="Z43" s="197">
        <v>1</v>
      </c>
    </row>
    <row r="44" spans="1:26" x14ac:dyDescent="0.25">
      <c r="A44" s="346"/>
      <c r="B44" s="47" t="s">
        <v>51</v>
      </c>
      <c r="C44" s="51">
        <v>0.1</v>
      </c>
      <c r="D44" s="51">
        <v>7.0000000000000007E-2</v>
      </c>
      <c r="E44" s="52">
        <v>0.21199999999999999</v>
      </c>
      <c r="F44" s="52">
        <v>0.20100000000000001</v>
      </c>
      <c r="G44" s="52">
        <v>0.32700000000000001</v>
      </c>
      <c r="H44" s="52">
        <v>0.308</v>
      </c>
      <c r="I44" s="52">
        <v>0.43</v>
      </c>
      <c r="J44" s="194">
        <v>0.42299999999999999</v>
      </c>
      <c r="K44" s="195">
        <v>0.52700000000000002</v>
      </c>
      <c r="L44" s="196">
        <v>0.52600000000000002</v>
      </c>
      <c r="M44" s="192">
        <v>0.62619999999999998</v>
      </c>
      <c r="N44" s="197">
        <v>0.37869999999999998</v>
      </c>
      <c r="O44" s="192">
        <v>0.73029999999999995</v>
      </c>
      <c r="P44" s="197">
        <v>0.44309999999999999</v>
      </c>
      <c r="Q44" s="192">
        <v>0.83550000000000002</v>
      </c>
      <c r="R44" s="197">
        <v>0.51139999999999997</v>
      </c>
      <c r="S44" s="192">
        <v>0.76529999999999998</v>
      </c>
      <c r="T44" s="197">
        <v>0.48670000000000002</v>
      </c>
      <c r="U44" s="192">
        <v>0.85370000000000001</v>
      </c>
      <c r="V44" s="197">
        <v>0.52949999999999997</v>
      </c>
      <c r="W44" s="192">
        <v>0.93940000000000001</v>
      </c>
      <c r="X44" s="197">
        <v>0.60460000000000003</v>
      </c>
      <c r="Y44" s="192">
        <v>1</v>
      </c>
      <c r="Z44" s="197">
        <v>1</v>
      </c>
    </row>
    <row r="45" spans="1:26" x14ac:dyDescent="0.25">
      <c r="A45" s="346"/>
      <c r="B45" s="47" t="s">
        <v>52</v>
      </c>
      <c r="C45" s="50">
        <v>3.2199999999999999E-2</v>
      </c>
      <c r="D45" s="51">
        <v>0</v>
      </c>
      <c r="E45" s="52">
        <v>0.10390000000000001</v>
      </c>
      <c r="F45" s="51">
        <v>0</v>
      </c>
      <c r="G45" s="52">
        <v>0.19</v>
      </c>
      <c r="H45" s="51">
        <v>0.17899999999999999</v>
      </c>
      <c r="I45" s="52">
        <v>0.27500000000000002</v>
      </c>
      <c r="J45" s="194">
        <v>0.17899999999999999</v>
      </c>
      <c r="K45" s="195">
        <v>0.38900000000000001</v>
      </c>
      <c r="L45" s="196">
        <v>0.17899999999999999</v>
      </c>
      <c r="M45" s="192">
        <v>0.46400000000000002</v>
      </c>
      <c r="N45" s="197">
        <v>0.21490000000000001</v>
      </c>
      <c r="O45" s="192">
        <v>0.54100000000000004</v>
      </c>
      <c r="P45" s="197">
        <v>0.21490000000000001</v>
      </c>
      <c r="Q45" s="192">
        <v>0.61199999999999999</v>
      </c>
      <c r="R45" s="197">
        <v>0.21490000000000001</v>
      </c>
      <c r="S45" s="192">
        <v>0.68500000000000005</v>
      </c>
      <c r="T45" s="197">
        <v>0.2863</v>
      </c>
      <c r="U45" s="192">
        <v>0.68500000000000005</v>
      </c>
      <c r="V45" s="197">
        <v>0.46489999999999998</v>
      </c>
      <c r="W45" s="192">
        <v>0.95099999999999996</v>
      </c>
      <c r="X45" s="197">
        <v>0.46489999999999998</v>
      </c>
      <c r="Y45" s="192">
        <v>0.98299999999999998</v>
      </c>
      <c r="Z45" s="197">
        <v>1</v>
      </c>
    </row>
    <row r="46" spans="1:26" ht="15.75" customHeight="1" x14ac:dyDescent="0.25">
      <c r="A46" s="346"/>
      <c r="B46" s="47" t="s">
        <v>53</v>
      </c>
      <c r="C46" s="51">
        <v>0</v>
      </c>
      <c r="D46" s="53">
        <v>0.14000000000000001</v>
      </c>
      <c r="E46" s="51">
        <v>0</v>
      </c>
      <c r="F46" s="53">
        <v>0.21</v>
      </c>
      <c r="G46" s="52">
        <v>0.125</v>
      </c>
      <c r="H46" s="53">
        <v>0.31</v>
      </c>
      <c r="I46" s="52">
        <v>0.125</v>
      </c>
      <c r="J46" s="198">
        <v>0.43</v>
      </c>
      <c r="K46" s="195">
        <v>0.375</v>
      </c>
      <c r="L46" s="199">
        <v>0.52500000000000002</v>
      </c>
      <c r="M46" s="192">
        <v>0.375</v>
      </c>
      <c r="N46" s="175">
        <v>0.58499999999999996</v>
      </c>
      <c r="O46" s="192">
        <v>0.5</v>
      </c>
      <c r="P46" s="175">
        <v>0.625</v>
      </c>
      <c r="Q46" s="192">
        <v>0.5</v>
      </c>
      <c r="R46" s="175">
        <v>0.95</v>
      </c>
      <c r="S46" s="192">
        <v>0.625</v>
      </c>
      <c r="T46" s="175">
        <v>0.61419999999999997</v>
      </c>
      <c r="U46" s="192">
        <v>0.75</v>
      </c>
      <c r="V46" s="175">
        <v>0.68420000000000003</v>
      </c>
      <c r="W46" s="192">
        <v>0.75</v>
      </c>
      <c r="X46" s="175">
        <v>0.99590000000000001</v>
      </c>
      <c r="Y46" s="192">
        <v>1</v>
      </c>
      <c r="Z46" s="175">
        <v>1</v>
      </c>
    </row>
    <row r="47" spans="1:26" s="18" customFormat="1" x14ac:dyDescent="0.25">
      <c r="A47" s="347"/>
      <c r="B47" s="29" t="s">
        <v>54</v>
      </c>
      <c r="C47" s="30">
        <f t="shared" ref="C47:Z47" si="2">AVERAGE(C43:C46)</f>
        <v>4.0550000000000003E-2</v>
      </c>
      <c r="D47" s="30">
        <f t="shared" si="2"/>
        <v>6.25E-2</v>
      </c>
      <c r="E47" s="30">
        <f t="shared" si="2"/>
        <v>9.9224999999999994E-2</v>
      </c>
      <c r="F47" s="30">
        <f t="shared" si="2"/>
        <v>0.128</v>
      </c>
      <c r="G47" s="30">
        <f t="shared" si="2"/>
        <v>0.19874999999999998</v>
      </c>
      <c r="H47" s="30">
        <f t="shared" si="2"/>
        <v>0.24049999999999999</v>
      </c>
      <c r="I47" s="30">
        <f t="shared" si="2"/>
        <v>0.25975000000000004</v>
      </c>
      <c r="J47" s="169">
        <f t="shared" si="2"/>
        <v>0.31524999999999997</v>
      </c>
      <c r="K47" s="179">
        <f t="shared" si="2"/>
        <v>0.39500000000000002</v>
      </c>
      <c r="L47" s="180">
        <f t="shared" si="2"/>
        <v>0.38524999999999998</v>
      </c>
      <c r="M47" s="179">
        <f t="shared" si="2"/>
        <v>0.46215000000000001</v>
      </c>
      <c r="N47" s="200">
        <f t="shared" si="2"/>
        <v>0.39677499999999999</v>
      </c>
      <c r="O47" s="30">
        <f t="shared" si="2"/>
        <v>0.56257499999999994</v>
      </c>
      <c r="P47" s="30">
        <f t="shared" si="2"/>
        <v>0.4481</v>
      </c>
      <c r="Q47" s="30">
        <f t="shared" si="2"/>
        <v>0.63360000000000005</v>
      </c>
      <c r="R47" s="30">
        <f t="shared" si="2"/>
        <v>0.57497500000000001</v>
      </c>
      <c r="S47" s="30">
        <f t="shared" si="2"/>
        <v>0.69597500000000001</v>
      </c>
      <c r="T47" s="30">
        <f t="shared" si="2"/>
        <v>0.53107499999999996</v>
      </c>
      <c r="U47" s="30">
        <f t="shared" si="2"/>
        <v>0.77222500000000005</v>
      </c>
      <c r="V47" s="30">
        <f t="shared" si="2"/>
        <v>0.62512500000000004</v>
      </c>
      <c r="W47" s="30">
        <f t="shared" si="2"/>
        <v>0.89365000000000006</v>
      </c>
      <c r="X47" s="30">
        <f t="shared" si="2"/>
        <v>0.75217500000000004</v>
      </c>
      <c r="Y47" s="30">
        <f t="shared" si="2"/>
        <v>0.99575000000000002</v>
      </c>
      <c r="Z47" s="30">
        <f t="shared" si="2"/>
        <v>1</v>
      </c>
    </row>
    <row r="48" spans="1:26" s="18" customFormat="1" x14ac:dyDescent="0.25">
      <c r="A48" s="201" t="s">
        <v>1033</v>
      </c>
      <c r="B48" s="29"/>
      <c r="C48" s="30"/>
      <c r="D48" s="30"/>
      <c r="E48" s="30"/>
      <c r="F48" s="30"/>
      <c r="G48" s="30"/>
      <c r="H48" s="30"/>
      <c r="I48" s="30"/>
      <c r="J48" s="169"/>
      <c r="K48" s="202"/>
      <c r="L48" s="200"/>
      <c r="M48" s="203">
        <v>0.99</v>
      </c>
      <c r="N48" s="204" t="s">
        <v>1034</v>
      </c>
      <c r="O48" s="181">
        <v>0.99</v>
      </c>
      <c r="P48" s="30" t="s">
        <v>11</v>
      </c>
      <c r="Q48" s="30">
        <v>0.99</v>
      </c>
      <c r="R48" s="30" t="s">
        <v>11</v>
      </c>
      <c r="S48" s="30">
        <v>0.99</v>
      </c>
      <c r="T48" s="30" t="s">
        <v>11</v>
      </c>
      <c r="U48" s="30">
        <v>0.99</v>
      </c>
      <c r="V48" s="30" t="s">
        <v>11</v>
      </c>
      <c r="W48" s="30">
        <v>0.99</v>
      </c>
      <c r="X48" s="30" t="s">
        <v>11</v>
      </c>
      <c r="Y48" s="30">
        <v>0.98</v>
      </c>
      <c r="Z48" s="30" t="s">
        <v>11</v>
      </c>
    </row>
    <row r="49" spans="1:26" ht="15.75" x14ac:dyDescent="0.25">
      <c r="A49" s="54" t="s">
        <v>55</v>
      </c>
      <c r="B49" s="54"/>
      <c r="C49" s="55">
        <f>AVERAGE(C47,C42,C34,C26,C22,C11,C10,C9,C15,C8,C3)</f>
        <v>5.685064935064936E-2</v>
      </c>
      <c r="D49" s="55">
        <f>AVERAGE(D47,D42,D34,D26,D22,D11,D10,D9,D15,D8,D3)</f>
        <v>5.1467099567099578E-2</v>
      </c>
      <c r="E49" s="55">
        <f>AVERAGE(E3,E8,E9,E10,E11,E15,E22,E26,E34,E42,E47)</f>
        <v>0.13916331168831167</v>
      </c>
      <c r="F49" s="55">
        <f>AVERAGE(F3,F8,F9,F10,F11,F15,F22,F26,F34,F42,F47)</f>
        <v>0.14796363636363638</v>
      </c>
      <c r="G49" s="55">
        <f>AVERAGE(G3,G8,G9,G10,G11,G15,G22,G26,G34,G42,G47)</f>
        <v>0.21676428571428571</v>
      </c>
      <c r="H49" s="55">
        <f>AVERAGE(H3,H8,H9,H10,H11,H15,H22,H26,H34,H42,H47)</f>
        <v>0.25288484848484849</v>
      </c>
      <c r="I49" s="55">
        <f>AVERAGE(I47,I42,I34,I26,I22,I15,I11,I10,I9,I8,I3)</f>
        <v>0.30296736363636362</v>
      </c>
      <c r="J49" s="205">
        <f>AVERAGE(J47,J42,J34,J26,J22,J15,J11,J10,J9,J8,J3)</f>
        <v>0.33079818181818182</v>
      </c>
      <c r="K49" s="206">
        <f>AVERAGE(K3,K8,K9,K10,K11,K15,K22,K26,K34,K42,K47)</f>
        <v>0.3905909090909091</v>
      </c>
      <c r="L49" s="207">
        <f>AVERAGE(L3,L8,L9,L10,L11,L15,L22,L26,L34,L42,L47)</f>
        <v>0.42319545454545454</v>
      </c>
      <c r="M49" s="208">
        <f>AVERAGE(M3,M4,M9,M10,M11,M22,M26,M34,M42,M47,M8,M15,M48)</f>
        <v>0.53194461538461535</v>
      </c>
      <c r="N49" s="209">
        <f>AVERAGE(N3,N4,N15,N9,N10,N11,N22,N26,N34,N42,N47,N8)</f>
        <v>0.56702041666666669</v>
      </c>
      <c r="O49" s="317">
        <f>AVERAGE(O3,O8,O15,O9,O10,O11,O22,O26,O34,O42,O47,O48)</f>
        <v>0.61736458333333333</v>
      </c>
      <c r="P49" s="55">
        <f>AVERAGE(P3,P8,P9,P10,P11,P15,P22,P26,P34,P42,P47,P48)</f>
        <v>0.60355454545454557</v>
      </c>
      <c r="Q49" s="317">
        <f>AVERAGE(Q3,Q8,Q15,Q9,Q10,Q11,Q22,Q26,Q34,Q42,Q47,Q48)</f>
        <v>0.68157098055555554</v>
      </c>
      <c r="R49" s="55">
        <f>AVERAGE(R3,R8,R9,R10,R11,R15,R22,R26,R34,R42,R47,R48)</f>
        <v>0.66648536363636368</v>
      </c>
      <c r="S49" s="55">
        <f>AVERAGE(S3,S8,S15,S9,S10,S11,S22,S26,S34,S42,S47,S48)</f>
        <v>0.76149541666666665</v>
      </c>
      <c r="T49" s="55">
        <f>AVERAGE(T3,T8,T15,T9,T10,T11,T22,T26,T34,T42,T47)</f>
        <v>0.75103681818181822</v>
      </c>
      <c r="U49" s="55">
        <f>AVERAGE(U3,U4,U14,U9,U10,U11,U22,U26,U34,U42,U47,U48)</f>
        <v>0.8343715277777779</v>
      </c>
      <c r="V49" s="55">
        <f t="shared" ref="V49" si="3">AVERAGE(V3,V4,V14,V9,V10,V11,V22,V26,V34,V42,V47)</f>
        <v>0.82807500000000001</v>
      </c>
      <c r="W49" s="55">
        <f>AVERAGE(W3,W4,W15,W9,W10,W11,W22,W26,W34,W42,W47,W48)</f>
        <v>0.89445694444444446</v>
      </c>
      <c r="X49" s="55">
        <f>AVERAGE(X3,X8,X15,X9,X10,X11,X22,X26,X34,X42,X47)</f>
        <v>0.87692045454545453</v>
      </c>
      <c r="Y49" s="55">
        <f>AVERAGE(Y3,Y8,Y15,Y9,Y10,Y11,Y22,Y26,Y34,Y42,Y47,Y48)</f>
        <v>0.98991608333333325</v>
      </c>
      <c r="Z49" s="55">
        <f>AVERAGE(Z3,Z8,Z15,Z9,Z10,Z11,Z22,Z26,Z34,Z42,Z47)</f>
        <v>0.9821284545454545</v>
      </c>
    </row>
    <row r="50" spans="1:26" ht="7.5" customHeight="1" x14ac:dyDescent="0.25">
      <c r="K50" s="210">
        <v>0.48049999999999998</v>
      </c>
      <c r="L50" s="210">
        <v>0.46616666666666667</v>
      </c>
      <c r="M50" s="211"/>
    </row>
    <row r="51" spans="1:26" ht="7.5" customHeight="1" x14ac:dyDescent="0.25">
      <c r="M51" s="83"/>
    </row>
    <row r="52" spans="1:26" ht="7.5" customHeight="1" thickBot="1" x14ac:dyDescent="0.3"/>
    <row r="53" spans="1:26" ht="15" customHeight="1" x14ac:dyDescent="0.25">
      <c r="A53" s="348" t="s">
        <v>56</v>
      </c>
      <c r="B53" s="349"/>
      <c r="C53" s="349"/>
      <c r="D53" s="349"/>
      <c r="E53" s="349"/>
      <c r="F53" s="349"/>
      <c r="G53" s="349"/>
      <c r="H53" s="349"/>
      <c r="I53" s="349"/>
      <c r="J53" s="349"/>
      <c r="K53" s="349"/>
      <c r="L53" s="349"/>
      <c r="M53" s="349"/>
      <c r="N53" s="349"/>
      <c r="O53" s="349"/>
      <c r="P53" s="349"/>
      <c r="Q53" s="349"/>
      <c r="R53" s="349"/>
      <c r="S53" s="349"/>
      <c r="T53" s="349"/>
      <c r="U53" s="349"/>
      <c r="V53" s="349"/>
      <c r="W53" s="349"/>
      <c r="X53" s="349"/>
      <c r="Y53" s="349"/>
      <c r="Z53" s="350"/>
    </row>
    <row r="54" spans="1:26" x14ac:dyDescent="0.25">
      <c r="A54" s="336"/>
      <c r="B54" s="337"/>
      <c r="C54" s="337"/>
      <c r="D54" s="337"/>
      <c r="E54" s="337"/>
      <c r="F54" s="337"/>
      <c r="G54" s="337"/>
      <c r="H54" s="337"/>
      <c r="I54" s="337"/>
      <c r="J54" s="337"/>
      <c r="K54" s="337"/>
      <c r="L54" s="337"/>
      <c r="M54" s="337"/>
      <c r="N54" s="337"/>
      <c r="O54" s="337"/>
      <c r="P54" s="337"/>
      <c r="Q54" s="337"/>
      <c r="R54" s="337"/>
      <c r="S54" s="337"/>
      <c r="T54" s="337"/>
      <c r="U54" s="337"/>
      <c r="V54" s="337"/>
      <c r="W54" s="337"/>
      <c r="X54" s="337"/>
      <c r="Y54" s="337"/>
      <c r="Z54" s="338"/>
    </row>
    <row r="55" spans="1:26" ht="15" customHeight="1" x14ac:dyDescent="0.25">
      <c r="A55" s="336" t="s">
        <v>57</v>
      </c>
      <c r="B55" s="337"/>
      <c r="C55" s="337"/>
      <c r="D55" s="337"/>
      <c r="E55" s="337"/>
      <c r="F55" s="337"/>
      <c r="G55" s="337"/>
      <c r="H55" s="337"/>
      <c r="I55" s="337"/>
      <c r="J55" s="337"/>
      <c r="K55" s="337"/>
      <c r="L55" s="337"/>
      <c r="M55" s="337"/>
      <c r="N55" s="337"/>
      <c r="O55" s="337"/>
      <c r="P55" s="337"/>
      <c r="Q55" s="337"/>
      <c r="R55" s="337"/>
      <c r="S55" s="337"/>
      <c r="T55" s="337"/>
      <c r="U55" s="337"/>
      <c r="V55" s="337"/>
      <c r="W55" s="337"/>
      <c r="X55" s="337"/>
      <c r="Y55" s="337"/>
      <c r="Z55" s="338"/>
    </row>
    <row r="56" spans="1:26" ht="48" customHeight="1" x14ac:dyDescent="0.25">
      <c r="A56" s="336" t="s">
        <v>58</v>
      </c>
      <c r="B56" s="337"/>
      <c r="C56" s="337"/>
      <c r="D56" s="337"/>
      <c r="E56" s="337"/>
      <c r="F56" s="337"/>
      <c r="G56" s="337"/>
      <c r="H56" s="337"/>
      <c r="I56" s="337"/>
      <c r="J56" s="337"/>
      <c r="K56" s="337"/>
      <c r="L56" s="337"/>
      <c r="M56" s="337"/>
      <c r="N56" s="337"/>
      <c r="O56" s="337"/>
      <c r="P56" s="337"/>
      <c r="Q56" s="337"/>
      <c r="R56" s="337"/>
      <c r="S56" s="337"/>
      <c r="T56" s="337"/>
      <c r="U56" s="337"/>
      <c r="V56" s="337"/>
      <c r="W56" s="337"/>
      <c r="X56" s="337"/>
      <c r="Y56" s="337"/>
      <c r="Z56" s="338"/>
    </row>
    <row r="57" spans="1:26" ht="15" customHeight="1" x14ac:dyDescent="0.25">
      <c r="A57" s="336" t="s">
        <v>1979</v>
      </c>
      <c r="B57" s="337"/>
      <c r="C57" s="337"/>
      <c r="D57" s="337"/>
      <c r="E57" s="337"/>
      <c r="F57" s="337"/>
      <c r="G57" s="337"/>
      <c r="H57" s="337"/>
      <c r="I57" s="337"/>
      <c r="J57" s="337"/>
      <c r="K57" s="337"/>
      <c r="L57" s="337"/>
      <c r="M57" s="337"/>
      <c r="N57" s="337"/>
      <c r="O57" s="337"/>
      <c r="P57" s="337"/>
      <c r="Q57" s="337"/>
      <c r="R57" s="337"/>
      <c r="S57" s="337"/>
      <c r="T57" s="337"/>
      <c r="U57" s="337"/>
      <c r="V57" s="337"/>
      <c r="W57" s="337"/>
      <c r="X57" s="337"/>
      <c r="Y57" s="337"/>
      <c r="Z57" s="338"/>
    </row>
    <row r="58" spans="1:26" ht="2.25" customHeight="1" x14ac:dyDescent="0.25">
      <c r="A58" s="336"/>
      <c r="B58" s="337"/>
      <c r="C58" s="337"/>
      <c r="D58" s="337"/>
      <c r="E58" s="337"/>
      <c r="F58" s="337"/>
      <c r="G58" s="337"/>
      <c r="H58" s="337"/>
      <c r="I58" s="337"/>
      <c r="J58" s="337"/>
      <c r="K58" s="337"/>
      <c r="L58" s="337"/>
      <c r="M58" s="337"/>
      <c r="N58" s="337"/>
      <c r="O58" s="337"/>
      <c r="P58" s="337"/>
      <c r="Q58" s="337"/>
      <c r="R58" s="337"/>
      <c r="S58" s="337"/>
      <c r="T58" s="337"/>
      <c r="U58" s="337"/>
      <c r="V58" s="337"/>
      <c r="W58" s="337"/>
      <c r="X58" s="337"/>
      <c r="Y58" s="337"/>
      <c r="Z58" s="338"/>
    </row>
    <row r="59" spans="1:26" ht="15.75" thickBot="1" x14ac:dyDescent="0.3">
      <c r="A59" s="339"/>
      <c r="B59" s="340"/>
      <c r="C59" s="340"/>
      <c r="D59" s="340"/>
      <c r="E59" s="340"/>
      <c r="F59" s="340"/>
      <c r="G59" s="340"/>
      <c r="H59" s="340"/>
      <c r="I59" s="340"/>
      <c r="J59" s="340"/>
      <c r="K59" s="340"/>
      <c r="L59" s="340"/>
      <c r="M59" s="340"/>
      <c r="N59" s="340"/>
      <c r="O59" s="340"/>
      <c r="P59" s="340"/>
      <c r="Q59" s="340"/>
      <c r="R59" s="340"/>
      <c r="S59" s="340"/>
      <c r="T59" s="340"/>
      <c r="U59" s="340"/>
      <c r="V59" s="340"/>
      <c r="W59" s="340"/>
      <c r="X59" s="340"/>
      <c r="Y59" s="340"/>
      <c r="Z59" s="341"/>
    </row>
    <row r="116" spans="1:1" x14ac:dyDescent="0.25">
      <c r="A116" s="292" t="s">
        <v>1031</v>
      </c>
    </row>
  </sheetData>
  <mergeCells count="25">
    <mergeCell ref="A23:A26"/>
    <mergeCell ref="K1:L1"/>
    <mergeCell ref="M1:N1"/>
    <mergeCell ref="O1:P1"/>
    <mergeCell ref="Q1:R1"/>
    <mergeCell ref="A1:A2"/>
    <mergeCell ref="B1:B2"/>
    <mergeCell ref="C1:D1"/>
    <mergeCell ref="E1:F1"/>
    <mergeCell ref="G1:H1"/>
    <mergeCell ref="I1:J1"/>
    <mergeCell ref="W1:X1"/>
    <mergeCell ref="Y1:Z1"/>
    <mergeCell ref="A4:A8"/>
    <mergeCell ref="A12:A15"/>
    <mergeCell ref="A16:A22"/>
    <mergeCell ref="S1:T1"/>
    <mergeCell ref="U1:V1"/>
    <mergeCell ref="A57:Z59"/>
    <mergeCell ref="A27:A34"/>
    <mergeCell ref="A35:A42"/>
    <mergeCell ref="A43:A47"/>
    <mergeCell ref="A53:Z54"/>
    <mergeCell ref="A55:Z55"/>
    <mergeCell ref="A56:Z56"/>
  </mergeCells>
  <pageMargins left="0.7" right="0.7" top="0.75" bottom="0.75" header="0.3" footer="0.3"/>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A319A-A10D-464B-91F9-1B9F5BA6B64F}">
  <sheetPr>
    <tabColor theme="4" tint="-0.499984740745262"/>
  </sheetPr>
  <dimension ref="A1:FR31"/>
  <sheetViews>
    <sheetView showGridLines="0" topLeftCell="F1" zoomScale="80" zoomScaleNormal="80" workbookViewId="0">
      <selection activeCell="G1" sqref="G1"/>
    </sheetView>
  </sheetViews>
  <sheetFormatPr baseColWidth="10" defaultColWidth="11.42578125" defaultRowHeight="15" x14ac:dyDescent="0.25"/>
  <cols>
    <col min="1" max="1" width="48.5703125" customWidth="1"/>
    <col min="2" max="2" width="45.7109375" hidden="1" customWidth="1"/>
    <col min="3" max="3" width="25.140625" style="3" customWidth="1"/>
    <col min="4" max="4" width="16.42578125" style="3" customWidth="1"/>
    <col min="5" max="5" width="19.28515625" style="3" customWidth="1"/>
    <col min="6" max="6" width="14.140625" style="3" customWidth="1"/>
    <col min="7" max="7" width="20.85546875" style="3" customWidth="1"/>
    <col min="8" max="8" width="15.7109375" style="1" customWidth="1"/>
    <col min="9" max="9" width="16.85546875" style="1" customWidth="1"/>
    <col min="10" max="11" width="45.7109375" style="3" bestFit="1" customWidth="1"/>
    <col min="12" max="12" width="17.7109375" style="5" customWidth="1"/>
    <col min="13" max="13" width="15.28515625" style="3" hidden="1" customWidth="1"/>
    <col min="14" max="14" width="23.42578125" style="64" hidden="1" customWidth="1"/>
    <col min="15" max="15" width="17.7109375" style="5" hidden="1" customWidth="1"/>
    <col min="16" max="16" width="15.28515625" style="3" hidden="1" customWidth="1"/>
    <col min="17" max="17" width="23.42578125" style="64" hidden="1" customWidth="1"/>
    <col min="18" max="18" width="17.7109375" style="5" hidden="1" customWidth="1"/>
    <col min="19" max="19" width="15.28515625" style="3" hidden="1" customWidth="1"/>
    <col min="20" max="20" width="23.42578125" style="64" hidden="1" customWidth="1"/>
    <col min="21" max="21" width="17.7109375" style="5" hidden="1" customWidth="1"/>
    <col min="22" max="22" width="15.28515625" style="3" hidden="1" customWidth="1"/>
    <col min="23" max="23" width="23.42578125" style="64" hidden="1" customWidth="1"/>
    <col min="24" max="24" width="17.7109375" style="5" hidden="1" customWidth="1"/>
    <col min="25" max="25" width="15.28515625" style="3" hidden="1" customWidth="1"/>
    <col min="26" max="26" width="23.42578125" style="64" hidden="1" customWidth="1"/>
    <col min="27" max="27" width="17.7109375" style="5" hidden="1" customWidth="1"/>
    <col min="28" max="28" width="15.28515625" style="3" hidden="1" customWidth="1"/>
    <col min="29" max="29" width="23.42578125" style="64" hidden="1" customWidth="1"/>
    <col min="30" max="30" width="35.140625" style="5" hidden="1" customWidth="1"/>
    <col min="31" max="32" width="20.85546875" style="5" hidden="1" customWidth="1"/>
    <col min="33" max="33" width="33.42578125" style="5" hidden="1" customWidth="1"/>
    <col min="34" max="34" width="20.85546875" style="5" hidden="1" customWidth="1"/>
    <col min="35" max="35" width="24.28515625" style="5" hidden="1" customWidth="1"/>
    <col min="36" max="36" width="20.85546875" style="5" hidden="1" customWidth="1"/>
    <col min="37" max="38" width="20.85546875" style="5" customWidth="1"/>
    <col min="39" max="39" width="33.85546875" style="5" customWidth="1"/>
    <col min="40" max="41" width="20.85546875" style="5" customWidth="1"/>
    <col min="42" max="42" width="36.7109375" style="5" customWidth="1"/>
    <col min="43" max="43" width="56" style="5" customWidth="1"/>
    <col min="44" max="48" width="20.85546875" style="5" customWidth="1"/>
    <col min="49" max="50" width="45.7109375" style="2" bestFit="1" customWidth="1"/>
    <col min="51" max="51" width="15.28515625" style="6" bestFit="1" customWidth="1"/>
    <col min="52" max="52" width="15.28515625" style="3" hidden="1" customWidth="1"/>
    <col min="53" max="53" width="23.42578125" style="64" hidden="1" customWidth="1"/>
    <col min="54" max="54" width="17.7109375" style="5" hidden="1" customWidth="1"/>
    <col min="55" max="55" width="15.28515625" style="3" hidden="1" customWidth="1"/>
    <col min="56" max="56" width="23.42578125" style="64" hidden="1" customWidth="1"/>
    <col min="57" max="57" width="17.7109375" style="5" hidden="1" customWidth="1"/>
    <col min="58" max="58" width="15.28515625" style="3" hidden="1" customWidth="1"/>
    <col min="59" max="59" width="23.42578125" style="64" hidden="1" customWidth="1"/>
    <col min="60" max="60" width="17.7109375" style="5" hidden="1" customWidth="1"/>
    <col min="61" max="61" width="15.28515625" style="3" hidden="1" customWidth="1"/>
    <col min="62" max="62" width="23.42578125" style="64" hidden="1" customWidth="1"/>
    <col min="63" max="63" width="17.7109375" style="5" hidden="1" customWidth="1"/>
    <col min="64" max="64" width="15.28515625" style="3" hidden="1" customWidth="1"/>
    <col min="65" max="65" width="23.42578125" style="64" hidden="1" customWidth="1"/>
    <col min="66" max="66" width="17.7109375" style="5" hidden="1" customWidth="1"/>
    <col min="67" max="67" width="15.28515625" style="3" hidden="1" customWidth="1"/>
    <col min="68" max="68" width="23.42578125" style="64" hidden="1" customWidth="1"/>
    <col min="69" max="75" width="17.7109375" style="5" hidden="1" customWidth="1"/>
    <col min="76" max="77" width="17.7109375" style="5" customWidth="1"/>
    <col min="78" max="87" width="36.140625" style="5" customWidth="1"/>
    <col min="88" max="88" width="30.140625" style="10" bestFit="1" customWidth="1"/>
    <col min="89" max="89" width="45.7109375" style="10" bestFit="1" customWidth="1"/>
    <col min="90" max="174" width="11.42578125" style="7"/>
  </cols>
  <sheetData>
    <row r="1" spans="1:174" x14ac:dyDescent="0.25">
      <c r="H1"/>
      <c r="I1"/>
      <c r="AY1" s="111"/>
    </row>
    <row r="2" spans="1:174" x14ac:dyDescent="0.25">
      <c r="H2"/>
      <c r="I2"/>
      <c r="AY2" s="111"/>
    </row>
    <row r="3" spans="1:174" x14ac:dyDescent="0.25">
      <c r="H3"/>
      <c r="I3"/>
      <c r="AY3" s="111"/>
    </row>
    <row r="4" spans="1:174" x14ac:dyDescent="0.25">
      <c r="H4"/>
      <c r="I4"/>
      <c r="AY4" s="111"/>
    </row>
    <row r="5" spans="1:174" x14ac:dyDescent="0.25">
      <c r="H5"/>
      <c r="I5"/>
      <c r="N5" s="65"/>
      <c r="Q5" s="65"/>
      <c r="T5" s="65"/>
      <c r="W5" s="65"/>
      <c r="Z5" s="65"/>
      <c r="AC5" s="65"/>
      <c r="AY5" s="111"/>
      <c r="BA5" s="65"/>
      <c r="BD5" s="65"/>
      <c r="BG5" s="65"/>
      <c r="BJ5" s="65"/>
      <c r="BM5" s="65"/>
      <c r="BP5" s="65"/>
    </row>
    <row r="6" spans="1:174" s="9" customFormat="1" ht="30" x14ac:dyDescent="0.2">
      <c r="A6" s="262" t="s">
        <v>59</v>
      </c>
      <c r="B6" s="262" t="s">
        <v>60</v>
      </c>
      <c r="C6" s="318"/>
      <c r="D6" s="358" t="s">
        <v>61</v>
      </c>
      <c r="E6" s="359"/>
      <c r="F6" s="358" t="s">
        <v>62</v>
      </c>
      <c r="G6" s="360"/>
      <c r="H6" s="360"/>
      <c r="I6" s="359"/>
      <c r="J6" s="361" t="s">
        <v>63</v>
      </c>
      <c r="K6" s="361"/>
      <c r="L6" s="361"/>
      <c r="M6" s="362" t="s">
        <v>2</v>
      </c>
      <c r="N6" s="363"/>
      <c r="O6" s="364"/>
      <c r="P6" s="362" t="s">
        <v>3</v>
      </c>
      <c r="Q6" s="363"/>
      <c r="R6" s="364"/>
      <c r="S6" s="362" t="s">
        <v>4</v>
      </c>
      <c r="T6" s="363"/>
      <c r="U6" s="364"/>
      <c r="V6" s="362" t="s">
        <v>830</v>
      </c>
      <c r="W6" s="363"/>
      <c r="X6" s="364"/>
      <c r="Y6" s="362" t="s">
        <v>831</v>
      </c>
      <c r="Z6" s="363"/>
      <c r="AA6" s="364"/>
      <c r="AB6" s="362" t="s">
        <v>832</v>
      </c>
      <c r="AC6" s="363"/>
      <c r="AD6" s="364"/>
      <c r="AE6" s="362" t="s">
        <v>1026</v>
      </c>
      <c r="AF6" s="363"/>
      <c r="AG6" s="364"/>
      <c r="AH6" s="362" t="s">
        <v>1027</v>
      </c>
      <c r="AI6" s="363"/>
      <c r="AJ6" s="364"/>
      <c r="AK6" s="362" t="s">
        <v>1028</v>
      </c>
      <c r="AL6" s="363"/>
      <c r="AM6" s="364"/>
      <c r="AN6" s="362" t="s">
        <v>1029</v>
      </c>
      <c r="AO6" s="363"/>
      <c r="AP6" s="364"/>
      <c r="AQ6" s="362" t="s">
        <v>1030</v>
      </c>
      <c r="AR6" s="363"/>
      <c r="AS6" s="364"/>
      <c r="AT6" s="362" t="s">
        <v>1701</v>
      </c>
      <c r="AU6" s="363"/>
      <c r="AV6" s="364"/>
      <c r="AW6" s="410" t="s">
        <v>64</v>
      </c>
      <c r="AX6" s="410"/>
      <c r="AY6" s="410"/>
      <c r="AZ6" s="387" t="s">
        <v>2</v>
      </c>
      <c r="BA6" s="388"/>
      <c r="BB6" s="389"/>
      <c r="BC6" s="387" t="s">
        <v>3</v>
      </c>
      <c r="BD6" s="388"/>
      <c r="BE6" s="389"/>
      <c r="BF6" s="387" t="s">
        <v>4</v>
      </c>
      <c r="BG6" s="388"/>
      <c r="BH6" s="389"/>
      <c r="BI6" s="387" t="s">
        <v>830</v>
      </c>
      <c r="BJ6" s="388"/>
      <c r="BK6" s="389"/>
      <c r="BL6" s="387" t="s">
        <v>831</v>
      </c>
      <c r="BM6" s="388"/>
      <c r="BN6" s="389"/>
      <c r="BO6" s="387" t="s">
        <v>832</v>
      </c>
      <c r="BP6" s="388"/>
      <c r="BQ6" s="389"/>
      <c r="BR6" s="387" t="s">
        <v>1026</v>
      </c>
      <c r="BS6" s="388"/>
      <c r="BT6" s="389"/>
      <c r="BU6" s="387" t="s">
        <v>1027</v>
      </c>
      <c r="BV6" s="388"/>
      <c r="BW6" s="389"/>
      <c r="BX6" s="387" t="s">
        <v>1028</v>
      </c>
      <c r="BY6" s="388"/>
      <c r="BZ6" s="389"/>
      <c r="CA6" s="387" t="s">
        <v>1029</v>
      </c>
      <c r="CB6" s="388"/>
      <c r="CC6" s="389"/>
      <c r="CD6" s="387" t="s">
        <v>1030</v>
      </c>
      <c r="CE6" s="388"/>
      <c r="CF6" s="389"/>
      <c r="CG6" s="387" t="s">
        <v>1701</v>
      </c>
      <c r="CH6" s="388"/>
      <c r="CI6" s="389"/>
      <c r="CJ6" s="361" t="s">
        <v>65</v>
      </c>
      <c r="CK6" s="361"/>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row>
    <row r="7" spans="1:174" s="9" customFormat="1" ht="69.75" customHeight="1" x14ac:dyDescent="0.2">
      <c r="A7" s="262" t="s">
        <v>66</v>
      </c>
      <c r="B7" s="262" t="s">
        <v>67</v>
      </c>
      <c r="C7" s="262" t="s">
        <v>68</v>
      </c>
      <c r="D7" s="262" t="s">
        <v>69</v>
      </c>
      <c r="E7" s="262" t="s">
        <v>70</v>
      </c>
      <c r="F7" s="262" t="s">
        <v>71</v>
      </c>
      <c r="G7" s="262" t="s">
        <v>72</v>
      </c>
      <c r="H7" s="12" t="s">
        <v>73</v>
      </c>
      <c r="I7" s="12" t="s">
        <v>74</v>
      </c>
      <c r="J7" s="262" t="s">
        <v>63</v>
      </c>
      <c r="K7" s="262" t="s">
        <v>75</v>
      </c>
      <c r="L7" s="262" t="s">
        <v>76</v>
      </c>
      <c r="M7" s="262" t="s">
        <v>77</v>
      </c>
      <c r="N7" s="66" t="s">
        <v>78</v>
      </c>
      <c r="O7" s="262" t="s">
        <v>79</v>
      </c>
      <c r="P7" s="262" t="s">
        <v>77</v>
      </c>
      <c r="Q7" s="66" t="s">
        <v>78</v>
      </c>
      <c r="R7" s="262" t="s">
        <v>79</v>
      </c>
      <c r="S7" s="262" t="s">
        <v>77</v>
      </c>
      <c r="T7" s="66" t="s">
        <v>78</v>
      </c>
      <c r="U7" s="262" t="s">
        <v>79</v>
      </c>
      <c r="V7" s="262" t="s">
        <v>77</v>
      </c>
      <c r="W7" s="66" t="s">
        <v>78</v>
      </c>
      <c r="X7" s="262" t="s">
        <v>79</v>
      </c>
      <c r="Y7" s="262" t="s">
        <v>77</v>
      </c>
      <c r="Z7" s="66" t="s">
        <v>78</v>
      </c>
      <c r="AA7" s="262" t="s">
        <v>79</v>
      </c>
      <c r="AB7" s="262" t="s">
        <v>77</v>
      </c>
      <c r="AC7" s="66" t="s">
        <v>78</v>
      </c>
      <c r="AD7" s="262" t="s">
        <v>79</v>
      </c>
      <c r="AE7" s="262" t="s">
        <v>77</v>
      </c>
      <c r="AF7" s="66" t="s">
        <v>78</v>
      </c>
      <c r="AG7" s="262" t="s">
        <v>79</v>
      </c>
      <c r="AH7" s="262" t="s">
        <v>77</v>
      </c>
      <c r="AI7" s="66" t="s">
        <v>78</v>
      </c>
      <c r="AJ7" s="262" t="s">
        <v>79</v>
      </c>
      <c r="AK7" s="262" t="s">
        <v>77</v>
      </c>
      <c r="AL7" s="66" t="s">
        <v>78</v>
      </c>
      <c r="AM7" s="262" t="s">
        <v>79</v>
      </c>
      <c r="AN7" s="262" t="s">
        <v>77</v>
      </c>
      <c r="AO7" s="66" t="s">
        <v>78</v>
      </c>
      <c r="AP7" s="262" t="s">
        <v>79</v>
      </c>
      <c r="AQ7" s="262" t="s">
        <v>77</v>
      </c>
      <c r="AR7" s="66" t="s">
        <v>78</v>
      </c>
      <c r="AS7" s="262" t="s">
        <v>79</v>
      </c>
      <c r="AT7" s="262" t="s">
        <v>77</v>
      </c>
      <c r="AU7" s="66" t="s">
        <v>78</v>
      </c>
      <c r="AV7" s="262" t="s">
        <v>79</v>
      </c>
      <c r="AW7" s="269" t="s">
        <v>64</v>
      </c>
      <c r="AX7" s="269" t="s">
        <v>80</v>
      </c>
      <c r="AY7" s="269" t="s">
        <v>81</v>
      </c>
      <c r="AZ7" s="269" t="s">
        <v>77</v>
      </c>
      <c r="BA7" s="214" t="s">
        <v>78</v>
      </c>
      <c r="BB7" s="269" t="s">
        <v>79</v>
      </c>
      <c r="BC7" s="269" t="s">
        <v>77</v>
      </c>
      <c r="BD7" s="214" t="s">
        <v>78</v>
      </c>
      <c r="BE7" s="269" t="s">
        <v>79</v>
      </c>
      <c r="BF7" s="269" t="s">
        <v>77</v>
      </c>
      <c r="BG7" s="214" t="s">
        <v>78</v>
      </c>
      <c r="BH7" s="269" t="s">
        <v>79</v>
      </c>
      <c r="BI7" s="269" t="s">
        <v>77</v>
      </c>
      <c r="BJ7" s="214" t="s">
        <v>78</v>
      </c>
      <c r="BK7" s="269" t="s">
        <v>79</v>
      </c>
      <c r="BL7" s="269" t="s">
        <v>77</v>
      </c>
      <c r="BM7" s="214" t="s">
        <v>78</v>
      </c>
      <c r="BN7" s="269" t="s">
        <v>79</v>
      </c>
      <c r="BO7" s="269" t="s">
        <v>77</v>
      </c>
      <c r="BP7" s="214" t="s">
        <v>78</v>
      </c>
      <c r="BQ7" s="269" t="s">
        <v>79</v>
      </c>
      <c r="BR7" s="269" t="s">
        <v>77</v>
      </c>
      <c r="BS7" s="214" t="s">
        <v>78</v>
      </c>
      <c r="BT7" s="269" t="s">
        <v>79</v>
      </c>
      <c r="BU7" s="269" t="s">
        <v>77</v>
      </c>
      <c r="BV7" s="214" t="s">
        <v>78</v>
      </c>
      <c r="BW7" s="269" t="s">
        <v>79</v>
      </c>
      <c r="BX7" s="269" t="s">
        <v>77</v>
      </c>
      <c r="BY7" s="214" t="s">
        <v>78</v>
      </c>
      <c r="BZ7" s="269" t="s">
        <v>79</v>
      </c>
      <c r="CA7" s="269" t="s">
        <v>77</v>
      </c>
      <c r="CB7" s="214" t="s">
        <v>78</v>
      </c>
      <c r="CC7" s="269" t="s">
        <v>79</v>
      </c>
      <c r="CD7" s="269" t="s">
        <v>77</v>
      </c>
      <c r="CE7" s="214" t="s">
        <v>78</v>
      </c>
      <c r="CF7" s="269" t="s">
        <v>79</v>
      </c>
      <c r="CG7" s="269" t="s">
        <v>77</v>
      </c>
      <c r="CH7" s="214" t="s">
        <v>78</v>
      </c>
      <c r="CI7" s="269" t="s">
        <v>79</v>
      </c>
      <c r="CJ7" s="262" t="s">
        <v>82</v>
      </c>
      <c r="CK7" s="262" t="s">
        <v>83</v>
      </c>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row>
    <row r="8" spans="1:174" s="4" customFormat="1" ht="45" customHeight="1" x14ac:dyDescent="0.2">
      <c r="A8" s="369" t="s">
        <v>84</v>
      </c>
      <c r="B8" s="369" t="s">
        <v>85</v>
      </c>
      <c r="C8" s="369" t="s">
        <v>2721</v>
      </c>
      <c r="D8" s="369" t="s">
        <v>1595</v>
      </c>
      <c r="E8" s="449" t="s">
        <v>1596</v>
      </c>
      <c r="F8" s="369" t="s">
        <v>88</v>
      </c>
      <c r="G8" s="369" t="s">
        <v>89</v>
      </c>
      <c r="H8" s="374">
        <v>6132966875</v>
      </c>
      <c r="I8" s="13">
        <v>1099023764</v>
      </c>
      <c r="J8" s="265" t="s">
        <v>1597</v>
      </c>
      <c r="K8" s="265" t="s">
        <v>1598</v>
      </c>
      <c r="L8" s="15">
        <v>4</v>
      </c>
      <c r="M8" s="279"/>
      <c r="N8" s="60"/>
      <c r="O8" s="279" t="s">
        <v>1599</v>
      </c>
      <c r="P8" s="279"/>
      <c r="Q8" s="60"/>
      <c r="R8" s="279" t="s">
        <v>1599</v>
      </c>
      <c r="S8" s="279"/>
      <c r="T8" s="60"/>
      <c r="U8" s="279" t="s">
        <v>1599</v>
      </c>
      <c r="V8" s="279"/>
      <c r="W8" s="60"/>
      <c r="X8" s="279" t="s">
        <v>1599</v>
      </c>
      <c r="Y8" s="279"/>
      <c r="Z8" s="60"/>
      <c r="AA8" s="279" t="s">
        <v>1599</v>
      </c>
      <c r="AB8" s="77">
        <v>2.2749999999999999</v>
      </c>
      <c r="AC8" s="60">
        <v>0.56899999999999995</v>
      </c>
      <c r="AD8" s="279" t="s">
        <v>1600</v>
      </c>
      <c r="AE8" s="77">
        <v>2.2749999999999999</v>
      </c>
      <c r="AF8" s="60">
        <v>0.56899999999999995</v>
      </c>
      <c r="AG8" s="279" t="s">
        <v>1600</v>
      </c>
      <c r="AH8" s="77">
        <v>2.2749999999999999</v>
      </c>
      <c r="AI8" s="60">
        <v>0.56899999999999995</v>
      </c>
      <c r="AJ8" s="279" t="s">
        <v>1600</v>
      </c>
      <c r="AK8" s="77">
        <v>2.2749999999999999</v>
      </c>
      <c r="AL8" s="60">
        <v>0.56899999999999995</v>
      </c>
      <c r="AM8" s="279" t="s">
        <v>1600</v>
      </c>
      <c r="AN8" s="77">
        <v>2.2749999999999999</v>
      </c>
      <c r="AO8" s="60">
        <v>0.56899999999999995</v>
      </c>
      <c r="AP8" s="279" t="s">
        <v>1600</v>
      </c>
      <c r="AQ8" s="77">
        <v>2.2749999999999999</v>
      </c>
      <c r="AR8" s="60">
        <v>0.56899999999999995</v>
      </c>
      <c r="AS8" s="279" t="s">
        <v>1600</v>
      </c>
      <c r="AT8" s="279">
        <v>0.04</v>
      </c>
      <c r="AU8" s="60">
        <v>1</v>
      </c>
      <c r="AV8" s="279" t="s">
        <v>1822</v>
      </c>
      <c r="AW8" s="14" t="s">
        <v>1601</v>
      </c>
      <c r="AX8" s="14" t="s">
        <v>1602</v>
      </c>
      <c r="AY8" s="272">
        <v>1</v>
      </c>
      <c r="AZ8" s="279"/>
      <c r="BA8" s="60"/>
      <c r="BB8" s="279"/>
      <c r="BC8" s="279"/>
      <c r="BD8" s="60"/>
      <c r="BE8" s="279"/>
      <c r="BF8" s="279">
        <v>0.23</v>
      </c>
      <c r="BG8" s="60">
        <v>0.23</v>
      </c>
      <c r="BH8" s="279" t="s">
        <v>1603</v>
      </c>
      <c r="BI8" s="279">
        <v>0.23</v>
      </c>
      <c r="BJ8" s="60">
        <v>0.23</v>
      </c>
      <c r="BK8" s="279" t="s">
        <v>1604</v>
      </c>
      <c r="BL8" s="279">
        <v>0.23</v>
      </c>
      <c r="BM8" s="60">
        <v>0.23</v>
      </c>
      <c r="BN8" s="279" t="s">
        <v>1604</v>
      </c>
      <c r="BO8" s="279">
        <v>0.55000000000000004</v>
      </c>
      <c r="BP8" s="60">
        <v>0.55000000000000004</v>
      </c>
      <c r="BQ8" s="279" t="s">
        <v>1605</v>
      </c>
      <c r="BR8" s="279">
        <v>0.55000000000000004</v>
      </c>
      <c r="BS8" s="60">
        <v>0.55000000000000004</v>
      </c>
      <c r="BT8" s="279" t="s">
        <v>1605</v>
      </c>
      <c r="BU8" s="279">
        <v>0.55000000000000004</v>
      </c>
      <c r="BV8" s="60">
        <v>0.55000000000000004</v>
      </c>
      <c r="BW8" s="279" t="s">
        <v>1605</v>
      </c>
      <c r="BX8" s="279">
        <v>0.87</v>
      </c>
      <c r="BY8" s="60">
        <v>0.87</v>
      </c>
      <c r="BZ8" s="279" t="s">
        <v>1606</v>
      </c>
      <c r="CA8" s="279">
        <v>0.87</v>
      </c>
      <c r="CB8" s="60">
        <v>0.87</v>
      </c>
      <c r="CC8" s="279" t="s">
        <v>1606</v>
      </c>
      <c r="CD8" s="279">
        <v>0.87</v>
      </c>
      <c r="CE8" s="60">
        <v>0.87</v>
      </c>
      <c r="CF8" s="279" t="s">
        <v>1606</v>
      </c>
      <c r="CG8" s="279">
        <v>1</v>
      </c>
      <c r="CH8" s="60">
        <v>1</v>
      </c>
      <c r="CI8" s="279" t="s">
        <v>1823</v>
      </c>
      <c r="CJ8" s="11" t="s">
        <v>159</v>
      </c>
      <c r="CK8" s="11" t="s">
        <v>1607</v>
      </c>
    </row>
    <row r="9" spans="1:174" s="4" customFormat="1" ht="24" customHeight="1" x14ac:dyDescent="0.2">
      <c r="A9" s="394" t="s">
        <v>84</v>
      </c>
      <c r="B9" s="394"/>
      <c r="C9" s="394" t="s">
        <v>784</v>
      </c>
      <c r="D9" s="394" t="s">
        <v>1595</v>
      </c>
      <c r="E9" s="450"/>
      <c r="F9" s="394" t="s">
        <v>88</v>
      </c>
      <c r="G9" s="394" t="s">
        <v>89</v>
      </c>
      <c r="H9" s="401"/>
      <c r="I9" s="374">
        <v>632800117</v>
      </c>
      <c r="J9" s="369" t="s">
        <v>1608</v>
      </c>
      <c r="K9" s="369" t="s">
        <v>1609</v>
      </c>
      <c r="L9" s="371">
        <v>1</v>
      </c>
      <c r="M9" s="366"/>
      <c r="N9" s="366"/>
      <c r="O9" s="366" t="s">
        <v>1599</v>
      </c>
      <c r="P9" s="366"/>
      <c r="Q9" s="366"/>
      <c r="R9" s="366" t="s">
        <v>1599</v>
      </c>
      <c r="S9" s="366"/>
      <c r="T9" s="366"/>
      <c r="U9" s="366" t="s">
        <v>1599</v>
      </c>
      <c r="V9" s="366"/>
      <c r="W9" s="366"/>
      <c r="X9" s="366" t="s">
        <v>1599</v>
      </c>
      <c r="Y9" s="366"/>
      <c r="Z9" s="366"/>
      <c r="AA9" s="366" t="s">
        <v>1599</v>
      </c>
      <c r="AB9" s="366">
        <v>0.53</v>
      </c>
      <c r="AC9" s="366">
        <v>0.53</v>
      </c>
      <c r="AD9" s="366" t="s">
        <v>1610</v>
      </c>
      <c r="AE9" s="366">
        <v>0.53</v>
      </c>
      <c r="AF9" s="366">
        <v>0.53</v>
      </c>
      <c r="AG9" s="366" t="s">
        <v>1610</v>
      </c>
      <c r="AH9" s="366">
        <v>0.53</v>
      </c>
      <c r="AI9" s="366">
        <v>0.53</v>
      </c>
      <c r="AJ9" s="366" t="s">
        <v>1610</v>
      </c>
      <c r="AK9" s="366">
        <v>0.53</v>
      </c>
      <c r="AL9" s="366">
        <v>0.53</v>
      </c>
      <c r="AM9" s="366" t="s">
        <v>1610</v>
      </c>
      <c r="AN9" s="366">
        <v>0.53</v>
      </c>
      <c r="AO9" s="378">
        <v>0.53</v>
      </c>
      <c r="AP9" s="366" t="s">
        <v>1610</v>
      </c>
      <c r="AQ9" s="366">
        <v>0.53</v>
      </c>
      <c r="AR9" s="378">
        <v>0.53</v>
      </c>
      <c r="AS9" s="366" t="s">
        <v>1610</v>
      </c>
      <c r="AT9" s="366">
        <v>1</v>
      </c>
      <c r="AU9" s="378">
        <v>1</v>
      </c>
      <c r="AV9" s="366" t="s">
        <v>1824</v>
      </c>
      <c r="AW9" s="14" t="s">
        <v>1611</v>
      </c>
      <c r="AX9" s="14" t="s">
        <v>1612</v>
      </c>
      <c r="AY9" s="268">
        <v>8</v>
      </c>
      <c r="AZ9" s="279"/>
      <c r="BA9" s="60"/>
      <c r="BB9" s="279"/>
      <c r="BC9" s="279"/>
      <c r="BD9" s="60"/>
      <c r="BE9" s="279"/>
      <c r="BF9" s="279"/>
      <c r="BG9" s="60"/>
      <c r="BH9" s="279"/>
      <c r="BI9" s="279"/>
      <c r="BJ9" s="60"/>
      <c r="BK9" s="279"/>
      <c r="BL9" s="279"/>
      <c r="BM9" s="60"/>
      <c r="BN9" s="279"/>
      <c r="BO9" s="77">
        <v>1.8</v>
      </c>
      <c r="BP9" s="60">
        <v>0.23</v>
      </c>
      <c r="BQ9" s="279" t="s">
        <v>1613</v>
      </c>
      <c r="BR9" s="77">
        <v>1.8</v>
      </c>
      <c r="BS9" s="60">
        <v>0.23</v>
      </c>
      <c r="BT9" s="279" t="s">
        <v>1614</v>
      </c>
      <c r="BU9" s="77">
        <v>1.8</v>
      </c>
      <c r="BV9" s="60">
        <v>0.23</v>
      </c>
      <c r="BW9" s="279" t="s">
        <v>1614</v>
      </c>
      <c r="BX9" s="77">
        <v>1.8</v>
      </c>
      <c r="BY9" s="60">
        <v>0.23</v>
      </c>
      <c r="BZ9" s="279" t="s">
        <v>1614</v>
      </c>
      <c r="CA9" s="77">
        <v>1.8</v>
      </c>
      <c r="CB9" s="60">
        <v>0.23</v>
      </c>
      <c r="CC9" s="279" t="s">
        <v>1614</v>
      </c>
      <c r="CD9" s="77">
        <v>1.8</v>
      </c>
      <c r="CE9" s="60">
        <v>0.23</v>
      </c>
      <c r="CF9" s="279" t="s">
        <v>1614</v>
      </c>
      <c r="CG9" s="79">
        <v>9</v>
      </c>
      <c r="CH9" s="60">
        <v>1.1299999999999999</v>
      </c>
      <c r="CI9" s="279" t="s">
        <v>1825</v>
      </c>
      <c r="CJ9" s="11" t="s">
        <v>159</v>
      </c>
      <c r="CK9" s="11" t="s">
        <v>1607</v>
      </c>
    </row>
    <row r="10" spans="1:174" s="4" customFormat="1" ht="24" customHeight="1" x14ac:dyDescent="0.2">
      <c r="A10" s="394"/>
      <c r="B10" s="394"/>
      <c r="C10" s="394" t="s">
        <v>784</v>
      </c>
      <c r="D10" s="394" t="s">
        <v>1595</v>
      </c>
      <c r="E10" s="450"/>
      <c r="F10" s="394"/>
      <c r="G10" s="394"/>
      <c r="H10" s="401"/>
      <c r="I10" s="401"/>
      <c r="J10" s="394"/>
      <c r="K10" s="394"/>
      <c r="L10" s="406"/>
      <c r="M10" s="402"/>
      <c r="N10" s="402"/>
      <c r="O10" s="402"/>
      <c r="P10" s="402"/>
      <c r="Q10" s="402"/>
      <c r="R10" s="402"/>
      <c r="S10" s="402"/>
      <c r="T10" s="402"/>
      <c r="U10" s="402"/>
      <c r="V10" s="402"/>
      <c r="W10" s="402"/>
      <c r="X10" s="402"/>
      <c r="Y10" s="402"/>
      <c r="Z10" s="402"/>
      <c r="AA10" s="402"/>
      <c r="AB10" s="402"/>
      <c r="AC10" s="402"/>
      <c r="AD10" s="402"/>
      <c r="AE10" s="402"/>
      <c r="AF10" s="402"/>
      <c r="AG10" s="402"/>
      <c r="AH10" s="402"/>
      <c r="AI10" s="402"/>
      <c r="AJ10" s="402"/>
      <c r="AK10" s="402"/>
      <c r="AL10" s="402"/>
      <c r="AM10" s="402"/>
      <c r="AN10" s="402"/>
      <c r="AO10" s="379"/>
      <c r="AP10" s="402"/>
      <c r="AQ10" s="402"/>
      <c r="AR10" s="379"/>
      <c r="AS10" s="402"/>
      <c r="AT10" s="402"/>
      <c r="AU10" s="379"/>
      <c r="AV10" s="402"/>
      <c r="AW10" s="14" t="s">
        <v>1615</v>
      </c>
      <c r="AX10" s="14" t="s">
        <v>1616</v>
      </c>
      <c r="AY10" s="279">
        <v>1</v>
      </c>
      <c r="AZ10" s="279"/>
      <c r="BA10" s="60"/>
      <c r="BB10" s="279"/>
      <c r="BC10" s="279"/>
      <c r="BD10" s="60"/>
      <c r="BE10" s="279"/>
      <c r="BF10" s="279"/>
      <c r="BG10" s="60"/>
      <c r="BH10" s="279"/>
      <c r="BI10" s="279"/>
      <c r="BJ10" s="60"/>
      <c r="BK10" s="279"/>
      <c r="BL10" s="279"/>
      <c r="BM10" s="60"/>
      <c r="BN10" s="279"/>
      <c r="BO10" s="279">
        <v>0.65</v>
      </c>
      <c r="BP10" s="60">
        <v>0.65</v>
      </c>
      <c r="BQ10" s="279" t="s">
        <v>1617</v>
      </c>
      <c r="BR10" s="279">
        <v>0.65</v>
      </c>
      <c r="BS10" s="60">
        <v>0.65</v>
      </c>
      <c r="BT10" s="279" t="s">
        <v>1614</v>
      </c>
      <c r="BU10" s="279">
        <v>0.65</v>
      </c>
      <c r="BV10" s="60">
        <v>0.65</v>
      </c>
      <c r="BW10" s="279" t="s">
        <v>1614</v>
      </c>
      <c r="BX10" s="279">
        <v>0.65</v>
      </c>
      <c r="BY10" s="60">
        <v>0.65</v>
      </c>
      <c r="BZ10" s="279" t="s">
        <v>1614</v>
      </c>
      <c r="CA10" s="279">
        <v>0.65</v>
      </c>
      <c r="CB10" s="60">
        <v>0.65</v>
      </c>
      <c r="CC10" s="279" t="s">
        <v>1614</v>
      </c>
      <c r="CD10" s="279">
        <v>0.65</v>
      </c>
      <c r="CE10" s="60">
        <v>0.65</v>
      </c>
      <c r="CF10" s="279" t="s">
        <v>1614</v>
      </c>
      <c r="CG10" s="279">
        <v>1</v>
      </c>
      <c r="CH10" s="60">
        <v>1</v>
      </c>
      <c r="CI10" s="279" t="s">
        <v>1826</v>
      </c>
      <c r="CJ10" s="11" t="s">
        <v>159</v>
      </c>
      <c r="CK10" s="11" t="s">
        <v>1607</v>
      </c>
    </row>
    <row r="11" spans="1:174" s="4" customFormat="1" ht="33.75" customHeight="1" x14ac:dyDescent="0.2">
      <c r="A11" s="394" t="s">
        <v>84</v>
      </c>
      <c r="B11" s="394"/>
      <c r="C11" s="394" t="s">
        <v>784</v>
      </c>
      <c r="D11" s="394" t="s">
        <v>1595</v>
      </c>
      <c r="E11" s="450"/>
      <c r="F11" s="394" t="s">
        <v>88</v>
      </c>
      <c r="G11" s="394" t="s">
        <v>89</v>
      </c>
      <c r="H11" s="401"/>
      <c r="I11" s="401"/>
      <c r="J11" s="394"/>
      <c r="K11" s="394"/>
      <c r="L11" s="406"/>
      <c r="M11" s="402"/>
      <c r="N11" s="402"/>
      <c r="O11" s="402"/>
      <c r="P11" s="402"/>
      <c r="Q11" s="402"/>
      <c r="R11" s="402"/>
      <c r="S11" s="402"/>
      <c r="T11" s="402"/>
      <c r="U11" s="402"/>
      <c r="V11" s="402"/>
      <c r="W11" s="402"/>
      <c r="X11" s="402"/>
      <c r="Y11" s="402"/>
      <c r="Z11" s="402"/>
      <c r="AA11" s="402"/>
      <c r="AB11" s="402"/>
      <c r="AC11" s="402"/>
      <c r="AD11" s="402"/>
      <c r="AE11" s="402"/>
      <c r="AF11" s="402"/>
      <c r="AG11" s="402"/>
      <c r="AH11" s="402"/>
      <c r="AI11" s="402"/>
      <c r="AJ11" s="402"/>
      <c r="AK11" s="402"/>
      <c r="AL11" s="402"/>
      <c r="AM11" s="402"/>
      <c r="AN11" s="402"/>
      <c r="AO11" s="379"/>
      <c r="AP11" s="402"/>
      <c r="AQ11" s="402"/>
      <c r="AR11" s="379"/>
      <c r="AS11" s="402"/>
      <c r="AT11" s="402"/>
      <c r="AU11" s="379"/>
      <c r="AV11" s="402"/>
      <c r="AW11" s="14" t="s">
        <v>1618</v>
      </c>
      <c r="AX11" s="14" t="s">
        <v>1619</v>
      </c>
      <c r="AY11" s="279">
        <v>1</v>
      </c>
      <c r="AZ11" s="279">
        <v>0.04</v>
      </c>
      <c r="BA11" s="60">
        <v>0.04</v>
      </c>
      <c r="BB11" s="279" t="s">
        <v>1620</v>
      </c>
      <c r="BC11" s="279">
        <v>0.21</v>
      </c>
      <c r="BD11" s="60">
        <v>0.21</v>
      </c>
      <c r="BE11" s="279" t="s">
        <v>1621</v>
      </c>
      <c r="BF11" s="279">
        <v>0.39</v>
      </c>
      <c r="BG11" s="60">
        <v>0.39</v>
      </c>
      <c r="BH11" s="279" t="s">
        <v>1622</v>
      </c>
      <c r="BI11" s="279">
        <v>0.36</v>
      </c>
      <c r="BJ11" s="60">
        <v>0.36</v>
      </c>
      <c r="BK11" s="279" t="s">
        <v>1623</v>
      </c>
      <c r="BL11" s="279">
        <v>0.49</v>
      </c>
      <c r="BM11" s="60">
        <v>0.49</v>
      </c>
      <c r="BN11" s="279" t="s">
        <v>1624</v>
      </c>
      <c r="BO11" s="279">
        <v>0.59</v>
      </c>
      <c r="BP11" s="60">
        <v>0.59</v>
      </c>
      <c r="BQ11" s="279" t="s">
        <v>1625</v>
      </c>
      <c r="BR11" s="279">
        <v>0.69</v>
      </c>
      <c r="BS11" s="60">
        <v>0.69</v>
      </c>
      <c r="BT11" s="279" t="s">
        <v>1626</v>
      </c>
      <c r="BU11" s="279">
        <v>0.82</v>
      </c>
      <c r="BV11" s="60">
        <v>0.82</v>
      </c>
      <c r="BW11" s="279" t="s">
        <v>1627</v>
      </c>
      <c r="BX11" s="80">
        <v>0.97599999999999998</v>
      </c>
      <c r="BY11" s="109">
        <v>0.97599999999999998</v>
      </c>
      <c r="BZ11" s="279" t="s">
        <v>1628</v>
      </c>
      <c r="CA11" s="80">
        <v>1.1000000000000001</v>
      </c>
      <c r="CB11" s="109">
        <v>1.1000000000000001</v>
      </c>
      <c r="CC11" s="279" t="s">
        <v>1827</v>
      </c>
      <c r="CD11" s="279">
        <v>1.21</v>
      </c>
      <c r="CE11" s="60">
        <v>1.21</v>
      </c>
      <c r="CF11" s="279" t="s">
        <v>1828</v>
      </c>
      <c r="CG11" s="279">
        <v>1.26</v>
      </c>
      <c r="CH11" s="60">
        <v>1.26</v>
      </c>
      <c r="CI11" s="279" t="s">
        <v>1829</v>
      </c>
      <c r="CJ11" s="11" t="s">
        <v>159</v>
      </c>
      <c r="CK11" s="11" t="s">
        <v>1607</v>
      </c>
    </row>
    <row r="12" spans="1:174" s="4" customFormat="1" ht="33.75" customHeight="1" x14ac:dyDescent="0.2">
      <c r="A12" s="394"/>
      <c r="B12" s="394"/>
      <c r="C12" s="394" t="s">
        <v>784</v>
      </c>
      <c r="D12" s="394" t="s">
        <v>1595</v>
      </c>
      <c r="E12" s="450"/>
      <c r="F12" s="394"/>
      <c r="G12" s="394"/>
      <c r="H12" s="401"/>
      <c r="I12" s="401"/>
      <c r="J12" s="394"/>
      <c r="K12" s="394"/>
      <c r="L12" s="406"/>
      <c r="M12" s="402"/>
      <c r="N12" s="402"/>
      <c r="O12" s="402"/>
      <c r="P12" s="402"/>
      <c r="Q12" s="402"/>
      <c r="R12" s="402"/>
      <c r="S12" s="402"/>
      <c r="T12" s="402"/>
      <c r="U12" s="402"/>
      <c r="V12" s="402"/>
      <c r="W12" s="402"/>
      <c r="X12" s="402"/>
      <c r="Y12" s="402"/>
      <c r="Z12" s="402"/>
      <c r="AA12" s="402"/>
      <c r="AB12" s="402"/>
      <c r="AC12" s="402"/>
      <c r="AD12" s="402"/>
      <c r="AE12" s="402"/>
      <c r="AF12" s="402"/>
      <c r="AG12" s="402"/>
      <c r="AH12" s="402"/>
      <c r="AI12" s="402"/>
      <c r="AJ12" s="402"/>
      <c r="AK12" s="402"/>
      <c r="AL12" s="402"/>
      <c r="AM12" s="402"/>
      <c r="AN12" s="402"/>
      <c r="AO12" s="379"/>
      <c r="AP12" s="402"/>
      <c r="AQ12" s="402"/>
      <c r="AR12" s="379"/>
      <c r="AS12" s="402"/>
      <c r="AT12" s="402"/>
      <c r="AU12" s="379"/>
      <c r="AV12" s="402"/>
      <c r="AW12" s="14" t="s">
        <v>1629</v>
      </c>
      <c r="AX12" s="14" t="s">
        <v>1630</v>
      </c>
      <c r="AY12" s="279">
        <v>1</v>
      </c>
      <c r="AZ12" s="279"/>
      <c r="BA12" s="60"/>
      <c r="BB12" s="279"/>
      <c r="BC12" s="279"/>
      <c r="BD12" s="60"/>
      <c r="BE12" s="279"/>
      <c r="BF12" s="279"/>
      <c r="BG12" s="60"/>
      <c r="BH12" s="279"/>
      <c r="BI12" s="279"/>
      <c r="BJ12" s="60"/>
      <c r="BK12" s="279"/>
      <c r="BL12" s="279"/>
      <c r="BM12" s="60"/>
      <c r="BN12" s="279"/>
      <c r="BO12" s="279">
        <v>0.5</v>
      </c>
      <c r="BP12" s="60">
        <v>0.5</v>
      </c>
      <c r="BQ12" s="279" t="s">
        <v>1631</v>
      </c>
      <c r="BR12" s="279">
        <v>0.5</v>
      </c>
      <c r="BS12" s="60">
        <v>0.5</v>
      </c>
      <c r="BT12" s="279" t="s">
        <v>1614</v>
      </c>
      <c r="BU12" s="279">
        <v>0.5</v>
      </c>
      <c r="BV12" s="60">
        <v>0.5</v>
      </c>
      <c r="BW12" s="279" t="s">
        <v>1614</v>
      </c>
      <c r="BX12" s="279">
        <v>0.5</v>
      </c>
      <c r="BY12" s="60">
        <v>0.5</v>
      </c>
      <c r="BZ12" s="279" t="s">
        <v>1614</v>
      </c>
      <c r="CA12" s="279">
        <v>0.5</v>
      </c>
      <c r="CB12" s="60">
        <v>0.5</v>
      </c>
      <c r="CC12" s="279" t="s">
        <v>1614</v>
      </c>
      <c r="CD12" s="279">
        <v>0.5</v>
      </c>
      <c r="CE12" s="60">
        <v>0.5</v>
      </c>
      <c r="CF12" s="279" t="s">
        <v>1614</v>
      </c>
      <c r="CG12" s="279">
        <v>1</v>
      </c>
      <c r="CH12" s="60">
        <v>1</v>
      </c>
      <c r="CI12" s="279" t="s">
        <v>1830</v>
      </c>
      <c r="CJ12" s="11" t="s">
        <v>159</v>
      </c>
      <c r="CK12" s="11" t="s">
        <v>1607</v>
      </c>
    </row>
    <row r="13" spans="1:174" s="4" customFormat="1" ht="33.75" customHeight="1" x14ac:dyDescent="0.2">
      <c r="A13" s="370" t="s">
        <v>84</v>
      </c>
      <c r="B13" s="370"/>
      <c r="C13" s="370" t="s">
        <v>784</v>
      </c>
      <c r="D13" s="370" t="s">
        <v>1595</v>
      </c>
      <c r="E13" s="451"/>
      <c r="F13" s="370" t="s">
        <v>88</v>
      </c>
      <c r="G13" s="370" t="s">
        <v>89</v>
      </c>
      <c r="H13" s="401"/>
      <c r="I13" s="375"/>
      <c r="J13" s="370"/>
      <c r="K13" s="370"/>
      <c r="L13" s="372"/>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c r="AJ13" s="367"/>
      <c r="AK13" s="367"/>
      <c r="AL13" s="367"/>
      <c r="AM13" s="367"/>
      <c r="AN13" s="367"/>
      <c r="AO13" s="380"/>
      <c r="AP13" s="367"/>
      <c r="AQ13" s="367"/>
      <c r="AR13" s="380"/>
      <c r="AS13" s="367"/>
      <c r="AT13" s="367"/>
      <c r="AU13" s="380"/>
      <c r="AV13" s="367"/>
      <c r="AW13" s="14" t="s">
        <v>1632</v>
      </c>
      <c r="AX13" s="14" t="s">
        <v>1633</v>
      </c>
      <c r="AY13" s="268">
        <v>1</v>
      </c>
      <c r="AZ13" s="279"/>
      <c r="BA13" s="60"/>
      <c r="BB13" s="279"/>
      <c r="BC13" s="279"/>
      <c r="BD13" s="60"/>
      <c r="BE13" s="279"/>
      <c r="BF13" s="279">
        <v>0.25</v>
      </c>
      <c r="BG13" s="60">
        <v>0.25</v>
      </c>
      <c r="BH13" s="279" t="s">
        <v>1634</v>
      </c>
      <c r="BI13" s="279">
        <v>0.25</v>
      </c>
      <c r="BJ13" s="60">
        <v>0.25</v>
      </c>
      <c r="BK13" s="279" t="s">
        <v>1604</v>
      </c>
      <c r="BL13" s="279">
        <v>0.25</v>
      </c>
      <c r="BM13" s="60">
        <v>0.25</v>
      </c>
      <c r="BN13" s="279" t="s">
        <v>1604</v>
      </c>
      <c r="BO13" s="279">
        <v>0.5</v>
      </c>
      <c r="BP13" s="60">
        <v>0.5</v>
      </c>
      <c r="BQ13" s="279" t="s">
        <v>1635</v>
      </c>
      <c r="BR13" s="279">
        <v>0.5</v>
      </c>
      <c r="BS13" s="60">
        <v>0.5</v>
      </c>
      <c r="BT13" s="279" t="s">
        <v>1636</v>
      </c>
      <c r="BU13" s="279">
        <v>0.5</v>
      </c>
      <c r="BV13" s="60">
        <v>0.5</v>
      </c>
      <c r="BW13" s="279" t="s">
        <v>1636</v>
      </c>
      <c r="BX13" s="279">
        <v>0.61</v>
      </c>
      <c r="BY13" s="60">
        <v>0.61</v>
      </c>
      <c r="BZ13" s="279" t="s">
        <v>1637</v>
      </c>
      <c r="CA13" s="279">
        <v>0.61</v>
      </c>
      <c r="CB13" s="60">
        <v>0.61</v>
      </c>
      <c r="CC13" s="279" t="s">
        <v>1637</v>
      </c>
      <c r="CD13" s="279">
        <v>0.61</v>
      </c>
      <c r="CE13" s="60">
        <v>0.61</v>
      </c>
      <c r="CF13" s="279" t="s">
        <v>1637</v>
      </c>
      <c r="CG13" s="279">
        <v>1</v>
      </c>
      <c r="CH13" s="60">
        <v>1</v>
      </c>
      <c r="CI13" s="279" t="s">
        <v>1831</v>
      </c>
      <c r="CJ13" s="11" t="s">
        <v>159</v>
      </c>
      <c r="CK13" s="11" t="s">
        <v>1607</v>
      </c>
    </row>
    <row r="14" spans="1:174" ht="75" x14ac:dyDescent="0.25">
      <c r="H14" s="401"/>
      <c r="M14" s="56" t="s">
        <v>161</v>
      </c>
      <c r="N14" s="67" t="s">
        <v>11</v>
      </c>
      <c r="P14" s="56" t="s">
        <v>161</v>
      </c>
      <c r="Q14" s="67" t="s">
        <v>11</v>
      </c>
      <c r="S14" s="56" t="s">
        <v>161</v>
      </c>
      <c r="T14" s="67" t="s">
        <v>11</v>
      </c>
      <c r="V14" s="56" t="s">
        <v>161</v>
      </c>
      <c r="W14" s="67" t="s">
        <v>11</v>
      </c>
      <c r="Y14" s="56" t="s">
        <v>161</v>
      </c>
      <c r="Z14" s="67" t="s">
        <v>11</v>
      </c>
      <c r="AB14" s="56" t="s">
        <v>161</v>
      </c>
      <c r="AC14" s="67" t="s">
        <v>11</v>
      </c>
      <c r="AE14" s="56" t="s">
        <v>161</v>
      </c>
      <c r="AF14" s="67">
        <f>AVERAGE(AF8:AF13)</f>
        <v>0.54949999999999999</v>
      </c>
      <c r="AH14" s="56" t="s">
        <v>161</v>
      </c>
      <c r="AI14" s="67">
        <f>AVERAGE(AI8:AI13)</f>
        <v>0.54949999999999999</v>
      </c>
      <c r="AK14" s="56" t="s">
        <v>161</v>
      </c>
      <c r="AL14" s="67">
        <f>AVERAGE(AL8:AL13)</f>
        <v>0.54949999999999999</v>
      </c>
      <c r="AN14" s="56" t="s">
        <v>161</v>
      </c>
      <c r="AO14" s="67">
        <f>AVERAGE(AO8:AO13)</f>
        <v>0.54949999999999999</v>
      </c>
      <c r="AQ14" s="56" t="s">
        <v>161</v>
      </c>
      <c r="AR14" s="67">
        <f>AVERAGE(AR8:AR13)</f>
        <v>0.54949999999999999</v>
      </c>
      <c r="AT14" s="56" t="s">
        <v>161</v>
      </c>
      <c r="AU14" s="67">
        <f>AVERAGE(AU8:AU13)</f>
        <v>1</v>
      </c>
      <c r="AZ14" s="56" t="s">
        <v>162</v>
      </c>
      <c r="BA14" s="67">
        <f>AVERAGE(BA8:BA13)</f>
        <v>0.04</v>
      </c>
      <c r="BC14" s="56" t="s">
        <v>162</v>
      </c>
      <c r="BD14" s="67">
        <f>AVERAGE(BD8:BD13)</f>
        <v>0.21</v>
      </c>
      <c r="BF14" s="56" t="s">
        <v>162</v>
      </c>
      <c r="BG14" s="67">
        <f>AVERAGE(BG8:BG13)</f>
        <v>0.28999999999999998</v>
      </c>
      <c r="BH14" s="7"/>
      <c r="BI14" s="56" t="s">
        <v>162</v>
      </c>
      <c r="BJ14" s="67">
        <f>AVERAGE(BJ11)</f>
        <v>0.36</v>
      </c>
      <c r="BL14" s="56" t="s">
        <v>162</v>
      </c>
      <c r="BM14" s="67">
        <f>AVERAGE(BM11)</f>
        <v>0.49</v>
      </c>
      <c r="BO14" s="56" t="s">
        <v>162</v>
      </c>
      <c r="BP14" s="67">
        <f>AVERAGE(BP8:BP13)</f>
        <v>0.5033333333333333</v>
      </c>
      <c r="BQ14" s="7"/>
      <c r="BR14" s="56" t="s">
        <v>162</v>
      </c>
      <c r="BS14" s="67">
        <f>AVERAGE(BS8:BS13)</f>
        <v>0.52</v>
      </c>
      <c r="BT14" s="7"/>
      <c r="BU14" s="56" t="s">
        <v>162</v>
      </c>
      <c r="BV14" s="67">
        <f>AVERAGE(BV8:BV13)</f>
        <v>0.54166666666666663</v>
      </c>
      <c r="BW14" s="7"/>
      <c r="BX14" s="56" t="s">
        <v>162</v>
      </c>
      <c r="BY14" s="67">
        <f>AVERAGE(BY8:BY13)</f>
        <v>0.63933333333333331</v>
      </c>
      <c r="BZ14" s="7"/>
      <c r="CA14" s="7"/>
      <c r="CB14" s="7"/>
      <c r="CC14" s="7"/>
      <c r="CD14" s="7"/>
      <c r="CE14" s="7"/>
      <c r="CF14" s="7"/>
      <c r="CG14" s="7"/>
      <c r="CH14" s="7"/>
      <c r="CI14" s="7"/>
      <c r="CJ14" s="7"/>
      <c r="CK14" s="7"/>
      <c r="FO14"/>
      <c r="FP14"/>
      <c r="FQ14"/>
      <c r="FR14"/>
    </row>
    <row r="15" spans="1:174" s="4" customFormat="1" ht="235.5" customHeight="1" x14ac:dyDescent="0.2">
      <c r="A15" s="368" t="s">
        <v>84</v>
      </c>
      <c r="B15" s="368" t="s">
        <v>229</v>
      </c>
      <c r="C15" s="369" t="s">
        <v>31</v>
      </c>
      <c r="D15" s="369" t="s">
        <v>1595</v>
      </c>
      <c r="E15" s="449" t="s">
        <v>1638</v>
      </c>
      <c r="F15" s="368" t="s">
        <v>88</v>
      </c>
      <c r="G15" s="368" t="s">
        <v>89</v>
      </c>
      <c r="H15" s="401"/>
      <c r="I15" s="13">
        <v>1276732878</v>
      </c>
      <c r="J15" s="265" t="s">
        <v>1639</v>
      </c>
      <c r="K15" s="265" t="s">
        <v>1640</v>
      </c>
      <c r="L15" s="272">
        <v>1</v>
      </c>
      <c r="M15" s="279">
        <v>0.99</v>
      </c>
      <c r="N15" s="60">
        <v>0.99</v>
      </c>
      <c r="O15" s="279" t="s">
        <v>1641</v>
      </c>
      <c r="P15" s="279">
        <v>1</v>
      </c>
      <c r="Q15" s="60">
        <v>1</v>
      </c>
      <c r="R15" s="279" t="s">
        <v>1642</v>
      </c>
      <c r="S15" s="279">
        <v>1</v>
      </c>
      <c r="T15" s="60">
        <v>1</v>
      </c>
      <c r="U15" s="279" t="s">
        <v>1643</v>
      </c>
      <c r="V15" s="279">
        <v>1</v>
      </c>
      <c r="W15" s="60">
        <v>1</v>
      </c>
      <c r="X15" s="279" t="s">
        <v>1644</v>
      </c>
      <c r="Y15" s="279">
        <v>0.999</v>
      </c>
      <c r="Z15" s="60">
        <v>1</v>
      </c>
      <c r="AA15" s="279" t="s">
        <v>1645</v>
      </c>
      <c r="AB15" s="279">
        <v>0.999</v>
      </c>
      <c r="AC15" s="60">
        <v>1</v>
      </c>
      <c r="AD15" s="279" t="s">
        <v>1646</v>
      </c>
      <c r="AE15" s="279">
        <v>1</v>
      </c>
      <c r="AF15" s="109">
        <v>1</v>
      </c>
      <c r="AG15" s="279" t="s">
        <v>1647</v>
      </c>
      <c r="AH15" s="279">
        <v>1</v>
      </c>
      <c r="AI15" s="109">
        <v>0.999</v>
      </c>
      <c r="AJ15" s="279" t="s">
        <v>1648</v>
      </c>
      <c r="AK15" s="279">
        <v>1</v>
      </c>
      <c r="AL15" s="60">
        <v>1</v>
      </c>
      <c r="AM15" s="279" t="s">
        <v>1649</v>
      </c>
      <c r="AN15" s="80">
        <v>0.999</v>
      </c>
      <c r="AO15" s="109">
        <v>0.999</v>
      </c>
      <c r="AP15" s="279" t="s">
        <v>1832</v>
      </c>
      <c r="AQ15" s="63">
        <v>0.99960000000000004</v>
      </c>
      <c r="AR15" s="76">
        <v>0.99960000000000004</v>
      </c>
      <c r="AS15" s="279" t="s">
        <v>1833</v>
      </c>
      <c r="AT15" s="63">
        <v>0.99960000000000004</v>
      </c>
      <c r="AU15" s="76">
        <v>0.99960000000000004</v>
      </c>
      <c r="AV15" s="279" t="s">
        <v>1834</v>
      </c>
      <c r="AW15" s="368" t="s">
        <v>93</v>
      </c>
      <c r="AX15" s="368"/>
      <c r="AY15" s="368"/>
      <c r="AZ15" s="69"/>
      <c r="BA15" s="71"/>
      <c r="BB15" s="69"/>
      <c r="BC15" s="69"/>
      <c r="BD15" s="71"/>
      <c r="BE15" s="69"/>
      <c r="BF15" s="69"/>
      <c r="BG15" s="71"/>
      <c r="BH15" s="69"/>
      <c r="BI15" s="69"/>
      <c r="BJ15" s="71"/>
      <c r="BK15" s="69"/>
      <c r="BL15" s="69"/>
      <c r="BM15" s="71"/>
      <c r="BN15" s="69"/>
      <c r="BO15" s="69"/>
      <c r="BP15" s="71"/>
      <c r="BQ15" s="69"/>
      <c r="BR15" s="69"/>
      <c r="BS15" s="69"/>
      <c r="BT15" s="69"/>
      <c r="BU15" s="69"/>
      <c r="BV15" s="69"/>
      <c r="BW15" s="69"/>
      <c r="BX15" s="69"/>
      <c r="BY15" s="69"/>
      <c r="BZ15" s="69"/>
      <c r="CA15" s="69"/>
      <c r="CB15" s="69"/>
      <c r="CC15" s="69"/>
      <c r="CD15" s="69"/>
      <c r="CE15" s="69"/>
      <c r="CF15" s="69"/>
      <c r="CG15" s="69"/>
      <c r="CH15" s="69"/>
      <c r="CI15" s="69"/>
      <c r="CJ15" s="11" t="s">
        <v>159</v>
      </c>
      <c r="CK15" s="11" t="s">
        <v>1607</v>
      </c>
    </row>
    <row r="16" spans="1:174" s="4" customFormat="1" ht="70.5" customHeight="1" x14ac:dyDescent="0.2">
      <c r="A16" s="368"/>
      <c r="B16" s="368"/>
      <c r="C16" s="370"/>
      <c r="D16" s="370"/>
      <c r="E16" s="451"/>
      <c r="F16" s="368"/>
      <c r="G16" s="368"/>
      <c r="H16" s="401"/>
      <c r="I16" s="13">
        <v>990223631</v>
      </c>
      <c r="J16" s="265" t="s">
        <v>1650</v>
      </c>
      <c r="K16" s="265" t="s">
        <v>1651</v>
      </c>
      <c r="L16" s="272">
        <v>1</v>
      </c>
      <c r="M16" s="279">
        <v>1</v>
      </c>
      <c r="N16" s="60">
        <v>1</v>
      </c>
      <c r="O16" s="279" t="s">
        <v>1652</v>
      </c>
      <c r="P16" s="279">
        <v>1</v>
      </c>
      <c r="Q16" s="60">
        <v>1</v>
      </c>
      <c r="R16" s="279" t="s">
        <v>1653</v>
      </c>
      <c r="S16" s="279">
        <v>1</v>
      </c>
      <c r="T16" s="60">
        <v>1</v>
      </c>
      <c r="U16" s="279" t="s">
        <v>1654</v>
      </c>
      <c r="V16" s="279">
        <v>1</v>
      </c>
      <c r="W16" s="60">
        <v>1</v>
      </c>
      <c r="X16" s="279" t="s">
        <v>1655</v>
      </c>
      <c r="Y16" s="279">
        <v>1</v>
      </c>
      <c r="Z16" s="60">
        <v>1</v>
      </c>
      <c r="AA16" s="279" t="s">
        <v>1656</v>
      </c>
      <c r="AB16" s="279">
        <v>1</v>
      </c>
      <c r="AC16" s="60">
        <v>1</v>
      </c>
      <c r="AD16" s="279" t="s">
        <v>1657</v>
      </c>
      <c r="AE16" s="279">
        <v>1</v>
      </c>
      <c r="AF16" s="60">
        <v>1</v>
      </c>
      <c r="AG16" s="279" t="s">
        <v>1658</v>
      </c>
      <c r="AH16" s="279">
        <v>1</v>
      </c>
      <c r="AI16" s="60">
        <v>1</v>
      </c>
      <c r="AJ16" s="279" t="s">
        <v>1659</v>
      </c>
      <c r="AK16" s="279">
        <v>1</v>
      </c>
      <c r="AL16" s="60">
        <v>1</v>
      </c>
      <c r="AM16" s="279" t="s">
        <v>1660</v>
      </c>
      <c r="AN16" s="80">
        <v>1</v>
      </c>
      <c r="AO16" s="109">
        <v>1</v>
      </c>
      <c r="AP16" s="279" t="s">
        <v>1835</v>
      </c>
      <c r="AQ16" s="80">
        <v>1</v>
      </c>
      <c r="AR16" s="109">
        <v>1</v>
      </c>
      <c r="AS16" s="279" t="s">
        <v>1836</v>
      </c>
      <c r="AT16" s="80">
        <v>1</v>
      </c>
      <c r="AU16" s="109">
        <v>1</v>
      </c>
      <c r="AV16" s="279" t="s">
        <v>1837</v>
      </c>
      <c r="AW16" s="368" t="s">
        <v>93</v>
      </c>
      <c r="AX16" s="368"/>
      <c r="AY16" s="368"/>
      <c r="AZ16" s="69"/>
      <c r="BA16" s="71"/>
      <c r="BB16" s="69"/>
      <c r="BC16" s="69"/>
      <c r="BD16" s="71"/>
      <c r="BE16" s="69"/>
      <c r="BF16" s="69"/>
      <c r="BG16" s="71"/>
      <c r="BH16" s="69"/>
      <c r="BI16" s="69"/>
      <c r="BJ16" s="71"/>
      <c r="BK16" s="69"/>
      <c r="BL16" s="69"/>
      <c r="BM16" s="71"/>
      <c r="BN16" s="69"/>
      <c r="BO16" s="69"/>
      <c r="BP16" s="71"/>
      <c r="BQ16" s="69"/>
      <c r="BR16" s="69"/>
      <c r="BS16" s="69"/>
      <c r="BT16" s="69"/>
      <c r="BU16" s="69"/>
      <c r="BV16" s="69"/>
      <c r="BW16" s="69"/>
      <c r="BX16" s="69"/>
      <c r="BY16" s="69"/>
      <c r="BZ16" s="69"/>
      <c r="CA16" s="69"/>
      <c r="CB16" s="69"/>
      <c r="CC16" s="69"/>
      <c r="CD16" s="69"/>
      <c r="CE16" s="69"/>
      <c r="CF16" s="69"/>
      <c r="CG16" s="69"/>
      <c r="CH16" s="69"/>
      <c r="CI16" s="69"/>
      <c r="CJ16" s="11" t="s">
        <v>159</v>
      </c>
      <c r="CK16" s="11" t="s">
        <v>1607</v>
      </c>
    </row>
    <row r="17" spans="1:174" ht="75" x14ac:dyDescent="0.25">
      <c r="H17" s="401"/>
      <c r="M17" s="56" t="s">
        <v>161</v>
      </c>
      <c r="N17" s="67">
        <f>AVERAGE(N15:N16)</f>
        <v>0.995</v>
      </c>
      <c r="P17" s="56" t="s">
        <v>161</v>
      </c>
      <c r="Q17" s="67">
        <f>AVERAGE(Q15:Q16)</f>
        <v>1</v>
      </c>
      <c r="S17" s="56" t="s">
        <v>161</v>
      </c>
      <c r="T17" s="67">
        <f>AVERAGE(T15:T16)</f>
        <v>1</v>
      </c>
      <c r="V17" s="56" t="s">
        <v>161</v>
      </c>
      <c r="W17" s="67">
        <f>AVERAGE(W15:W16)</f>
        <v>1</v>
      </c>
      <c r="Y17" s="56" t="s">
        <v>161</v>
      </c>
      <c r="Z17" s="67">
        <f>AVERAGE(Z15:Z16)</f>
        <v>1</v>
      </c>
      <c r="AB17" s="56" t="s">
        <v>161</v>
      </c>
      <c r="AC17" s="67">
        <f>AVERAGE(AC15:AC16)</f>
        <v>1</v>
      </c>
      <c r="AE17" s="56" t="s">
        <v>161</v>
      </c>
      <c r="AF17" s="67">
        <f>AVERAGE(AF15:AF16)</f>
        <v>1</v>
      </c>
      <c r="AH17" s="56" t="s">
        <v>161</v>
      </c>
      <c r="AI17" s="67">
        <f>AVERAGE(AI15:AI16)</f>
        <v>0.99950000000000006</v>
      </c>
      <c r="AK17" s="56" t="s">
        <v>161</v>
      </c>
      <c r="AL17" s="67">
        <f>AVERAGE(AL15:AL16)</f>
        <v>1</v>
      </c>
      <c r="AN17" s="56" t="s">
        <v>161</v>
      </c>
      <c r="AO17" s="67">
        <f>AVERAGE(AO11:AO16)</f>
        <v>0.84949999999999992</v>
      </c>
      <c r="AQ17" s="56" t="s">
        <v>161</v>
      </c>
      <c r="AR17" s="67">
        <f>AVERAGE(AR11:AR16)</f>
        <v>0.84970000000000001</v>
      </c>
      <c r="AT17" s="56" t="s">
        <v>161</v>
      </c>
      <c r="AU17" s="67">
        <f>AVERAGE(AU11:AU16)</f>
        <v>0.99986666666666668</v>
      </c>
      <c r="AZ17" s="56" t="s">
        <v>162</v>
      </c>
      <c r="BA17" s="67" t="s">
        <v>11</v>
      </c>
      <c r="BC17" s="56" t="s">
        <v>162</v>
      </c>
      <c r="BD17" s="67" t="s">
        <v>11</v>
      </c>
      <c r="BF17" s="56" t="s">
        <v>162</v>
      </c>
      <c r="BG17" s="67" t="s">
        <v>11</v>
      </c>
      <c r="BH17" s="7"/>
      <c r="BI17" s="56" t="s">
        <v>162</v>
      </c>
      <c r="BJ17" s="67" t="s">
        <v>11</v>
      </c>
      <c r="BL17" s="56" t="s">
        <v>162</v>
      </c>
      <c r="BM17" s="67" t="s">
        <v>11</v>
      </c>
      <c r="BO17" s="56" t="s">
        <v>162</v>
      </c>
      <c r="BP17" s="67" t="s">
        <v>11</v>
      </c>
      <c r="BQ17" s="7"/>
      <c r="BR17" s="56" t="s">
        <v>162</v>
      </c>
      <c r="BS17" s="67">
        <f>AVERAGE(BS11:BS16)</f>
        <v>0.55249999999999999</v>
      </c>
      <c r="BT17" s="7"/>
      <c r="BU17" s="56" t="s">
        <v>162</v>
      </c>
      <c r="BV17" s="67">
        <f>AVERAGE(BV11:BV16)</f>
        <v>0.59041666666666659</v>
      </c>
      <c r="BW17" s="7"/>
      <c r="BX17" s="56" t="s">
        <v>162</v>
      </c>
      <c r="BY17" s="67">
        <f>AVERAGE(BY11:BY16)</f>
        <v>0.68133333333333335</v>
      </c>
      <c r="BZ17" s="7"/>
      <c r="CA17" s="7"/>
      <c r="CB17" s="7"/>
      <c r="CC17" s="7"/>
      <c r="CD17" s="7"/>
      <c r="CE17" s="7"/>
      <c r="CF17" s="7"/>
      <c r="CG17" s="7"/>
      <c r="CH17" s="7"/>
      <c r="CI17" s="7"/>
      <c r="CJ17" s="7"/>
      <c r="CK17" s="7"/>
      <c r="FO17"/>
      <c r="FP17"/>
      <c r="FQ17"/>
      <c r="FR17"/>
    </row>
    <row r="18" spans="1:174" s="4" customFormat="1" ht="131.25" customHeight="1" x14ac:dyDescent="0.2">
      <c r="A18" s="265" t="s">
        <v>84</v>
      </c>
      <c r="B18" s="265" t="s">
        <v>229</v>
      </c>
      <c r="C18" s="265" t="s">
        <v>2721</v>
      </c>
      <c r="D18" s="265" t="s">
        <v>1595</v>
      </c>
      <c r="E18" s="268" t="s">
        <v>1661</v>
      </c>
      <c r="F18" s="265" t="s">
        <v>88</v>
      </c>
      <c r="G18" s="265" t="s">
        <v>89</v>
      </c>
      <c r="H18" s="401"/>
      <c r="I18" s="13">
        <v>376710180</v>
      </c>
      <c r="J18" s="265" t="s">
        <v>1597</v>
      </c>
      <c r="K18" s="265" t="s">
        <v>1598</v>
      </c>
      <c r="L18" s="15">
        <v>4</v>
      </c>
      <c r="M18" s="279"/>
      <c r="N18" s="60"/>
      <c r="O18" s="279" t="s">
        <v>1599</v>
      </c>
      <c r="P18" s="279"/>
      <c r="Q18" s="60"/>
      <c r="R18" s="279"/>
      <c r="S18" s="279"/>
      <c r="T18" s="60"/>
      <c r="U18" s="279"/>
      <c r="V18" s="279"/>
      <c r="W18" s="60"/>
      <c r="X18" s="279"/>
      <c r="Y18" s="279"/>
      <c r="Z18" s="60"/>
      <c r="AA18" s="279"/>
      <c r="AB18" s="77">
        <v>2.2749999999999999</v>
      </c>
      <c r="AC18" s="60">
        <v>0.56899999999999995</v>
      </c>
      <c r="AD18" s="279" t="s">
        <v>1600</v>
      </c>
      <c r="AE18" s="77">
        <v>2.2749999999999999</v>
      </c>
      <c r="AF18" s="60">
        <v>0.56899999999999995</v>
      </c>
      <c r="AG18" s="279" t="s">
        <v>1600</v>
      </c>
      <c r="AH18" s="77">
        <v>2.2749999999999999</v>
      </c>
      <c r="AI18" s="60">
        <v>0.56899999999999995</v>
      </c>
      <c r="AJ18" s="279" t="s">
        <v>1600</v>
      </c>
      <c r="AK18" s="77">
        <v>2.2749999999999999</v>
      </c>
      <c r="AL18" s="60">
        <v>0.56899999999999995</v>
      </c>
      <c r="AM18" s="279" t="s">
        <v>1600</v>
      </c>
      <c r="AN18" s="77">
        <v>2.2749999999999999</v>
      </c>
      <c r="AO18" s="60">
        <v>0.56899999999999995</v>
      </c>
      <c r="AP18" s="279" t="s">
        <v>1600</v>
      </c>
      <c r="AQ18" s="77">
        <v>2.2749999999999999</v>
      </c>
      <c r="AR18" s="60">
        <v>0.56899999999999995</v>
      </c>
      <c r="AS18" s="279" t="s">
        <v>1600</v>
      </c>
      <c r="AT18" s="279">
        <v>0.04</v>
      </c>
      <c r="AU18" s="60">
        <v>1</v>
      </c>
      <c r="AV18" s="279" t="s">
        <v>1822</v>
      </c>
      <c r="AW18" s="265" t="s">
        <v>1662</v>
      </c>
      <c r="AX18" s="265" t="s">
        <v>1663</v>
      </c>
      <c r="AY18" s="15">
        <v>6</v>
      </c>
      <c r="AZ18" s="279"/>
      <c r="BA18" s="60"/>
      <c r="BB18" s="279"/>
      <c r="BC18" s="279"/>
      <c r="BD18" s="60"/>
      <c r="BE18" s="279"/>
      <c r="BF18" s="77">
        <v>4</v>
      </c>
      <c r="BG18" s="60">
        <v>1</v>
      </c>
      <c r="BH18" s="279" t="s">
        <v>1664</v>
      </c>
      <c r="BI18" s="77">
        <v>4</v>
      </c>
      <c r="BJ18" s="60">
        <v>1</v>
      </c>
      <c r="BK18" s="279" t="s">
        <v>1604</v>
      </c>
      <c r="BL18" s="77">
        <v>4</v>
      </c>
      <c r="BM18" s="60">
        <v>1</v>
      </c>
      <c r="BN18" s="279" t="s">
        <v>1604</v>
      </c>
      <c r="BO18" s="77">
        <v>5</v>
      </c>
      <c r="BP18" s="60">
        <v>1.25</v>
      </c>
      <c r="BQ18" s="279" t="s">
        <v>1665</v>
      </c>
      <c r="BR18" s="77">
        <v>5</v>
      </c>
      <c r="BS18" s="60">
        <v>1.25</v>
      </c>
      <c r="BT18" s="279" t="s">
        <v>1665</v>
      </c>
      <c r="BU18" s="77">
        <v>5</v>
      </c>
      <c r="BV18" s="60">
        <v>1.25</v>
      </c>
      <c r="BW18" s="279" t="s">
        <v>1665</v>
      </c>
      <c r="BX18" s="279">
        <v>1</v>
      </c>
      <c r="BY18" s="279">
        <v>1</v>
      </c>
      <c r="BZ18" s="279" t="s">
        <v>1666</v>
      </c>
      <c r="CA18" s="279">
        <v>1</v>
      </c>
      <c r="CB18" s="279">
        <v>1</v>
      </c>
      <c r="CC18" s="279" t="s">
        <v>1666</v>
      </c>
      <c r="CD18" s="279">
        <v>1</v>
      </c>
      <c r="CE18" s="60">
        <v>1</v>
      </c>
      <c r="CF18" s="279" t="s">
        <v>1666</v>
      </c>
      <c r="CG18" s="279">
        <v>1</v>
      </c>
      <c r="CH18" s="60">
        <v>1</v>
      </c>
      <c r="CI18" s="279" t="s">
        <v>1838</v>
      </c>
      <c r="CJ18" s="11" t="s">
        <v>159</v>
      </c>
      <c r="CK18" s="11" t="s">
        <v>1607</v>
      </c>
    </row>
    <row r="19" spans="1:174" ht="75" x14ac:dyDescent="0.25">
      <c r="H19" s="401"/>
      <c r="M19" s="56" t="s">
        <v>161</v>
      </c>
      <c r="N19" s="67" t="s">
        <v>11</v>
      </c>
      <c r="P19" s="56" t="s">
        <v>161</v>
      </c>
      <c r="Q19" s="67" t="s">
        <v>11</v>
      </c>
      <c r="S19" s="56" t="s">
        <v>161</v>
      </c>
      <c r="T19" s="67" t="s">
        <v>11</v>
      </c>
      <c r="V19" s="56" t="s">
        <v>161</v>
      </c>
      <c r="W19" s="67" t="s">
        <v>11</v>
      </c>
      <c r="Y19" s="56" t="s">
        <v>161</v>
      </c>
      <c r="Z19" s="67" t="s">
        <v>11</v>
      </c>
      <c r="AB19" s="56" t="s">
        <v>161</v>
      </c>
      <c r="AC19" s="67">
        <f>AVERAGE(AC18)</f>
        <v>0.56899999999999995</v>
      </c>
      <c r="AE19" s="56" t="s">
        <v>161</v>
      </c>
      <c r="AF19" s="67">
        <f>AVERAGE(AF18)</f>
        <v>0.56899999999999995</v>
      </c>
      <c r="AH19" s="56" t="s">
        <v>161</v>
      </c>
      <c r="AI19" s="67">
        <f>AVERAGE(AI18)</f>
        <v>0.56899999999999995</v>
      </c>
      <c r="AK19" s="56" t="s">
        <v>161</v>
      </c>
      <c r="AL19" s="67">
        <f>AVERAGE(AL18)</f>
        <v>0.56899999999999995</v>
      </c>
      <c r="AN19" s="56" t="s">
        <v>161</v>
      </c>
      <c r="AO19" s="67">
        <f>AVERAGE(AO13:AO18)</f>
        <v>0.79339999999999988</v>
      </c>
      <c r="AQ19" s="56" t="s">
        <v>161</v>
      </c>
      <c r="AR19" s="67">
        <f>AVERAGE(AR13:AR18)</f>
        <v>0.79356000000000004</v>
      </c>
      <c r="AT19" s="56" t="s">
        <v>161</v>
      </c>
      <c r="AU19" s="67">
        <f>AVERAGE(AU13:AU18)</f>
        <v>0.9998933333333333</v>
      </c>
      <c r="AZ19" s="56" t="s">
        <v>162</v>
      </c>
      <c r="BA19" s="67" t="s">
        <v>11</v>
      </c>
      <c r="BC19" s="56" t="s">
        <v>162</v>
      </c>
      <c r="BD19" s="67" t="s">
        <v>11</v>
      </c>
      <c r="BF19" s="56" t="s">
        <v>162</v>
      </c>
      <c r="BG19" s="67">
        <f>AVERAGE(BG18)</f>
        <v>1</v>
      </c>
      <c r="BH19" s="7"/>
      <c r="BI19" s="56" t="s">
        <v>162</v>
      </c>
      <c r="BJ19" s="67" t="s">
        <v>11</v>
      </c>
      <c r="BL19" s="56" t="s">
        <v>162</v>
      </c>
      <c r="BM19" s="67" t="s">
        <v>11</v>
      </c>
      <c r="BO19" s="56" t="s">
        <v>162</v>
      </c>
      <c r="BP19" s="67">
        <f>AVERAGE(BP18)</f>
        <v>1.25</v>
      </c>
      <c r="BQ19" s="7"/>
      <c r="BR19" s="56" t="s">
        <v>162</v>
      </c>
      <c r="BS19" s="67">
        <f>AVERAGE(BS13:BS18)</f>
        <v>0.70562499999999995</v>
      </c>
      <c r="BT19" s="7"/>
      <c r="BU19" s="56" t="s">
        <v>162</v>
      </c>
      <c r="BV19" s="67">
        <f>AVERAGE(BV13:BV18)</f>
        <v>0.72052083333333328</v>
      </c>
      <c r="BW19" s="7"/>
      <c r="BX19" s="56" t="s">
        <v>162</v>
      </c>
      <c r="BY19" s="67">
        <f>AVERAGE(BY13:BY18)</f>
        <v>0.73266666666666669</v>
      </c>
      <c r="BZ19" s="7"/>
      <c r="CA19" s="7"/>
      <c r="CB19" s="7"/>
      <c r="CC19" s="7"/>
      <c r="CD19" s="7"/>
      <c r="CE19" s="7"/>
      <c r="CF19" s="7"/>
      <c r="CG19" s="7"/>
      <c r="CH19" s="7"/>
      <c r="CI19" s="7"/>
      <c r="CJ19" s="7"/>
      <c r="CK19" s="7"/>
      <c r="FO19"/>
      <c r="FP19"/>
      <c r="FQ19"/>
      <c r="FR19"/>
    </row>
    <row r="20" spans="1:174" s="4" customFormat="1" ht="75" customHeight="1" x14ac:dyDescent="0.2">
      <c r="A20" s="368" t="s">
        <v>84</v>
      </c>
      <c r="B20" s="368" t="s">
        <v>229</v>
      </c>
      <c r="C20" s="368" t="s">
        <v>31</v>
      </c>
      <c r="D20" s="368" t="s">
        <v>1595</v>
      </c>
      <c r="E20" s="373" t="s">
        <v>1667</v>
      </c>
      <c r="F20" s="368" t="s">
        <v>88</v>
      </c>
      <c r="G20" s="368" t="s">
        <v>89</v>
      </c>
      <c r="H20" s="401"/>
      <c r="I20" s="13">
        <v>375194139</v>
      </c>
      <c r="J20" s="265" t="s">
        <v>1668</v>
      </c>
      <c r="K20" s="265" t="s">
        <v>1669</v>
      </c>
      <c r="L20" s="272">
        <v>1</v>
      </c>
      <c r="M20" s="279">
        <v>0.99</v>
      </c>
      <c r="N20" s="279">
        <v>0.99</v>
      </c>
      <c r="O20" s="279" t="s">
        <v>1670</v>
      </c>
      <c r="P20" s="279">
        <v>0.996</v>
      </c>
      <c r="Q20" s="279">
        <v>0.996</v>
      </c>
      <c r="R20" s="279" t="s">
        <v>1671</v>
      </c>
      <c r="S20" s="279">
        <v>1</v>
      </c>
      <c r="T20" s="279">
        <v>1</v>
      </c>
      <c r="U20" s="279" t="s">
        <v>1672</v>
      </c>
      <c r="V20" s="279">
        <v>0.999</v>
      </c>
      <c r="W20" s="279">
        <v>0.999</v>
      </c>
      <c r="X20" s="279" t="s">
        <v>1673</v>
      </c>
      <c r="Y20" s="279">
        <v>0.999</v>
      </c>
      <c r="Z20" s="279">
        <v>0.999</v>
      </c>
      <c r="AA20" s="279" t="s">
        <v>1674</v>
      </c>
      <c r="AB20" s="279">
        <v>0.998</v>
      </c>
      <c r="AC20" s="60">
        <v>0.998</v>
      </c>
      <c r="AD20" s="279" t="s">
        <v>1675</v>
      </c>
      <c r="AE20" s="80">
        <v>0.998</v>
      </c>
      <c r="AF20" s="80">
        <v>0.998</v>
      </c>
      <c r="AG20" s="279" t="s">
        <v>1676</v>
      </c>
      <c r="AH20" s="80">
        <v>0.998</v>
      </c>
      <c r="AI20" s="80">
        <v>0.998</v>
      </c>
      <c r="AJ20" s="279" t="s">
        <v>1677</v>
      </c>
      <c r="AK20" s="80">
        <v>0.998</v>
      </c>
      <c r="AL20" s="80">
        <v>0.998</v>
      </c>
      <c r="AM20" s="279" t="s">
        <v>1678</v>
      </c>
      <c r="AN20" s="80">
        <v>0.998</v>
      </c>
      <c r="AO20" s="80">
        <v>0.998</v>
      </c>
      <c r="AP20" s="279" t="s">
        <v>1839</v>
      </c>
      <c r="AQ20" s="80">
        <v>0.998</v>
      </c>
      <c r="AR20" s="80">
        <v>0.998</v>
      </c>
      <c r="AS20" s="279" t="s">
        <v>1840</v>
      </c>
      <c r="AT20" s="80">
        <v>0.998</v>
      </c>
      <c r="AU20" s="80">
        <v>0.998</v>
      </c>
      <c r="AV20" s="279" t="s">
        <v>1841</v>
      </c>
      <c r="AW20" s="368" t="s">
        <v>93</v>
      </c>
      <c r="AX20" s="368"/>
      <c r="AY20" s="368"/>
      <c r="AZ20" s="69"/>
      <c r="BA20" s="71"/>
      <c r="BB20" s="69"/>
      <c r="BC20" s="69"/>
      <c r="BD20" s="71"/>
      <c r="BE20" s="69"/>
      <c r="BF20" s="69"/>
      <c r="BG20" s="71"/>
      <c r="BH20" s="69"/>
      <c r="BI20" s="69"/>
      <c r="BJ20" s="71"/>
      <c r="BK20" s="69"/>
      <c r="BL20" s="69"/>
      <c r="BM20" s="71"/>
      <c r="BN20" s="69"/>
      <c r="BO20" s="69"/>
      <c r="BP20" s="71"/>
      <c r="BQ20" s="69"/>
      <c r="BR20" s="69"/>
      <c r="BS20" s="69"/>
      <c r="BT20" s="69"/>
      <c r="BU20" s="69"/>
      <c r="BV20" s="69"/>
      <c r="BW20" s="69"/>
      <c r="BX20" s="69"/>
      <c r="BY20" s="69"/>
      <c r="BZ20" s="69"/>
      <c r="CA20" s="69"/>
      <c r="CB20" s="69"/>
      <c r="CC20" s="69"/>
      <c r="CD20" s="69"/>
      <c r="CE20" s="69"/>
      <c r="CF20" s="69"/>
      <c r="CG20" s="69"/>
      <c r="CH20" s="69"/>
      <c r="CI20" s="69"/>
      <c r="CJ20" s="11" t="s">
        <v>159</v>
      </c>
      <c r="CK20" s="11" t="s">
        <v>1607</v>
      </c>
    </row>
    <row r="21" spans="1:174" s="4" customFormat="1" ht="62.25" customHeight="1" x14ac:dyDescent="0.2">
      <c r="A21" s="368"/>
      <c r="B21" s="368"/>
      <c r="C21" s="368"/>
      <c r="D21" s="368"/>
      <c r="E21" s="373"/>
      <c r="F21" s="368"/>
      <c r="G21" s="368"/>
      <c r="H21" s="401"/>
      <c r="I21" s="13">
        <v>1052428954</v>
      </c>
      <c r="J21" s="265" t="s">
        <v>1679</v>
      </c>
      <c r="K21" s="265" t="s">
        <v>1680</v>
      </c>
      <c r="L21" s="272">
        <v>0.95</v>
      </c>
      <c r="M21" s="279"/>
      <c r="N21" s="60"/>
      <c r="O21" s="279" t="s">
        <v>1681</v>
      </c>
      <c r="P21" s="279">
        <v>0.88</v>
      </c>
      <c r="Q21" s="279">
        <v>0.88</v>
      </c>
      <c r="R21" s="279" t="s">
        <v>1682</v>
      </c>
      <c r="S21" s="279">
        <v>0.88</v>
      </c>
      <c r="T21" s="279">
        <v>0.88</v>
      </c>
      <c r="U21" s="279" t="s">
        <v>1683</v>
      </c>
      <c r="V21" s="279">
        <v>0.97</v>
      </c>
      <c r="W21" s="60">
        <v>0.97</v>
      </c>
      <c r="X21" s="279" t="s">
        <v>1684</v>
      </c>
      <c r="Y21" s="279">
        <v>0.97</v>
      </c>
      <c r="Z21" s="60">
        <v>0.97</v>
      </c>
      <c r="AA21" s="279" t="s">
        <v>1683</v>
      </c>
      <c r="AB21" s="279">
        <v>0.97199999999999998</v>
      </c>
      <c r="AC21" s="60">
        <v>0.97199999999999998</v>
      </c>
      <c r="AD21" s="279" t="s">
        <v>1685</v>
      </c>
      <c r="AE21" s="279">
        <v>0.97199999999999998</v>
      </c>
      <c r="AF21" s="60">
        <v>0.97199999999999998</v>
      </c>
      <c r="AG21" s="279" t="s">
        <v>1685</v>
      </c>
      <c r="AH21" s="63">
        <v>0.96650000000000003</v>
      </c>
      <c r="AI21" s="63">
        <v>0.96650000000000003</v>
      </c>
      <c r="AJ21" s="279" t="s">
        <v>1686</v>
      </c>
      <c r="AK21" s="63">
        <v>0.96650000000000003</v>
      </c>
      <c r="AL21" s="63">
        <v>0.96650000000000003</v>
      </c>
      <c r="AM21" s="279" t="s">
        <v>1686</v>
      </c>
      <c r="AN21" s="63">
        <v>0.97270000000000001</v>
      </c>
      <c r="AO21" s="279">
        <v>1.02</v>
      </c>
      <c r="AP21" s="279" t="s">
        <v>1842</v>
      </c>
      <c r="AQ21" s="63">
        <v>0.97270000000000001</v>
      </c>
      <c r="AR21" s="279">
        <v>1.02</v>
      </c>
      <c r="AS21" s="279" t="s">
        <v>1842</v>
      </c>
      <c r="AT21" s="63">
        <v>0.97060000000000002</v>
      </c>
      <c r="AU21" s="279">
        <v>1.0900000000000001</v>
      </c>
      <c r="AV21" s="279" t="s">
        <v>1843</v>
      </c>
      <c r="AW21" s="368" t="s">
        <v>93</v>
      </c>
      <c r="AX21" s="368"/>
      <c r="AY21" s="368"/>
      <c r="AZ21" s="69"/>
      <c r="BA21" s="71"/>
      <c r="BB21" s="69"/>
      <c r="BC21" s="69"/>
      <c r="BD21" s="71"/>
      <c r="BE21" s="69"/>
      <c r="BF21" s="69"/>
      <c r="BG21" s="71"/>
      <c r="BH21" s="69"/>
      <c r="BI21" s="69"/>
      <c r="BJ21" s="71"/>
      <c r="BK21" s="69"/>
      <c r="BL21" s="69"/>
      <c r="BM21" s="71"/>
      <c r="BN21" s="69"/>
      <c r="BO21" s="69"/>
      <c r="BP21" s="71"/>
      <c r="BQ21" s="69"/>
      <c r="BR21" s="69"/>
      <c r="BS21" s="69"/>
      <c r="BT21" s="69"/>
      <c r="BU21" s="69"/>
      <c r="BV21" s="69"/>
      <c r="BW21" s="69"/>
      <c r="BX21" s="69"/>
      <c r="BY21" s="69"/>
      <c r="BZ21" s="69"/>
      <c r="CA21" s="69"/>
      <c r="CB21" s="69"/>
      <c r="CC21" s="69"/>
      <c r="CD21" s="69"/>
      <c r="CE21" s="69"/>
      <c r="CF21" s="69"/>
      <c r="CG21" s="69"/>
      <c r="CH21" s="69"/>
      <c r="CI21" s="69"/>
      <c r="CJ21" s="11" t="s">
        <v>159</v>
      </c>
      <c r="CK21" s="11" t="s">
        <v>1607</v>
      </c>
    </row>
    <row r="22" spans="1:174" s="4" customFormat="1" ht="33.75" customHeight="1" x14ac:dyDescent="0.2">
      <c r="A22" s="368"/>
      <c r="B22" s="368"/>
      <c r="C22" s="368"/>
      <c r="D22" s="368"/>
      <c r="E22" s="368"/>
      <c r="F22" s="368"/>
      <c r="G22" s="368"/>
      <c r="H22" s="401"/>
      <c r="I22" s="374">
        <v>129761618</v>
      </c>
      <c r="J22" s="369" t="s">
        <v>1597</v>
      </c>
      <c r="K22" s="369" t="s">
        <v>1598</v>
      </c>
      <c r="L22" s="436">
        <v>4</v>
      </c>
      <c r="M22" s="366"/>
      <c r="N22" s="366"/>
      <c r="O22" s="366" t="s">
        <v>1599</v>
      </c>
      <c r="P22" s="366"/>
      <c r="Q22" s="366"/>
      <c r="R22" s="366"/>
      <c r="S22" s="366"/>
      <c r="T22" s="366"/>
      <c r="U22" s="366"/>
      <c r="V22" s="366"/>
      <c r="W22" s="366"/>
      <c r="X22" s="366"/>
      <c r="Y22" s="366"/>
      <c r="Z22" s="366"/>
      <c r="AA22" s="366"/>
      <c r="AB22" s="366">
        <v>2.2749999999999999E-2</v>
      </c>
      <c r="AC22" s="366">
        <v>0.56899999999999995</v>
      </c>
      <c r="AD22" s="366" t="s">
        <v>1600</v>
      </c>
      <c r="AE22" s="366">
        <v>2.2749999999999999E-2</v>
      </c>
      <c r="AF22" s="366">
        <v>0.56899999999999995</v>
      </c>
      <c r="AG22" s="366" t="s">
        <v>1600</v>
      </c>
      <c r="AH22" s="366">
        <v>2.2749999999999999E-2</v>
      </c>
      <c r="AI22" s="366">
        <v>0.56899999999999995</v>
      </c>
      <c r="AJ22" s="366" t="s">
        <v>1600</v>
      </c>
      <c r="AK22" s="366">
        <v>2.2749999999999999E-2</v>
      </c>
      <c r="AL22" s="366">
        <v>0.56899999999999995</v>
      </c>
      <c r="AM22" s="366" t="s">
        <v>1600</v>
      </c>
      <c r="AN22" s="366">
        <v>2.2749999999999999E-2</v>
      </c>
      <c r="AO22" s="366">
        <v>0.56899999999999995</v>
      </c>
      <c r="AP22" s="366" t="s">
        <v>1600</v>
      </c>
      <c r="AQ22" s="366">
        <v>2.2749999999999999E-2</v>
      </c>
      <c r="AR22" s="366">
        <v>0.56899999999999995</v>
      </c>
      <c r="AS22" s="366" t="s">
        <v>1600</v>
      </c>
      <c r="AT22" s="366">
        <v>0.04</v>
      </c>
      <c r="AU22" s="378">
        <v>1</v>
      </c>
      <c r="AV22" s="366" t="s">
        <v>1822</v>
      </c>
      <c r="AW22" s="265" t="s">
        <v>1601</v>
      </c>
      <c r="AX22" s="265" t="s">
        <v>1602</v>
      </c>
      <c r="AY22" s="272">
        <v>1</v>
      </c>
      <c r="AZ22" s="279"/>
      <c r="BA22" s="60"/>
      <c r="BB22" s="279"/>
      <c r="BC22" s="279"/>
      <c r="BD22" s="60"/>
      <c r="BE22" s="279"/>
      <c r="BF22" s="279">
        <v>0.23</v>
      </c>
      <c r="BG22" s="60">
        <v>0.23</v>
      </c>
      <c r="BH22" s="279" t="s">
        <v>1603</v>
      </c>
      <c r="BI22" s="279">
        <v>0.23</v>
      </c>
      <c r="BJ22" s="60">
        <v>0.23</v>
      </c>
      <c r="BK22" s="279" t="s">
        <v>1604</v>
      </c>
      <c r="BL22" s="279">
        <v>0.23</v>
      </c>
      <c r="BM22" s="60">
        <v>0.23</v>
      </c>
      <c r="BN22" s="279" t="s">
        <v>1604</v>
      </c>
      <c r="BO22" s="279">
        <v>0.55000000000000004</v>
      </c>
      <c r="BP22" s="60">
        <v>0.55000000000000004</v>
      </c>
      <c r="BQ22" s="279" t="s">
        <v>1605</v>
      </c>
      <c r="BR22" s="279">
        <v>0.55000000000000004</v>
      </c>
      <c r="BS22" s="60">
        <v>0.55000000000000004</v>
      </c>
      <c r="BT22" s="279" t="s">
        <v>1605</v>
      </c>
      <c r="BU22" s="279">
        <v>0.55000000000000004</v>
      </c>
      <c r="BV22" s="60">
        <v>0.55000000000000004</v>
      </c>
      <c r="BW22" s="279" t="s">
        <v>1605</v>
      </c>
      <c r="BX22" s="279">
        <v>0.87</v>
      </c>
      <c r="BY22" s="60">
        <v>0.87</v>
      </c>
      <c r="BZ22" s="279" t="s">
        <v>1606</v>
      </c>
      <c r="CA22" s="279">
        <v>0.87</v>
      </c>
      <c r="CB22" s="60">
        <v>0.87</v>
      </c>
      <c r="CC22" s="279" t="s">
        <v>1606</v>
      </c>
      <c r="CD22" s="279">
        <v>0.87</v>
      </c>
      <c r="CE22" s="60">
        <v>0.87</v>
      </c>
      <c r="CF22" s="279" t="s">
        <v>1606</v>
      </c>
      <c r="CG22" s="279">
        <v>1</v>
      </c>
      <c r="CH22" s="60">
        <v>1</v>
      </c>
      <c r="CI22" s="279" t="s">
        <v>1823</v>
      </c>
      <c r="CJ22" s="11" t="s">
        <v>159</v>
      </c>
      <c r="CK22" s="11" t="s">
        <v>1607</v>
      </c>
    </row>
    <row r="23" spans="1:174" s="4" customFormat="1" ht="33.75" customHeight="1" x14ac:dyDescent="0.2">
      <c r="A23" s="368"/>
      <c r="B23" s="368"/>
      <c r="C23" s="368"/>
      <c r="D23" s="368"/>
      <c r="E23" s="368"/>
      <c r="F23" s="368"/>
      <c r="G23" s="368"/>
      <c r="H23" s="401"/>
      <c r="I23" s="401"/>
      <c r="J23" s="394"/>
      <c r="K23" s="394"/>
      <c r="L23" s="467"/>
      <c r="M23" s="402"/>
      <c r="N23" s="402"/>
      <c r="O23" s="402"/>
      <c r="P23" s="402"/>
      <c r="Q23" s="402"/>
      <c r="R23" s="402"/>
      <c r="S23" s="402"/>
      <c r="T23" s="402"/>
      <c r="U23" s="402"/>
      <c r="V23" s="402"/>
      <c r="W23" s="402"/>
      <c r="X23" s="402"/>
      <c r="Y23" s="402"/>
      <c r="Z23" s="402"/>
      <c r="AA23" s="402"/>
      <c r="AB23" s="402"/>
      <c r="AC23" s="402"/>
      <c r="AD23" s="402"/>
      <c r="AE23" s="402"/>
      <c r="AF23" s="402"/>
      <c r="AG23" s="402"/>
      <c r="AH23" s="402"/>
      <c r="AI23" s="402"/>
      <c r="AJ23" s="402"/>
      <c r="AK23" s="402"/>
      <c r="AL23" s="402"/>
      <c r="AM23" s="402"/>
      <c r="AN23" s="402"/>
      <c r="AO23" s="402"/>
      <c r="AP23" s="402"/>
      <c r="AQ23" s="402"/>
      <c r="AR23" s="402"/>
      <c r="AS23" s="402"/>
      <c r="AT23" s="402"/>
      <c r="AU23" s="379"/>
      <c r="AV23" s="402"/>
      <c r="AW23" s="265" t="s">
        <v>1687</v>
      </c>
      <c r="AX23" s="265" t="s">
        <v>1688</v>
      </c>
      <c r="AY23" s="279">
        <v>0.7</v>
      </c>
      <c r="AZ23" s="279">
        <v>0.98</v>
      </c>
      <c r="BA23" s="60">
        <v>0.98</v>
      </c>
      <c r="BB23" s="279" t="s">
        <v>1689</v>
      </c>
      <c r="BC23" s="279">
        <v>0.93</v>
      </c>
      <c r="BD23" s="60">
        <v>0.93</v>
      </c>
      <c r="BE23" s="279" t="s">
        <v>1690</v>
      </c>
      <c r="BF23" s="279">
        <v>0.92</v>
      </c>
      <c r="BG23" s="60">
        <v>0.92</v>
      </c>
      <c r="BH23" s="279" t="s">
        <v>1691</v>
      </c>
      <c r="BI23" s="279">
        <v>0.91400000000000003</v>
      </c>
      <c r="BJ23" s="60">
        <v>0.91400000000000003</v>
      </c>
      <c r="BK23" s="279" t="s">
        <v>1692</v>
      </c>
      <c r="BL23" s="279">
        <v>0.88700000000000001</v>
      </c>
      <c r="BM23" s="60">
        <v>0.88700000000000001</v>
      </c>
      <c r="BN23" s="279" t="s">
        <v>1693</v>
      </c>
      <c r="BO23" s="279">
        <v>0.86799999999999999</v>
      </c>
      <c r="BP23" s="60">
        <v>0.86799999999999999</v>
      </c>
      <c r="BQ23" s="279" t="s">
        <v>1694</v>
      </c>
      <c r="BR23" s="80">
        <v>0.875</v>
      </c>
      <c r="BS23" s="109">
        <v>0.875</v>
      </c>
      <c r="BT23" s="279" t="s">
        <v>1695</v>
      </c>
      <c r="BU23" s="80">
        <v>0.84499999999999997</v>
      </c>
      <c r="BV23" s="109">
        <v>0.84499999999999997</v>
      </c>
      <c r="BW23" s="279" t="s">
        <v>1696</v>
      </c>
      <c r="BX23" s="80">
        <v>0.78600000000000003</v>
      </c>
      <c r="BY23" s="109">
        <v>0.78600000000000003</v>
      </c>
      <c r="BZ23" s="279" t="s">
        <v>1697</v>
      </c>
      <c r="CA23" s="279">
        <v>0.78</v>
      </c>
      <c r="CB23" s="60">
        <v>0.78</v>
      </c>
      <c r="CC23" s="279" t="s">
        <v>1844</v>
      </c>
      <c r="CD23" s="279">
        <v>0.76</v>
      </c>
      <c r="CE23" s="60">
        <v>0.76</v>
      </c>
      <c r="CF23" s="279" t="s">
        <v>1845</v>
      </c>
      <c r="CG23" s="279">
        <v>0.76</v>
      </c>
      <c r="CH23" s="60">
        <v>1</v>
      </c>
      <c r="CI23" s="279" t="s">
        <v>1846</v>
      </c>
      <c r="CJ23" s="11" t="s">
        <v>159</v>
      </c>
      <c r="CK23" s="11" t="s">
        <v>1607</v>
      </c>
    </row>
    <row r="24" spans="1:174" s="4" customFormat="1" ht="33.75" customHeight="1" x14ac:dyDescent="0.2">
      <c r="A24" s="368"/>
      <c r="B24" s="368"/>
      <c r="C24" s="368"/>
      <c r="D24" s="368"/>
      <c r="E24" s="368"/>
      <c r="F24" s="368"/>
      <c r="G24" s="368"/>
      <c r="H24" s="401"/>
      <c r="I24" s="401"/>
      <c r="J24" s="394"/>
      <c r="K24" s="394"/>
      <c r="L24" s="467"/>
      <c r="M24" s="402"/>
      <c r="N24" s="402"/>
      <c r="O24" s="402"/>
      <c r="P24" s="402"/>
      <c r="Q24" s="402"/>
      <c r="R24" s="402"/>
      <c r="S24" s="402"/>
      <c r="T24" s="402"/>
      <c r="U24" s="402"/>
      <c r="V24" s="402"/>
      <c r="W24" s="402"/>
      <c r="X24" s="402"/>
      <c r="Y24" s="402"/>
      <c r="Z24" s="402"/>
      <c r="AA24" s="402"/>
      <c r="AB24" s="402"/>
      <c r="AC24" s="402"/>
      <c r="AD24" s="402"/>
      <c r="AE24" s="402"/>
      <c r="AF24" s="402"/>
      <c r="AG24" s="402"/>
      <c r="AH24" s="402"/>
      <c r="AI24" s="402"/>
      <c r="AJ24" s="402"/>
      <c r="AK24" s="402"/>
      <c r="AL24" s="402"/>
      <c r="AM24" s="402"/>
      <c r="AN24" s="402"/>
      <c r="AO24" s="402"/>
      <c r="AP24" s="402"/>
      <c r="AQ24" s="402"/>
      <c r="AR24" s="402"/>
      <c r="AS24" s="402"/>
      <c r="AT24" s="402"/>
      <c r="AU24" s="379"/>
      <c r="AV24" s="402"/>
      <c r="AW24" s="265" t="s">
        <v>1611</v>
      </c>
      <c r="AX24" s="265" t="s">
        <v>1612</v>
      </c>
      <c r="AY24" s="268">
        <v>8</v>
      </c>
      <c r="AZ24" s="279"/>
      <c r="BA24" s="60"/>
      <c r="BB24" s="279"/>
      <c r="BC24" s="279"/>
      <c r="BD24" s="60"/>
      <c r="BE24" s="279"/>
      <c r="BF24" s="279"/>
      <c r="BG24" s="60"/>
      <c r="BH24" s="279"/>
      <c r="BI24" s="279"/>
      <c r="BJ24" s="60"/>
      <c r="BK24" s="279"/>
      <c r="BL24" s="279"/>
      <c r="BM24" s="60"/>
      <c r="BN24" s="279"/>
      <c r="BO24" s="77">
        <v>1.8</v>
      </c>
      <c r="BP24" s="60">
        <v>0.23</v>
      </c>
      <c r="BQ24" s="279" t="s">
        <v>1613</v>
      </c>
      <c r="BR24" s="77">
        <v>1.8</v>
      </c>
      <c r="BS24" s="60">
        <v>0.23</v>
      </c>
      <c r="BT24" s="279" t="s">
        <v>1614</v>
      </c>
      <c r="BU24" s="77">
        <v>1.8</v>
      </c>
      <c r="BV24" s="60">
        <v>0.23</v>
      </c>
      <c r="BW24" s="279" t="s">
        <v>1614</v>
      </c>
      <c r="BX24" s="77">
        <v>1.8</v>
      </c>
      <c r="BY24" s="60">
        <v>0.23</v>
      </c>
      <c r="BZ24" s="279" t="s">
        <v>1614</v>
      </c>
      <c r="CA24" s="77">
        <v>1.8</v>
      </c>
      <c r="CB24" s="60">
        <v>0.23</v>
      </c>
      <c r="CC24" s="279" t="s">
        <v>1614</v>
      </c>
      <c r="CD24" s="77">
        <v>1.8</v>
      </c>
      <c r="CE24" s="60">
        <v>0.23</v>
      </c>
      <c r="CF24" s="279" t="s">
        <v>1614</v>
      </c>
      <c r="CG24" s="79">
        <v>9</v>
      </c>
      <c r="CH24" s="60">
        <v>1.1299999999999999</v>
      </c>
      <c r="CI24" s="279" t="s">
        <v>1825</v>
      </c>
      <c r="CJ24" s="11" t="s">
        <v>159</v>
      </c>
      <c r="CK24" s="11" t="s">
        <v>1607</v>
      </c>
    </row>
    <row r="25" spans="1:174" s="4" customFormat="1" ht="33.75" customHeight="1" x14ac:dyDescent="0.2">
      <c r="A25" s="368"/>
      <c r="B25" s="368"/>
      <c r="C25" s="368"/>
      <c r="D25" s="368"/>
      <c r="E25" s="368"/>
      <c r="F25" s="368"/>
      <c r="G25" s="368"/>
      <c r="H25" s="375"/>
      <c r="I25" s="375"/>
      <c r="J25" s="370"/>
      <c r="K25" s="370"/>
      <c r="L25" s="43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7"/>
      <c r="AM25" s="367"/>
      <c r="AN25" s="367"/>
      <c r="AO25" s="367"/>
      <c r="AP25" s="367"/>
      <c r="AQ25" s="367"/>
      <c r="AR25" s="367"/>
      <c r="AS25" s="367"/>
      <c r="AT25" s="367"/>
      <c r="AU25" s="380"/>
      <c r="AV25" s="367"/>
      <c r="AW25" s="265" t="s">
        <v>1698</v>
      </c>
      <c r="AX25" s="265" t="s">
        <v>1699</v>
      </c>
      <c r="AY25" s="279">
        <v>0.85</v>
      </c>
      <c r="AZ25" s="279"/>
      <c r="BA25" s="60"/>
      <c r="BB25" s="279"/>
      <c r="BC25" s="279"/>
      <c r="BD25" s="60"/>
      <c r="BE25" s="279"/>
      <c r="BF25" s="279"/>
      <c r="BG25" s="60"/>
      <c r="BH25" s="279"/>
      <c r="BI25" s="279"/>
      <c r="BJ25" s="60"/>
      <c r="BK25" s="279"/>
      <c r="BL25" s="279"/>
      <c r="BM25" s="60"/>
      <c r="BN25" s="279"/>
      <c r="BO25" s="279">
        <v>0.85599999999999998</v>
      </c>
      <c r="BP25" s="60">
        <v>1.01</v>
      </c>
      <c r="BQ25" s="279" t="s">
        <v>1700</v>
      </c>
      <c r="BR25" s="279">
        <v>0.85599999999999998</v>
      </c>
      <c r="BS25" s="60">
        <v>1.01</v>
      </c>
      <c r="BT25" s="279" t="s">
        <v>1614</v>
      </c>
      <c r="BU25" s="279">
        <v>0.85599999999999998</v>
      </c>
      <c r="BV25" s="60">
        <v>1.01</v>
      </c>
      <c r="BW25" s="279" t="s">
        <v>1614</v>
      </c>
      <c r="BX25" s="279">
        <v>0.85599999999999998</v>
      </c>
      <c r="BY25" s="60">
        <v>1.01</v>
      </c>
      <c r="BZ25" s="279" t="s">
        <v>1614</v>
      </c>
      <c r="CA25" s="279">
        <v>0.85599999999999998</v>
      </c>
      <c r="CB25" s="60">
        <v>1.01</v>
      </c>
      <c r="CC25" s="279" t="s">
        <v>1614</v>
      </c>
      <c r="CD25" s="279">
        <v>0.85599999999999998</v>
      </c>
      <c r="CE25" s="60">
        <v>1.01</v>
      </c>
      <c r="CF25" s="279" t="s">
        <v>1614</v>
      </c>
      <c r="CG25" s="279">
        <v>0.873</v>
      </c>
      <c r="CH25" s="60">
        <v>1.03</v>
      </c>
      <c r="CI25" s="279" t="s">
        <v>1847</v>
      </c>
      <c r="CJ25" s="11" t="s">
        <v>159</v>
      </c>
      <c r="CK25" s="11" t="s">
        <v>1607</v>
      </c>
    </row>
    <row r="26" spans="1:174" ht="75" x14ac:dyDescent="0.25">
      <c r="M26" s="56" t="s">
        <v>161</v>
      </c>
      <c r="N26" s="67">
        <f>AVERAGE(N20:N25)</f>
        <v>0.99</v>
      </c>
      <c r="P26" s="56" t="s">
        <v>161</v>
      </c>
      <c r="Q26" s="67">
        <f>AVERAGE(Q20:Q25)</f>
        <v>0.93799999999999994</v>
      </c>
      <c r="S26" s="56" t="s">
        <v>161</v>
      </c>
      <c r="T26" s="67">
        <f>AVERAGE(T20)</f>
        <v>1</v>
      </c>
      <c r="V26" s="56" t="s">
        <v>161</v>
      </c>
      <c r="W26" s="67">
        <f>AVERAGE(W20:W25)</f>
        <v>0.98449999999999993</v>
      </c>
      <c r="Y26" s="56" t="s">
        <v>161</v>
      </c>
      <c r="Z26" s="67">
        <f>AVERAGE(Z20)</f>
        <v>0.999</v>
      </c>
      <c r="AB26" s="56" t="s">
        <v>161</v>
      </c>
      <c r="AC26" s="67">
        <f>AVERAGE(AC20:AC25)</f>
        <v>0.84633333333333327</v>
      </c>
      <c r="AE26" s="56" t="s">
        <v>161</v>
      </c>
      <c r="AF26" s="67">
        <f>AVERAGE(AF20:AF25)</f>
        <v>0.84633333333333327</v>
      </c>
      <c r="AH26" s="56" t="s">
        <v>161</v>
      </c>
      <c r="AI26" s="67">
        <f>AVERAGE(AI20:AI25)</f>
        <v>0.84450000000000003</v>
      </c>
      <c r="AK26" s="56" t="s">
        <v>161</v>
      </c>
      <c r="AL26" s="67">
        <f>AVERAGE(AL20:AL25)</f>
        <v>0.84450000000000003</v>
      </c>
      <c r="AN26" s="56" t="s">
        <v>161</v>
      </c>
      <c r="AO26" s="67">
        <f>AVERAGE(AO20:AO25)</f>
        <v>0.86233333333333329</v>
      </c>
      <c r="AQ26" s="56" t="s">
        <v>161</v>
      </c>
      <c r="AR26" s="67">
        <f>AVERAGE(AR20:AR25)</f>
        <v>0.86233333333333329</v>
      </c>
      <c r="AT26" s="56" t="s">
        <v>161</v>
      </c>
      <c r="AU26" s="67">
        <f>AVERAGE(AU20:AU25)</f>
        <v>1.0293333333333334</v>
      </c>
      <c r="AZ26" s="56" t="s">
        <v>162</v>
      </c>
      <c r="BA26" s="67">
        <f>AVERAGE(BA20:BA25)</f>
        <v>0.98</v>
      </c>
      <c r="BC26" s="56" t="s">
        <v>162</v>
      </c>
      <c r="BD26" s="67">
        <f>AVERAGE(BD20:BD25)</f>
        <v>0.93</v>
      </c>
      <c r="BF26" s="56" t="s">
        <v>162</v>
      </c>
      <c r="BG26" s="67">
        <f>AVERAGE(BG20:BG25)</f>
        <v>0.57500000000000007</v>
      </c>
      <c r="BH26" s="7"/>
      <c r="BI26" s="56" t="s">
        <v>162</v>
      </c>
      <c r="BJ26" s="67">
        <f>AVERAGE(BJ20:BJ25)</f>
        <v>0.57200000000000006</v>
      </c>
      <c r="BL26" s="56" t="s">
        <v>162</v>
      </c>
      <c r="BM26" s="67">
        <f>AVERAGE(BM20:BM25)</f>
        <v>0.5585</v>
      </c>
      <c r="BO26" s="56" t="s">
        <v>162</v>
      </c>
      <c r="BP26" s="67">
        <f>AVERAGE(BP20:BP25)</f>
        <v>0.66450000000000009</v>
      </c>
      <c r="BQ26" s="7"/>
      <c r="BR26" s="56" t="s">
        <v>162</v>
      </c>
      <c r="BS26" s="67">
        <f>AVERAGE(BS20:BS25)</f>
        <v>0.66625000000000001</v>
      </c>
      <c r="BT26" s="7"/>
      <c r="BU26" s="56" t="s">
        <v>162</v>
      </c>
      <c r="BV26" s="67">
        <f>AVERAGE(BV20:BV25)</f>
        <v>0.65874999999999995</v>
      </c>
      <c r="BW26" s="7"/>
      <c r="BX26" s="56" t="s">
        <v>162</v>
      </c>
      <c r="BY26" s="67">
        <f>AVERAGE(BY20:BY25)</f>
        <v>0.72399999999999998</v>
      </c>
      <c r="BZ26" s="7"/>
      <c r="CA26" s="56" t="s">
        <v>162</v>
      </c>
      <c r="CB26" s="67">
        <f>AVERAGE(CB20:CB25)</f>
        <v>0.72249999999999992</v>
      </c>
      <c r="CC26" s="7"/>
      <c r="CD26" s="56" t="s">
        <v>162</v>
      </c>
      <c r="CE26" s="67">
        <f>AVERAGE(CE20:CE25)</f>
        <v>0.71750000000000003</v>
      </c>
      <c r="CF26" s="7"/>
      <c r="CG26" s="56" t="s">
        <v>162</v>
      </c>
      <c r="CH26" s="67">
        <f>AVERAGE(CH20:CH25)</f>
        <v>1.04</v>
      </c>
      <c r="CI26" s="7"/>
      <c r="CJ26" s="7"/>
      <c r="CK26" s="7"/>
      <c r="FO26"/>
      <c r="FP26"/>
      <c r="FQ26"/>
      <c r="FR26"/>
    </row>
    <row r="27" spans="1:174" s="4" customFormat="1" ht="33.75" customHeight="1" x14ac:dyDescent="0.2">
      <c r="A27" s="116"/>
      <c r="B27" s="116"/>
      <c r="C27" s="117"/>
      <c r="D27" s="116"/>
      <c r="E27" s="117"/>
      <c r="F27" s="116"/>
      <c r="G27" s="116"/>
      <c r="H27" s="58"/>
      <c r="I27" s="58"/>
      <c r="J27" s="118"/>
      <c r="K27" s="118"/>
      <c r="L27" s="119"/>
      <c r="M27" s="59"/>
      <c r="N27" s="68"/>
      <c r="O27" s="59"/>
      <c r="P27" s="59"/>
      <c r="Q27" s="68"/>
      <c r="R27" s="59"/>
      <c r="S27" s="59"/>
      <c r="T27" s="68"/>
      <c r="U27" s="59"/>
      <c r="V27" s="59"/>
      <c r="W27" s="68"/>
      <c r="X27" s="59"/>
      <c r="Y27" s="59"/>
      <c r="Z27" s="68"/>
      <c r="AA27" s="59"/>
      <c r="AB27" s="59"/>
      <c r="AC27" s="68"/>
      <c r="AD27" s="59"/>
      <c r="AE27" s="59"/>
      <c r="AF27" s="59"/>
      <c r="AG27" s="59"/>
      <c r="AH27" s="59"/>
      <c r="AI27" s="59"/>
      <c r="AJ27" s="59"/>
      <c r="AK27" s="59"/>
      <c r="AL27" s="59"/>
      <c r="AM27" s="59"/>
      <c r="AN27" s="59"/>
      <c r="AO27" s="59"/>
      <c r="AP27" s="59"/>
      <c r="AQ27" s="59"/>
      <c r="AR27" s="59"/>
      <c r="AS27" s="59"/>
      <c r="AT27" s="59"/>
      <c r="AU27" s="59"/>
      <c r="AV27" s="59"/>
      <c r="AW27" s="120"/>
      <c r="AX27" s="120"/>
      <c r="AY27" s="119"/>
      <c r="AZ27" s="59"/>
      <c r="BA27" s="68"/>
      <c r="BB27" s="59"/>
      <c r="BC27" s="59"/>
      <c r="BD27" s="68"/>
      <c r="BE27" s="59"/>
      <c r="BF27" s="59"/>
      <c r="BG27" s="68"/>
      <c r="BH27" s="59"/>
      <c r="BI27" s="59"/>
      <c r="BJ27" s="68"/>
      <c r="BK27" s="59"/>
      <c r="BL27" s="59"/>
      <c r="BM27" s="68"/>
      <c r="BN27" s="59"/>
      <c r="BO27" s="59"/>
      <c r="BP27" s="68"/>
      <c r="BQ27" s="59"/>
      <c r="BR27" s="59"/>
      <c r="BS27" s="59"/>
      <c r="BT27" s="59"/>
      <c r="BU27" s="59"/>
      <c r="BV27" s="59"/>
      <c r="BW27" s="59"/>
      <c r="BX27" s="59"/>
      <c r="BY27" s="59"/>
      <c r="BZ27" s="59"/>
      <c r="CA27" s="59"/>
      <c r="CB27" s="59"/>
      <c r="CC27" s="59"/>
      <c r="CD27" s="59"/>
      <c r="CE27" s="59"/>
      <c r="CF27" s="59"/>
      <c r="CG27" s="59"/>
      <c r="CH27" s="59"/>
      <c r="CI27" s="59"/>
      <c r="CJ27" s="120"/>
      <c r="CK27" s="120"/>
    </row>
    <row r="28" spans="1:174" ht="75" x14ac:dyDescent="0.25">
      <c r="M28" s="56" t="s">
        <v>153</v>
      </c>
      <c r="N28" s="67">
        <f>AVERAGE(N14,N17,N19,N26)</f>
        <v>0.99249999999999994</v>
      </c>
      <c r="P28" s="56" t="s">
        <v>153</v>
      </c>
      <c r="Q28" s="67">
        <f>AVERAGE(Q14,Q17,Q19,Q26)</f>
        <v>0.96899999999999997</v>
      </c>
      <c r="S28" s="56" t="s">
        <v>153</v>
      </c>
      <c r="T28" s="67">
        <f>AVERAGE(T14,T17,T19,T26)</f>
        <v>1</v>
      </c>
      <c r="V28" s="56" t="s">
        <v>153</v>
      </c>
      <c r="W28" s="67">
        <f>AVERAGE(W14,W17,W19,W26)</f>
        <v>0.99224999999999997</v>
      </c>
      <c r="Y28" s="56" t="s">
        <v>153</v>
      </c>
      <c r="Z28" s="67">
        <f>AVERAGE(Z14,Z17,Z19,Z26)</f>
        <v>0.99950000000000006</v>
      </c>
      <c r="AB28" s="56" t="s">
        <v>153</v>
      </c>
      <c r="AC28" s="67">
        <f>AVERAGE(AC14,AC17,AC19,AC26)</f>
        <v>0.80511111111111111</v>
      </c>
      <c r="AE28" s="56" t="s">
        <v>153</v>
      </c>
      <c r="AF28" s="67">
        <f>AVERAGE(AF14,AF17,AF19,AF26)</f>
        <v>0.74120833333333336</v>
      </c>
      <c r="AH28" s="56" t="s">
        <v>153</v>
      </c>
      <c r="AI28" s="67">
        <f>AVERAGE(AI14,AI17,AI19,AI26)</f>
        <v>0.74062499999999998</v>
      </c>
      <c r="AK28" s="56" t="s">
        <v>153</v>
      </c>
      <c r="AL28" s="67">
        <f>AVERAGE(AL14,AL17,AL19,AL26)</f>
        <v>0.74075000000000002</v>
      </c>
      <c r="AZ28" s="56" t="s">
        <v>154</v>
      </c>
      <c r="BA28" s="67">
        <f>AVERAGE(BA14,BA17,BA19,BA26)</f>
        <v>0.51</v>
      </c>
      <c r="BC28" s="56" t="s">
        <v>154</v>
      </c>
      <c r="BD28" s="67">
        <f>AVERAGE(BD14,BD17,BD19,BD26)</f>
        <v>0.57000000000000006</v>
      </c>
      <c r="BF28" s="56" t="s">
        <v>154</v>
      </c>
      <c r="BG28" s="67">
        <f>AVERAGE(BG14,BG17,BG19,BG26)</f>
        <v>0.6216666666666667</v>
      </c>
      <c r="BH28" s="7"/>
      <c r="BI28" s="56" t="s">
        <v>154</v>
      </c>
      <c r="BJ28" s="67">
        <f>AVERAGE(BJ14,BJ17,BJ19,BJ26)</f>
        <v>0.46600000000000003</v>
      </c>
      <c r="BL28" s="56" t="s">
        <v>154</v>
      </c>
      <c r="BM28" s="67">
        <f>AVERAGE(BM14,BM17,BM19,BM26)</f>
        <v>0.52424999999999999</v>
      </c>
      <c r="BO28" s="56" t="s">
        <v>154</v>
      </c>
      <c r="BP28" s="67">
        <f>AVERAGE(BP14,BP17,BP19,BP26)</f>
        <v>0.80594444444444446</v>
      </c>
      <c r="BQ28" s="7"/>
      <c r="BR28" s="56" t="s">
        <v>154</v>
      </c>
      <c r="BS28" s="67">
        <f>AVERAGE(BS14,BS17,BS19,BS26)</f>
        <v>0.61109374999999999</v>
      </c>
      <c r="BT28" s="7"/>
      <c r="BU28" s="56" t="s">
        <v>154</v>
      </c>
      <c r="BV28" s="67">
        <f>AVERAGE(BV14,BV17,BV19,BV26)</f>
        <v>0.62783854166666653</v>
      </c>
      <c r="BW28" s="7"/>
      <c r="BX28" s="56" t="s">
        <v>154</v>
      </c>
      <c r="BY28" s="67">
        <f>AVERAGE(BY14,BY17,BY19,BY26)</f>
        <v>0.69433333333333325</v>
      </c>
      <c r="BZ28" s="7"/>
      <c r="CA28" s="7"/>
      <c r="CB28" s="7"/>
      <c r="CC28" s="7"/>
      <c r="CD28" s="7"/>
      <c r="CE28" s="7"/>
      <c r="CF28" s="7"/>
      <c r="CG28" s="7"/>
      <c r="CH28" s="7"/>
      <c r="CI28" s="7"/>
      <c r="CJ28" s="7"/>
      <c r="CK28" s="7"/>
      <c r="FO28"/>
      <c r="FP28"/>
      <c r="FQ28"/>
      <c r="FR28"/>
    </row>
    <row r="29" spans="1:174" s="4" customFormat="1" ht="38.25" customHeight="1" x14ac:dyDescent="0.25">
      <c r="A29"/>
      <c r="B29"/>
      <c r="C29" s="3"/>
      <c r="D29" s="3"/>
      <c r="E29" s="3"/>
      <c r="F29" s="3"/>
      <c r="G29" s="3"/>
      <c r="H29" s="1"/>
      <c r="I29" s="1"/>
      <c r="J29" s="3"/>
      <c r="K29" s="3"/>
      <c r="L29" s="5"/>
      <c r="M29" s="3"/>
      <c r="N29" s="64"/>
      <c r="O29" s="5"/>
      <c r="P29" s="3"/>
      <c r="Q29" s="64"/>
      <c r="R29" s="5"/>
      <c r="S29" s="3"/>
      <c r="T29" s="64"/>
      <c r="U29" s="5"/>
      <c r="V29" s="3"/>
      <c r="W29" s="64"/>
      <c r="X29" s="5"/>
      <c r="Y29" s="3"/>
      <c r="Z29" s="64"/>
      <c r="AA29" s="5"/>
      <c r="AB29" s="3"/>
      <c r="AC29" s="64"/>
      <c r="AD29" s="5"/>
      <c r="AE29" s="5"/>
      <c r="AF29" s="5"/>
      <c r="AG29" s="5"/>
      <c r="AH29" s="5"/>
      <c r="AI29" s="5"/>
      <c r="AJ29" s="5"/>
      <c r="AK29" s="5"/>
      <c r="AL29" s="5"/>
      <c r="AM29" s="5"/>
      <c r="AN29" s="5"/>
      <c r="AO29" s="5"/>
      <c r="AP29" s="5"/>
      <c r="AQ29" s="5"/>
      <c r="AR29" s="5"/>
      <c r="AS29" s="5"/>
      <c r="AT29" s="5"/>
      <c r="AU29" s="5"/>
      <c r="AV29" s="5"/>
      <c r="AW29" s="2"/>
      <c r="AX29" s="2"/>
      <c r="AY29" s="6"/>
      <c r="AZ29" s="3"/>
      <c r="BA29" s="64"/>
      <c r="BB29" s="5"/>
      <c r="BC29" s="3"/>
      <c r="BD29" s="64"/>
      <c r="BE29" s="5"/>
      <c r="BF29" s="3"/>
      <c r="BG29" s="64"/>
      <c r="BH29" s="5"/>
      <c r="BI29" s="3"/>
      <c r="BJ29" s="64"/>
      <c r="BK29" s="5"/>
      <c r="BL29" s="3"/>
      <c r="BM29" s="64"/>
      <c r="BN29" s="5"/>
      <c r="BO29" s="3"/>
      <c r="BP29" s="64"/>
      <c r="BQ29" s="5"/>
      <c r="BR29" s="5"/>
      <c r="BS29" s="5"/>
      <c r="BT29" s="5"/>
      <c r="BU29" s="5"/>
      <c r="BV29" s="5"/>
      <c r="BW29" s="5"/>
      <c r="BX29" s="5"/>
      <c r="BY29" s="5"/>
      <c r="BZ29" s="5"/>
      <c r="CA29" s="5"/>
      <c r="CB29" s="5"/>
      <c r="CC29" s="5"/>
      <c r="CD29" s="5"/>
      <c r="CE29" s="5"/>
      <c r="CF29" s="5"/>
      <c r="CG29" s="5"/>
      <c r="CH29" s="5"/>
      <c r="CI29" s="5"/>
      <c r="CJ29" s="10"/>
      <c r="CK29" s="10"/>
    </row>
    <row r="30" spans="1:174" ht="38.25" customHeight="1" x14ac:dyDescent="0.25"/>
    <row r="31" spans="1:174" ht="38.25" customHeight="1" x14ac:dyDescent="0.25">
      <c r="A31" t="s">
        <v>273</v>
      </c>
    </row>
  </sheetData>
  <autoFilter ref="A7:CJ31" xr:uid="{00000000-0009-0000-0000-000009000000}"/>
  <mergeCells count="135">
    <mergeCell ref="CG6:CI6"/>
    <mergeCell ref="CJ6:CK6"/>
    <mergeCell ref="BC6:BE6"/>
    <mergeCell ref="BF6:BH6"/>
    <mergeCell ref="BI6:BK6"/>
    <mergeCell ref="BL6:BN6"/>
    <mergeCell ref="BO6:BQ6"/>
    <mergeCell ref="BR6:BT6"/>
    <mergeCell ref="AT6:AV6"/>
    <mergeCell ref="AW6:AY6"/>
    <mergeCell ref="AZ6:BB6"/>
    <mergeCell ref="A8:A13"/>
    <mergeCell ref="B8:B13"/>
    <mergeCell ref="C8:C13"/>
    <mergeCell ref="D8:D13"/>
    <mergeCell ref="E8:E13"/>
    <mergeCell ref="BU6:BW6"/>
    <mergeCell ref="BX6:BZ6"/>
    <mergeCell ref="CA6:CC6"/>
    <mergeCell ref="CD6:CF6"/>
    <mergeCell ref="S6:U6"/>
    <mergeCell ref="V6:X6"/>
    <mergeCell ref="Y6:AA6"/>
    <mergeCell ref="AB6:AD6"/>
    <mergeCell ref="AE6:AG6"/>
    <mergeCell ref="AH6:AJ6"/>
    <mergeCell ref="D6:E6"/>
    <mergeCell ref="F6:I6"/>
    <mergeCell ref="J6:L6"/>
    <mergeCell ref="M6:O6"/>
    <mergeCell ref="P6:R6"/>
    <mergeCell ref="AK6:AM6"/>
    <mergeCell ref="AN6:AP6"/>
    <mergeCell ref="AQ6:AS6"/>
    <mergeCell ref="L9:L13"/>
    <mergeCell ref="M9:M13"/>
    <mergeCell ref="N9:N13"/>
    <mergeCell ref="O9:O13"/>
    <mergeCell ref="P9:P13"/>
    <mergeCell ref="Q9:Q13"/>
    <mergeCell ref="F8:F13"/>
    <mergeCell ref="G8:G13"/>
    <mergeCell ref="H8:H25"/>
    <mergeCell ref="I9:I13"/>
    <mergeCell ref="J9:J13"/>
    <mergeCell ref="K9:K13"/>
    <mergeCell ref="AH9:AH13"/>
    <mergeCell ref="AI9:AI13"/>
    <mergeCell ref="X9:X13"/>
    <mergeCell ref="Y9:Y13"/>
    <mergeCell ref="Z9:Z13"/>
    <mergeCell ref="AA9:AA13"/>
    <mergeCell ref="AB9:AB13"/>
    <mergeCell ref="AC9:AC13"/>
    <mergeCell ref="R9:R13"/>
    <mergeCell ref="S9:S13"/>
    <mergeCell ref="T9:T13"/>
    <mergeCell ref="U9:U13"/>
    <mergeCell ref="V9:V13"/>
    <mergeCell ref="W9:W13"/>
    <mergeCell ref="AV9:AV13"/>
    <mergeCell ref="A15:A16"/>
    <mergeCell ref="B15:B16"/>
    <mergeCell ref="C15:C16"/>
    <mergeCell ref="D15:D16"/>
    <mergeCell ref="E15:E16"/>
    <mergeCell ref="F15:F16"/>
    <mergeCell ref="G15:G16"/>
    <mergeCell ref="AP9:AP13"/>
    <mergeCell ref="AQ9:AQ13"/>
    <mergeCell ref="AR9:AR13"/>
    <mergeCell ref="AS9:AS13"/>
    <mergeCell ref="AT9:AT13"/>
    <mergeCell ref="AU9:AU13"/>
    <mergeCell ref="AJ9:AJ13"/>
    <mergeCell ref="AK9:AK13"/>
    <mergeCell ref="AL9:AL13"/>
    <mergeCell ref="AM9:AM13"/>
    <mergeCell ref="AN9:AN13"/>
    <mergeCell ref="AO9:AO13"/>
    <mergeCell ref="AD9:AD13"/>
    <mergeCell ref="AE9:AE13"/>
    <mergeCell ref="AF9:AF13"/>
    <mergeCell ref="AG9:AG13"/>
    <mergeCell ref="AW15:AY15"/>
    <mergeCell ref="AW16:AY16"/>
    <mergeCell ref="A20:A25"/>
    <mergeCell ref="B20:B25"/>
    <mergeCell ref="C20:C25"/>
    <mergeCell ref="D20:D25"/>
    <mergeCell ref="E20:E25"/>
    <mergeCell ref="F20:F25"/>
    <mergeCell ref="G20:G25"/>
    <mergeCell ref="Q22:Q25"/>
    <mergeCell ref="R22:R25"/>
    <mergeCell ref="S22:S25"/>
    <mergeCell ref="T22:T25"/>
    <mergeCell ref="U22:U25"/>
    <mergeCell ref="V22:V25"/>
    <mergeCell ref="AW20:AY20"/>
    <mergeCell ref="AW21:AY21"/>
    <mergeCell ref="I22:I25"/>
    <mergeCell ref="J22:J25"/>
    <mergeCell ref="K22:K25"/>
    <mergeCell ref="L22:L25"/>
    <mergeCell ref="M22:M25"/>
    <mergeCell ref="N22:N25"/>
    <mergeCell ref="O22:O25"/>
    <mergeCell ref="P22:P25"/>
    <mergeCell ref="AC22:AC25"/>
    <mergeCell ref="AD22:AD25"/>
    <mergeCell ref="AE22:AE25"/>
    <mergeCell ref="AF22:AF25"/>
    <mergeCell ref="AG22:AG25"/>
    <mergeCell ref="AH22:AH25"/>
    <mergeCell ref="W22:W25"/>
    <mergeCell ref="X22:X25"/>
    <mergeCell ref="Y22:Y25"/>
    <mergeCell ref="Z22:Z25"/>
    <mergeCell ref="AA22:AA25"/>
    <mergeCell ref="AB22:AB25"/>
    <mergeCell ref="AU22:AU25"/>
    <mergeCell ref="AV22:AV25"/>
    <mergeCell ref="AO22:AO25"/>
    <mergeCell ref="AP22:AP25"/>
    <mergeCell ref="AQ22:AQ25"/>
    <mergeCell ref="AR22:AR25"/>
    <mergeCell ref="AS22:AS25"/>
    <mergeCell ref="AT22:AT25"/>
    <mergeCell ref="AI22:AI25"/>
    <mergeCell ref="AJ22:AJ25"/>
    <mergeCell ref="AK22:AK25"/>
    <mergeCell ref="AL22:AL25"/>
    <mergeCell ref="AM22:AM25"/>
    <mergeCell ref="AN22:AN25"/>
  </mergeCells>
  <pageMargins left="0.75" right="0.75" top="1" bottom="1" header="0.5" footer="0.5"/>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1F944-C717-421B-87B5-2E2D34EB6DB9}">
  <sheetPr>
    <tabColor theme="4" tint="-0.499984740745262"/>
  </sheetPr>
  <dimension ref="A1:FR41"/>
  <sheetViews>
    <sheetView showGridLines="0" zoomScale="80" zoomScaleNormal="80" workbookViewId="0">
      <selection activeCell="C1" sqref="C1"/>
    </sheetView>
  </sheetViews>
  <sheetFormatPr baseColWidth="10" defaultColWidth="11.42578125" defaultRowHeight="15" x14ac:dyDescent="0.25"/>
  <cols>
    <col min="1" max="1" width="45.42578125" customWidth="1"/>
    <col min="2" max="2" width="45.7109375" bestFit="1" customWidth="1"/>
    <col min="3" max="3" width="19.42578125" style="3" customWidth="1"/>
    <col min="4" max="4" width="17.7109375" style="3" customWidth="1"/>
    <col min="5" max="5" width="43" style="3" bestFit="1" customWidth="1"/>
    <col min="6" max="6" width="15.5703125" style="3" bestFit="1" customWidth="1"/>
    <col min="7" max="7" width="45.7109375" style="3" bestFit="1" customWidth="1"/>
    <col min="8" max="8" width="19.42578125" style="1" customWidth="1"/>
    <col min="9" max="9" width="15.5703125" style="1" customWidth="1"/>
    <col min="10" max="11" width="45.7109375" style="3" bestFit="1" customWidth="1"/>
    <col min="12" max="12" width="17.7109375" style="5" bestFit="1" customWidth="1"/>
    <col min="13" max="13" width="19.85546875" style="3" customWidth="1"/>
    <col min="14" max="14" width="23.42578125" style="64" customWidth="1"/>
    <col min="15" max="15" width="35" style="5" customWidth="1"/>
    <col min="16" max="16" width="18.5703125" style="3" customWidth="1"/>
    <col min="17" max="17" width="23.42578125" style="64" customWidth="1"/>
    <col min="18" max="18" width="28.5703125" style="5" customWidth="1"/>
    <col min="19" max="19" width="20.5703125" style="3" customWidth="1"/>
    <col min="20" max="20" width="23.42578125" style="64" customWidth="1"/>
    <col min="21" max="21" width="36.5703125" style="5" customWidth="1"/>
    <col min="22" max="22" width="19.85546875" style="3" customWidth="1"/>
    <col min="23" max="23" width="23.42578125" style="64" customWidth="1"/>
    <col min="24" max="24" width="35" style="5" customWidth="1"/>
    <col min="25" max="25" width="18.5703125" style="3" customWidth="1"/>
    <col min="26" max="26" width="23.42578125" style="64" customWidth="1"/>
    <col min="27" max="27" width="28.5703125" style="5" customWidth="1"/>
    <col min="28" max="28" width="20.5703125" style="3" customWidth="1"/>
    <col min="29" max="29" width="23.42578125" style="64" customWidth="1"/>
    <col min="30" max="30" width="36.5703125" style="5" customWidth="1"/>
    <col min="31" max="31" width="19.85546875" style="3" customWidth="1"/>
    <col min="32" max="32" width="23.42578125" style="64" customWidth="1"/>
    <col min="33" max="33" width="35" style="5" customWidth="1"/>
    <col min="34" max="34" width="18.5703125" style="3" customWidth="1"/>
    <col min="35" max="35" width="23.42578125" style="64" customWidth="1"/>
    <col min="36" max="36" width="28.5703125" style="5" customWidth="1"/>
    <col min="37" max="37" width="20.5703125" style="3" customWidth="1"/>
    <col min="38" max="38" width="23.42578125" style="64" customWidth="1"/>
    <col min="39" max="39" width="36.5703125" style="5" customWidth="1"/>
    <col min="40" max="40" width="19.85546875" style="3" customWidth="1"/>
    <col min="41" max="41" width="23.42578125" style="64" customWidth="1"/>
    <col min="42" max="42" width="35" style="5" customWidth="1"/>
    <col min="43" max="43" width="18.5703125" style="3" customWidth="1"/>
    <col min="44" max="44" width="23.42578125" style="64" customWidth="1"/>
    <col min="45" max="45" width="28.5703125" style="5" customWidth="1"/>
    <col min="46" max="46" width="20.5703125" style="3" customWidth="1"/>
    <col min="47" max="47" width="23.42578125" style="64" customWidth="1"/>
    <col min="48" max="48" width="36.5703125" style="5" customWidth="1"/>
    <col min="49" max="50" width="45.7109375" style="2" bestFit="1" customWidth="1"/>
    <col min="51" max="51" width="15.28515625" style="6" bestFit="1" customWidth="1"/>
    <col min="52" max="52" width="19.42578125" style="3" customWidth="1"/>
    <col min="53" max="53" width="23.42578125" style="64" customWidth="1"/>
    <col min="54" max="54" width="35.140625" style="5" customWidth="1"/>
    <col min="55" max="55" width="21.140625" style="3" customWidth="1"/>
    <col min="56" max="56" width="23.42578125" style="64" customWidth="1"/>
    <col min="57" max="57" width="36.7109375" style="5" customWidth="1"/>
    <col min="58" max="58" width="23.5703125" style="3" customWidth="1"/>
    <col min="59" max="59" width="23.42578125" style="64" customWidth="1"/>
    <col min="60" max="60" width="26.42578125" style="5" customWidth="1"/>
    <col min="61" max="61" width="19.42578125" style="3" customWidth="1"/>
    <col min="62" max="62" width="23.42578125" style="64" customWidth="1"/>
    <col min="63" max="63" width="35.140625" style="5" customWidth="1"/>
    <col min="64" max="64" width="21.140625" style="3" customWidth="1"/>
    <col min="65" max="65" width="23.42578125" style="64" customWidth="1"/>
    <col min="66" max="66" width="36.7109375" style="5" customWidth="1"/>
    <col min="67" max="67" width="23.5703125" style="3" customWidth="1"/>
    <col min="68" max="68" width="23.42578125" style="64" customWidth="1"/>
    <col min="69" max="69" width="26.42578125" style="5" customWidth="1"/>
    <col min="70" max="70" width="19.42578125" style="3" customWidth="1"/>
    <col min="71" max="71" width="23.42578125" style="64" customWidth="1"/>
    <col min="72" max="72" width="35.140625" style="5" customWidth="1"/>
    <col min="73" max="73" width="21.140625" style="3" customWidth="1"/>
    <col min="74" max="74" width="23.42578125" style="64" customWidth="1"/>
    <col min="75" max="75" width="36.7109375" style="5" customWidth="1"/>
    <col min="76" max="76" width="23.5703125" style="3" customWidth="1"/>
    <col min="77" max="77" width="23.42578125" style="64" customWidth="1"/>
    <col min="78" max="78" width="26.42578125" style="5" customWidth="1"/>
    <col min="79" max="79" width="19.42578125" style="3" customWidth="1"/>
    <col min="80" max="80" width="23.42578125" style="64" customWidth="1"/>
    <col min="81" max="81" width="35.140625" style="5" customWidth="1"/>
    <col min="82" max="82" width="21.140625" style="3" customWidth="1"/>
    <col min="83" max="83" width="23.42578125" style="64" customWidth="1"/>
    <col min="84" max="84" width="36.7109375" style="5" customWidth="1"/>
    <col min="85" max="85" width="23.5703125" style="3" customWidth="1"/>
    <col min="86" max="86" width="23.42578125" style="64" customWidth="1"/>
    <col min="87" max="87" width="26.42578125" style="5" customWidth="1"/>
    <col min="88" max="88" width="30.140625" style="10" bestFit="1" customWidth="1"/>
    <col min="89" max="89" width="45.7109375" style="10" bestFit="1" customWidth="1"/>
    <col min="90" max="174" width="11.42578125" style="7"/>
  </cols>
  <sheetData>
    <row r="1" spans="1:174" x14ac:dyDescent="0.25">
      <c r="A1" s="228"/>
      <c r="B1" s="228"/>
      <c r="C1" s="228"/>
      <c r="D1" s="228"/>
      <c r="E1" s="228"/>
      <c r="F1" s="228"/>
      <c r="G1" s="228"/>
      <c r="H1" s="228"/>
      <c r="I1" s="228"/>
      <c r="J1" s="228"/>
      <c r="K1" s="228"/>
      <c r="L1" s="94"/>
      <c r="M1" s="260"/>
      <c r="N1" s="260"/>
      <c r="O1" s="86"/>
      <c r="P1" s="260"/>
      <c r="Q1" s="260"/>
      <c r="R1" s="86"/>
      <c r="S1" s="260"/>
      <c r="T1" s="260"/>
      <c r="U1" s="86"/>
      <c r="V1" s="260"/>
      <c r="W1" s="260"/>
      <c r="X1" s="86"/>
      <c r="Y1" s="260"/>
      <c r="Z1" s="260"/>
      <c r="AA1" s="86"/>
      <c r="AB1" s="260"/>
      <c r="AC1" s="260"/>
      <c r="AD1" s="86"/>
      <c r="AE1" s="260"/>
      <c r="AF1" s="260"/>
      <c r="AG1" s="86"/>
      <c r="AH1" s="260"/>
      <c r="AI1" s="260"/>
      <c r="AJ1" s="86"/>
      <c r="AK1" s="260"/>
      <c r="AL1" s="260"/>
      <c r="AM1" s="86"/>
      <c r="AN1" s="260"/>
      <c r="AO1" s="260"/>
      <c r="AP1" s="86"/>
      <c r="AQ1" s="260"/>
      <c r="AR1" s="260"/>
      <c r="AS1" s="86"/>
      <c r="AT1" s="260"/>
      <c r="AU1" s="260"/>
      <c r="AV1" s="86"/>
      <c r="AW1" s="228"/>
      <c r="AX1" s="228"/>
      <c r="AY1" s="94"/>
      <c r="AZ1" s="260"/>
      <c r="BA1" s="260"/>
      <c r="BB1" s="86"/>
      <c r="BC1" s="260"/>
      <c r="BD1" s="260"/>
      <c r="BE1" s="86"/>
      <c r="BF1" s="260"/>
      <c r="BG1" s="260"/>
      <c r="BH1" s="86"/>
      <c r="BI1" s="260"/>
      <c r="BJ1" s="260"/>
      <c r="BK1" s="86"/>
      <c r="BL1" s="260"/>
      <c r="BM1" s="260"/>
      <c r="BN1" s="86"/>
      <c r="BO1" s="260"/>
      <c r="BP1" s="260"/>
      <c r="BQ1" s="86"/>
      <c r="BR1" s="260"/>
      <c r="BS1" s="260"/>
      <c r="BT1" s="86"/>
      <c r="BU1" s="260"/>
      <c r="BV1" s="260"/>
      <c r="BW1" s="86"/>
      <c r="BX1" s="260"/>
      <c r="BY1" s="260"/>
      <c r="BZ1" s="86"/>
      <c r="CA1" s="260"/>
      <c r="CB1" s="260"/>
      <c r="CC1" s="86"/>
      <c r="CD1" s="260"/>
      <c r="CE1" s="260"/>
      <c r="CF1" s="86"/>
      <c r="CG1" s="260"/>
      <c r="CH1" s="260"/>
      <c r="CI1" s="86"/>
      <c r="CJ1" s="228"/>
      <c r="CK1" s="228"/>
      <c r="CL1" s="229" t="s">
        <v>586</v>
      </c>
      <c r="CM1" s="229" t="s">
        <v>586</v>
      </c>
      <c r="CN1" s="229" t="s">
        <v>586</v>
      </c>
      <c r="CO1" s="229" t="s">
        <v>586</v>
      </c>
      <c r="CP1" s="229" t="s">
        <v>586</v>
      </c>
      <c r="CQ1" s="229" t="s">
        <v>586</v>
      </c>
      <c r="CR1" s="229" t="s">
        <v>586</v>
      </c>
      <c r="CS1" s="229" t="s">
        <v>586</v>
      </c>
      <c r="CT1" s="229" t="s">
        <v>586</v>
      </c>
      <c r="CU1" s="229" t="s">
        <v>586</v>
      </c>
      <c r="CV1" s="229" t="s">
        <v>586</v>
      </c>
      <c r="CW1" s="229" t="s">
        <v>586</v>
      </c>
      <c r="CX1" s="229" t="s">
        <v>586</v>
      </c>
      <c r="CY1" s="229" t="s">
        <v>586</v>
      </c>
      <c r="CZ1" s="229" t="s">
        <v>586</v>
      </c>
      <c r="DA1" s="229" t="s">
        <v>586</v>
      </c>
      <c r="DB1" s="229" t="s">
        <v>586</v>
      </c>
      <c r="DC1" s="229" t="s">
        <v>586</v>
      </c>
      <c r="DD1" s="229" t="s">
        <v>586</v>
      </c>
      <c r="DE1" s="229" t="s">
        <v>586</v>
      </c>
      <c r="DF1" s="229" t="s">
        <v>586</v>
      </c>
      <c r="DG1" s="229" t="s">
        <v>586</v>
      </c>
      <c r="DH1" s="229" t="s">
        <v>586</v>
      </c>
      <c r="DI1" s="229" t="s">
        <v>586</v>
      </c>
      <c r="DJ1" s="229" t="s">
        <v>586</v>
      </c>
      <c r="DK1" s="229" t="s">
        <v>586</v>
      </c>
      <c r="DL1" s="229" t="s">
        <v>586</v>
      </c>
      <c r="DM1" s="229" t="s">
        <v>586</v>
      </c>
      <c r="DN1" s="229" t="s">
        <v>586</v>
      </c>
      <c r="DO1" s="229" t="s">
        <v>586</v>
      </c>
      <c r="DP1" s="229" t="s">
        <v>586</v>
      </c>
      <c r="DQ1" s="229" t="s">
        <v>586</v>
      </c>
      <c r="DR1" s="229" t="s">
        <v>586</v>
      </c>
      <c r="DS1" s="229" t="s">
        <v>586</v>
      </c>
      <c r="DT1" s="229" t="s">
        <v>586</v>
      </c>
      <c r="DU1" s="229" t="s">
        <v>586</v>
      </c>
      <c r="DV1" s="229" t="s">
        <v>586</v>
      </c>
      <c r="DW1" s="229" t="s">
        <v>586</v>
      </c>
      <c r="DX1" s="229" t="s">
        <v>586</v>
      </c>
      <c r="DY1" s="229" t="s">
        <v>586</v>
      </c>
      <c r="DZ1" s="229" t="s">
        <v>586</v>
      </c>
      <c r="EA1" s="229" t="s">
        <v>586</v>
      </c>
      <c r="EB1" s="229" t="s">
        <v>586</v>
      </c>
      <c r="EC1" s="229" t="s">
        <v>586</v>
      </c>
      <c r="ED1" s="229" t="s">
        <v>586</v>
      </c>
      <c r="EE1" s="229" t="s">
        <v>586</v>
      </c>
      <c r="EF1" s="229" t="s">
        <v>586</v>
      </c>
      <c r="EG1" s="229" t="s">
        <v>586</v>
      </c>
      <c r="EH1" s="229" t="s">
        <v>586</v>
      </c>
      <c r="EI1" s="229" t="s">
        <v>586</v>
      </c>
      <c r="EJ1" s="229" t="s">
        <v>586</v>
      </c>
      <c r="EK1" s="229" t="s">
        <v>586</v>
      </c>
      <c r="EL1" s="229" t="s">
        <v>586</v>
      </c>
      <c r="EM1" s="229" t="s">
        <v>586</v>
      </c>
      <c r="EN1" s="229" t="s">
        <v>586</v>
      </c>
      <c r="EO1" s="229" t="s">
        <v>586</v>
      </c>
      <c r="EP1" s="229" t="s">
        <v>586</v>
      </c>
      <c r="EQ1" s="229" t="s">
        <v>586</v>
      </c>
      <c r="ER1" s="229" t="s">
        <v>586</v>
      </c>
      <c r="ES1" s="229" t="s">
        <v>586</v>
      </c>
      <c r="ET1" s="229" t="s">
        <v>586</v>
      </c>
      <c r="EU1" s="229" t="s">
        <v>586</v>
      </c>
      <c r="EV1" s="229" t="s">
        <v>586</v>
      </c>
      <c r="EW1" s="229" t="s">
        <v>586</v>
      </c>
      <c r="EX1" s="229" t="s">
        <v>586</v>
      </c>
      <c r="EY1" s="229" t="s">
        <v>586</v>
      </c>
      <c r="EZ1" s="229" t="s">
        <v>586</v>
      </c>
      <c r="FA1" s="229" t="s">
        <v>586</v>
      </c>
      <c r="FB1" s="229" t="s">
        <v>586</v>
      </c>
      <c r="FC1" s="229" t="s">
        <v>586</v>
      </c>
      <c r="FD1" s="229" t="s">
        <v>586</v>
      </c>
      <c r="FE1" s="229" t="s">
        <v>586</v>
      </c>
      <c r="FF1" s="229" t="s">
        <v>586</v>
      </c>
      <c r="FG1" s="229" t="s">
        <v>586</v>
      </c>
      <c r="FH1" s="229" t="s">
        <v>586</v>
      </c>
      <c r="FI1" s="229" t="s">
        <v>586</v>
      </c>
      <c r="FJ1" s="229" t="s">
        <v>586</v>
      </c>
      <c r="FK1" s="229" t="s">
        <v>586</v>
      </c>
      <c r="FL1" s="229" t="s">
        <v>586</v>
      </c>
      <c r="FM1" s="229" t="s">
        <v>586</v>
      </c>
      <c r="FN1" s="229" t="s">
        <v>586</v>
      </c>
      <c r="FO1" s="229" t="s">
        <v>586</v>
      </c>
      <c r="FP1" s="229" t="s">
        <v>586</v>
      </c>
      <c r="FQ1" s="229" t="s">
        <v>586</v>
      </c>
      <c r="FR1" s="229" t="s">
        <v>586</v>
      </c>
    </row>
    <row r="2" spans="1:174" x14ac:dyDescent="0.25">
      <c r="A2" s="228"/>
      <c r="B2" s="228"/>
      <c r="C2" s="228"/>
      <c r="D2" s="228"/>
      <c r="E2" s="228"/>
      <c r="F2" s="228"/>
      <c r="G2" s="228"/>
      <c r="H2" s="228"/>
      <c r="I2" s="228"/>
      <c r="J2" s="228"/>
      <c r="K2" s="228"/>
      <c r="L2" s="94"/>
      <c r="M2" s="260"/>
      <c r="N2" s="260"/>
      <c r="O2" s="86"/>
      <c r="P2" s="260"/>
      <c r="Q2" s="260"/>
      <c r="R2" s="86"/>
      <c r="S2" s="260"/>
      <c r="T2" s="260"/>
      <c r="U2" s="86"/>
      <c r="V2" s="260"/>
      <c r="W2" s="260"/>
      <c r="X2" s="86"/>
      <c r="Y2" s="260"/>
      <c r="Z2" s="260"/>
      <c r="AA2" s="86"/>
      <c r="AB2" s="260"/>
      <c r="AC2" s="260"/>
      <c r="AD2" s="86"/>
      <c r="AE2" s="260"/>
      <c r="AF2" s="260"/>
      <c r="AG2" s="86"/>
      <c r="AH2" s="260"/>
      <c r="AI2" s="260"/>
      <c r="AJ2" s="86"/>
      <c r="AK2" s="260"/>
      <c r="AL2" s="260"/>
      <c r="AM2" s="86"/>
      <c r="AN2" s="260"/>
      <c r="AO2" s="260"/>
      <c r="AP2" s="86"/>
      <c r="AQ2" s="260"/>
      <c r="AR2" s="260"/>
      <c r="AS2" s="86"/>
      <c r="AT2" s="260"/>
      <c r="AU2" s="260"/>
      <c r="AV2" s="86"/>
      <c r="AW2" s="228"/>
      <c r="AX2" s="228"/>
      <c r="AY2" s="94"/>
      <c r="AZ2" s="260"/>
      <c r="BA2" s="260"/>
      <c r="BB2" s="86"/>
      <c r="BC2" s="260"/>
      <c r="BD2" s="260"/>
      <c r="BE2" s="86"/>
      <c r="BF2" s="260"/>
      <c r="BG2" s="260"/>
      <c r="BH2" s="86"/>
      <c r="BI2" s="260"/>
      <c r="BJ2" s="260"/>
      <c r="BK2" s="86"/>
      <c r="BL2" s="260"/>
      <c r="BM2" s="260"/>
      <c r="BN2" s="86"/>
      <c r="BO2" s="260"/>
      <c r="BP2" s="260"/>
      <c r="BQ2" s="86"/>
      <c r="BR2" s="260"/>
      <c r="BS2" s="260"/>
      <c r="BT2" s="86"/>
      <c r="BU2" s="260"/>
      <c r="BV2" s="260"/>
      <c r="BW2" s="86"/>
      <c r="BX2" s="260"/>
      <c r="BY2" s="260"/>
      <c r="BZ2" s="86"/>
      <c r="CA2" s="260"/>
      <c r="CB2" s="260"/>
      <c r="CC2" s="86"/>
      <c r="CD2" s="260"/>
      <c r="CE2" s="260"/>
      <c r="CF2" s="86"/>
      <c r="CG2" s="260"/>
      <c r="CH2" s="260"/>
      <c r="CI2" s="86"/>
      <c r="CJ2" s="228"/>
      <c r="CK2" s="228"/>
      <c r="CL2" s="229" t="s">
        <v>586</v>
      </c>
      <c r="CM2" s="229" t="s">
        <v>586</v>
      </c>
      <c r="CN2" s="229" t="s">
        <v>586</v>
      </c>
      <c r="CO2" s="229" t="s">
        <v>586</v>
      </c>
      <c r="CP2" s="229" t="s">
        <v>586</v>
      </c>
      <c r="CQ2" s="229" t="s">
        <v>586</v>
      </c>
      <c r="CR2" s="229" t="s">
        <v>586</v>
      </c>
      <c r="CS2" s="229" t="s">
        <v>586</v>
      </c>
      <c r="CT2" s="229" t="s">
        <v>586</v>
      </c>
      <c r="CU2" s="229" t="s">
        <v>586</v>
      </c>
      <c r="CV2" s="229" t="s">
        <v>586</v>
      </c>
      <c r="CW2" s="229" t="s">
        <v>586</v>
      </c>
      <c r="CX2" s="229" t="s">
        <v>586</v>
      </c>
      <c r="CY2" s="229" t="s">
        <v>586</v>
      </c>
      <c r="CZ2" s="229" t="s">
        <v>586</v>
      </c>
      <c r="DA2" s="229" t="s">
        <v>586</v>
      </c>
      <c r="DB2" s="229" t="s">
        <v>586</v>
      </c>
      <c r="DC2" s="229" t="s">
        <v>586</v>
      </c>
      <c r="DD2" s="229" t="s">
        <v>586</v>
      </c>
      <c r="DE2" s="229" t="s">
        <v>586</v>
      </c>
      <c r="DF2" s="229" t="s">
        <v>586</v>
      </c>
      <c r="DG2" s="229" t="s">
        <v>586</v>
      </c>
      <c r="DH2" s="229" t="s">
        <v>586</v>
      </c>
      <c r="DI2" s="229" t="s">
        <v>586</v>
      </c>
      <c r="DJ2" s="229" t="s">
        <v>586</v>
      </c>
      <c r="DK2" s="229" t="s">
        <v>586</v>
      </c>
      <c r="DL2" s="229" t="s">
        <v>586</v>
      </c>
      <c r="DM2" s="229" t="s">
        <v>586</v>
      </c>
      <c r="DN2" s="229" t="s">
        <v>586</v>
      </c>
      <c r="DO2" s="229" t="s">
        <v>586</v>
      </c>
      <c r="DP2" s="229" t="s">
        <v>586</v>
      </c>
      <c r="DQ2" s="229" t="s">
        <v>586</v>
      </c>
      <c r="DR2" s="229" t="s">
        <v>586</v>
      </c>
      <c r="DS2" s="229" t="s">
        <v>586</v>
      </c>
      <c r="DT2" s="229" t="s">
        <v>586</v>
      </c>
      <c r="DU2" s="229" t="s">
        <v>586</v>
      </c>
      <c r="DV2" s="229" t="s">
        <v>586</v>
      </c>
      <c r="DW2" s="229" t="s">
        <v>586</v>
      </c>
      <c r="DX2" s="229" t="s">
        <v>586</v>
      </c>
      <c r="DY2" s="229" t="s">
        <v>586</v>
      </c>
      <c r="DZ2" s="229" t="s">
        <v>586</v>
      </c>
      <c r="EA2" s="229" t="s">
        <v>586</v>
      </c>
      <c r="EB2" s="229" t="s">
        <v>586</v>
      </c>
      <c r="EC2" s="229" t="s">
        <v>586</v>
      </c>
      <c r="ED2" s="229" t="s">
        <v>586</v>
      </c>
      <c r="EE2" s="229" t="s">
        <v>586</v>
      </c>
      <c r="EF2" s="229" t="s">
        <v>586</v>
      </c>
      <c r="EG2" s="229" t="s">
        <v>586</v>
      </c>
      <c r="EH2" s="229" t="s">
        <v>586</v>
      </c>
      <c r="EI2" s="229" t="s">
        <v>586</v>
      </c>
      <c r="EJ2" s="229" t="s">
        <v>586</v>
      </c>
      <c r="EK2" s="229" t="s">
        <v>586</v>
      </c>
      <c r="EL2" s="229" t="s">
        <v>586</v>
      </c>
      <c r="EM2" s="229" t="s">
        <v>586</v>
      </c>
      <c r="EN2" s="229" t="s">
        <v>586</v>
      </c>
      <c r="EO2" s="229" t="s">
        <v>586</v>
      </c>
      <c r="EP2" s="229" t="s">
        <v>586</v>
      </c>
      <c r="EQ2" s="229" t="s">
        <v>586</v>
      </c>
      <c r="ER2" s="229" t="s">
        <v>586</v>
      </c>
      <c r="ES2" s="229" t="s">
        <v>586</v>
      </c>
      <c r="ET2" s="229" t="s">
        <v>586</v>
      </c>
      <c r="EU2" s="229" t="s">
        <v>586</v>
      </c>
      <c r="EV2" s="229" t="s">
        <v>586</v>
      </c>
      <c r="EW2" s="229" t="s">
        <v>586</v>
      </c>
      <c r="EX2" s="229" t="s">
        <v>586</v>
      </c>
      <c r="EY2" s="229" t="s">
        <v>586</v>
      </c>
      <c r="EZ2" s="229" t="s">
        <v>586</v>
      </c>
      <c r="FA2" s="229" t="s">
        <v>586</v>
      </c>
      <c r="FB2" s="229" t="s">
        <v>586</v>
      </c>
      <c r="FC2" s="229" t="s">
        <v>586</v>
      </c>
      <c r="FD2" s="229" t="s">
        <v>586</v>
      </c>
      <c r="FE2" s="229" t="s">
        <v>586</v>
      </c>
      <c r="FF2" s="229" t="s">
        <v>586</v>
      </c>
      <c r="FG2" s="229" t="s">
        <v>586</v>
      </c>
      <c r="FH2" s="229" t="s">
        <v>586</v>
      </c>
      <c r="FI2" s="229" t="s">
        <v>586</v>
      </c>
      <c r="FJ2" s="229" t="s">
        <v>586</v>
      </c>
      <c r="FK2" s="229" t="s">
        <v>586</v>
      </c>
      <c r="FL2" s="229" t="s">
        <v>586</v>
      </c>
      <c r="FM2" s="229" t="s">
        <v>586</v>
      </c>
      <c r="FN2" s="229" t="s">
        <v>586</v>
      </c>
      <c r="FO2" s="229" t="s">
        <v>586</v>
      </c>
      <c r="FP2" s="229" t="s">
        <v>586</v>
      </c>
      <c r="FQ2" s="229" t="s">
        <v>586</v>
      </c>
      <c r="FR2" s="229" t="s">
        <v>586</v>
      </c>
    </row>
    <row r="3" spans="1:174" x14ac:dyDescent="0.25">
      <c r="A3" s="228"/>
      <c r="B3" s="228"/>
      <c r="C3" s="228"/>
      <c r="D3" s="228"/>
      <c r="E3" s="228"/>
      <c r="F3" s="228"/>
      <c r="G3" s="228"/>
      <c r="H3" s="228"/>
      <c r="I3" s="228"/>
      <c r="J3" s="228"/>
      <c r="K3" s="228"/>
      <c r="L3" s="94"/>
      <c r="M3" s="260"/>
      <c r="N3" s="260"/>
      <c r="O3" s="86"/>
      <c r="P3" s="260"/>
      <c r="Q3" s="260"/>
      <c r="R3" s="86"/>
      <c r="S3" s="260"/>
      <c r="T3" s="260"/>
      <c r="U3" s="86"/>
      <c r="V3" s="260"/>
      <c r="W3" s="260"/>
      <c r="X3" s="86"/>
      <c r="Y3" s="260"/>
      <c r="Z3" s="260"/>
      <c r="AA3" s="86"/>
      <c r="AB3" s="260"/>
      <c r="AC3" s="260"/>
      <c r="AD3" s="86"/>
      <c r="AE3" s="260"/>
      <c r="AF3" s="260"/>
      <c r="AG3" s="86"/>
      <c r="AH3" s="260"/>
      <c r="AI3" s="260"/>
      <c r="AJ3" s="86"/>
      <c r="AK3" s="260"/>
      <c r="AL3" s="260"/>
      <c r="AM3" s="86"/>
      <c r="AN3" s="260"/>
      <c r="AO3" s="260"/>
      <c r="AP3" s="86"/>
      <c r="AQ3" s="260"/>
      <c r="AR3" s="260"/>
      <c r="AS3" s="86"/>
      <c r="AT3" s="260"/>
      <c r="AU3" s="260"/>
      <c r="AV3" s="86"/>
      <c r="AW3" s="228"/>
      <c r="AX3" s="228"/>
      <c r="AY3" s="94"/>
      <c r="AZ3" s="260"/>
      <c r="BA3" s="260"/>
      <c r="BB3" s="86"/>
      <c r="BC3" s="260"/>
      <c r="BD3" s="260"/>
      <c r="BE3" s="86"/>
      <c r="BF3" s="260"/>
      <c r="BG3" s="260"/>
      <c r="BH3" s="86"/>
      <c r="BI3" s="260"/>
      <c r="BJ3" s="260"/>
      <c r="BK3" s="86"/>
      <c r="BL3" s="260"/>
      <c r="BM3" s="260"/>
      <c r="BN3" s="86"/>
      <c r="BO3" s="260"/>
      <c r="BP3" s="260"/>
      <c r="BQ3" s="86"/>
      <c r="BR3" s="260"/>
      <c r="BS3" s="260"/>
      <c r="BT3" s="86"/>
      <c r="BU3" s="260"/>
      <c r="BV3" s="260"/>
      <c r="BW3" s="86"/>
      <c r="BX3" s="260"/>
      <c r="BY3" s="260"/>
      <c r="BZ3" s="86"/>
      <c r="CA3" s="260"/>
      <c r="CB3" s="260"/>
      <c r="CC3" s="86"/>
      <c r="CD3" s="260"/>
      <c r="CE3" s="260"/>
      <c r="CF3" s="86"/>
      <c r="CG3" s="260"/>
      <c r="CH3" s="260"/>
      <c r="CI3" s="86"/>
      <c r="CJ3" s="228"/>
      <c r="CK3" s="228"/>
      <c r="CL3" s="229" t="s">
        <v>586</v>
      </c>
      <c r="CM3" s="229" t="s">
        <v>586</v>
      </c>
      <c r="CN3" s="229" t="s">
        <v>586</v>
      </c>
      <c r="CO3" s="229" t="s">
        <v>586</v>
      </c>
      <c r="CP3" s="229" t="s">
        <v>586</v>
      </c>
      <c r="CQ3" s="229" t="s">
        <v>586</v>
      </c>
      <c r="CR3" s="229" t="s">
        <v>586</v>
      </c>
      <c r="CS3" s="229" t="s">
        <v>586</v>
      </c>
      <c r="CT3" s="229" t="s">
        <v>586</v>
      </c>
      <c r="CU3" s="229" t="s">
        <v>586</v>
      </c>
      <c r="CV3" s="229" t="s">
        <v>586</v>
      </c>
      <c r="CW3" s="229" t="s">
        <v>586</v>
      </c>
      <c r="CX3" s="229" t="s">
        <v>586</v>
      </c>
      <c r="CY3" s="229" t="s">
        <v>586</v>
      </c>
      <c r="CZ3" s="229" t="s">
        <v>586</v>
      </c>
      <c r="DA3" s="229" t="s">
        <v>586</v>
      </c>
      <c r="DB3" s="229" t="s">
        <v>586</v>
      </c>
      <c r="DC3" s="229" t="s">
        <v>586</v>
      </c>
      <c r="DD3" s="229" t="s">
        <v>586</v>
      </c>
      <c r="DE3" s="229" t="s">
        <v>586</v>
      </c>
      <c r="DF3" s="229" t="s">
        <v>586</v>
      </c>
      <c r="DG3" s="229" t="s">
        <v>586</v>
      </c>
      <c r="DH3" s="229" t="s">
        <v>586</v>
      </c>
      <c r="DI3" s="229" t="s">
        <v>586</v>
      </c>
      <c r="DJ3" s="229" t="s">
        <v>586</v>
      </c>
      <c r="DK3" s="229" t="s">
        <v>586</v>
      </c>
      <c r="DL3" s="229" t="s">
        <v>586</v>
      </c>
      <c r="DM3" s="229" t="s">
        <v>586</v>
      </c>
      <c r="DN3" s="229" t="s">
        <v>586</v>
      </c>
      <c r="DO3" s="229" t="s">
        <v>586</v>
      </c>
      <c r="DP3" s="229" t="s">
        <v>586</v>
      </c>
      <c r="DQ3" s="229" t="s">
        <v>586</v>
      </c>
      <c r="DR3" s="229" t="s">
        <v>586</v>
      </c>
      <c r="DS3" s="229" t="s">
        <v>586</v>
      </c>
      <c r="DT3" s="229" t="s">
        <v>586</v>
      </c>
      <c r="DU3" s="229" t="s">
        <v>586</v>
      </c>
      <c r="DV3" s="229" t="s">
        <v>586</v>
      </c>
      <c r="DW3" s="229" t="s">
        <v>586</v>
      </c>
      <c r="DX3" s="229" t="s">
        <v>586</v>
      </c>
      <c r="DY3" s="229" t="s">
        <v>586</v>
      </c>
      <c r="DZ3" s="229" t="s">
        <v>586</v>
      </c>
      <c r="EA3" s="229" t="s">
        <v>586</v>
      </c>
      <c r="EB3" s="229" t="s">
        <v>586</v>
      </c>
      <c r="EC3" s="229" t="s">
        <v>586</v>
      </c>
      <c r="ED3" s="229" t="s">
        <v>586</v>
      </c>
      <c r="EE3" s="229" t="s">
        <v>586</v>
      </c>
      <c r="EF3" s="229" t="s">
        <v>586</v>
      </c>
      <c r="EG3" s="229" t="s">
        <v>586</v>
      </c>
      <c r="EH3" s="229" t="s">
        <v>586</v>
      </c>
      <c r="EI3" s="229" t="s">
        <v>586</v>
      </c>
      <c r="EJ3" s="229" t="s">
        <v>586</v>
      </c>
      <c r="EK3" s="229" t="s">
        <v>586</v>
      </c>
      <c r="EL3" s="229" t="s">
        <v>586</v>
      </c>
      <c r="EM3" s="229" t="s">
        <v>586</v>
      </c>
      <c r="EN3" s="229" t="s">
        <v>586</v>
      </c>
      <c r="EO3" s="229" t="s">
        <v>586</v>
      </c>
      <c r="EP3" s="229" t="s">
        <v>586</v>
      </c>
      <c r="EQ3" s="229" t="s">
        <v>586</v>
      </c>
      <c r="ER3" s="229" t="s">
        <v>586</v>
      </c>
      <c r="ES3" s="229" t="s">
        <v>586</v>
      </c>
      <c r="ET3" s="229" t="s">
        <v>586</v>
      </c>
      <c r="EU3" s="229" t="s">
        <v>586</v>
      </c>
      <c r="EV3" s="229" t="s">
        <v>586</v>
      </c>
      <c r="EW3" s="229" t="s">
        <v>586</v>
      </c>
      <c r="EX3" s="229" t="s">
        <v>586</v>
      </c>
      <c r="EY3" s="229" t="s">
        <v>586</v>
      </c>
      <c r="EZ3" s="229" t="s">
        <v>586</v>
      </c>
      <c r="FA3" s="229" t="s">
        <v>586</v>
      </c>
      <c r="FB3" s="229" t="s">
        <v>586</v>
      </c>
      <c r="FC3" s="229" t="s">
        <v>586</v>
      </c>
      <c r="FD3" s="229" t="s">
        <v>586</v>
      </c>
      <c r="FE3" s="229" t="s">
        <v>586</v>
      </c>
      <c r="FF3" s="229" t="s">
        <v>586</v>
      </c>
      <c r="FG3" s="229" t="s">
        <v>586</v>
      </c>
      <c r="FH3" s="229" t="s">
        <v>586</v>
      </c>
      <c r="FI3" s="229" t="s">
        <v>586</v>
      </c>
      <c r="FJ3" s="229" t="s">
        <v>586</v>
      </c>
      <c r="FK3" s="229" t="s">
        <v>586</v>
      </c>
      <c r="FL3" s="229" t="s">
        <v>586</v>
      </c>
      <c r="FM3" s="229" t="s">
        <v>586</v>
      </c>
      <c r="FN3" s="229" t="s">
        <v>586</v>
      </c>
      <c r="FO3" s="229" t="s">
        <v>586</v>
      </c>
      <c r="FP3" s="229" t="s">
        <v>586</v>
      </c>
      <c r="FQ3" s="229" t="s">
        <v>586</v>
      </c>
      <c r="FR3" s="229" t="s">
        <v>586</v>
      </c>
    </row>
    <row r="4" spans="1:174" x14ac:dyDescent="0.25">
      <c r="A4" s="228"/>
      <c r="B4" s="228"/>
      <c r="C4" s="228"/>
      <c r="D4" s="228"/>
      <c r="E4" s="228"/>
      <c r="F4" s="228"/>
      <c r="G4" s="228"/>
      <c r="H4" s="228"/>
      <c r="I4" s="228"/>
      <c r="J4" s="228"/>
      <c r="K4" s="228"/>
      <c r="L4" s="94"/>
      <c r="M4" s="260"/>
      <c r="N4" s="260"/>
      <c r="O4" s="86"/>
      <c r="P4" s="260"/>
      <c r="Q4" s="260"/>
      <c r="R4" s="86"/>
      <c r="S4" s="260"/>
      <c r="T4" s="260"/>
      <c r="U4" s="86"/>
      <c r="V4" s="260"/>
      <c r="W4" s="260"/>
      <c r="X4" s="86"/>
      <c r="Y4" s="260"/>
      <c r="Z4" s="260"/>
      <c r="AA4" s="86"/>
      <c r="AB4" s="260"/>
      <c r="AC4" s="260"/>
      <c r="AD4" s="86"/>
      <c r="AE4" s="260"/>
      <c r="AF4" s="260"/>
      <c r="AG4" s="86"/>
      <c r="AH4" s="260"/>
      <c r="AI4" s="260"/>
      <c r="AJ4" s="86"/>
      <c r="AK4" s="260"/>
      <c r="AL4" s="260"/>
      <c r="AM4" s="86"/>
      <c r="AN4" s="260"/>
      <c r="AO4" s="260"/>
      <c r="AP4" s="86"/>
      <c r="AQ4" s="260"/>
      <c r="AR4" s="260"/>
      <c r="AS4" s="86"/>
      <c r="AT4" s="260"/>
      <c r="AU4" s="260"/>
      <c r="AV4" s="86"/>
      <c r="AW4" s="228"/>
      <c r="AX4" s="228"/>
      <c r="AY4" s="94"/>
      <c r="AZ4" s="260"/>
      <c r="BA4" s="260"/>
      <c r="BB4" s="86"/>
      <c r="BC4" s="260"/>
      <c r="BD4" s="260"/>
      <c r="BE4" s="86"/>
      <c r="BF4" s="260"/>
      <c r="BG4" s="260"/>
      <c r="BH4" s="86"/>
      <c r="BI4" s="260"/>
      <c r="BJ4" s="260"/>
      <c r="BK4" s="86"/>
      <c r="BL4" s="260"/>
      <c r="BM4" s="260"/>
      <c r="BN4" s="86"/>
      <c r="BO4" s="260"/>
      <c r="BP4" s="260"/>
      <c r="BQ4" s="86"/>
      <c r="BR4" s="260"/>
      <c r="BS4" s="260"/>
      <c r="BT4" s="86"/>
      <c r="BU4" s="260"/>
      <c r="BV4" s="260"/>
      <c r="BW4" s="86"/>
      <c r="BX4" s="260"/>
      <c r="BY4" s="260"/>
      <c r="BZ4" s="86"/>
      <c r="CA4" s="260"/>
      <c r="CB4" s="260"/>
      <c r="CC4" s="86"/>
      <c r="CD4" s="260"/>
      <c r="CE4" s="260"/>
      <c r="CF4" s="86"/>
      <c r="CG4" s="260"/>
      <c r="CH4" s="260"/>
      <c r="CI4" s="86"/>
      <c r="CJ4" s="228"/>
      <c r="CK4" s="228"/>
      <c r="CL4" s="229" t="s">
        <v>586</v>
      </c>
      <c r="CM4" s="229" t="s">
        <v>586</v>
      </c>
      <c r="CN4" s="229" t="s">
        <v>586</v>
      </c>
      <c r="CO4" s="229" t="s">
        <v>586</v>
      </c>
      <c r="CP4" s="229" t="s">
        <v>586</v>
      </c>
      <c r="CQ4" s="229" t="s">
        <v>586</v>
      </c>
      <c r="CR4" s="229" t="s">
        <v>586</v>
      </c>
      <c r="CS4" s="229" t="s">
        <v>586</v>
      </c>
      <c r="CT4" s="229" t="s">
        <v>586</v>
      </c>
      <c r="CU4" s="229" t="s">
        <v>586</v>
      </c>
      <c r="CV4" s="229" t="s">
        <v>586</v>
      </c>
      <c r="CW4" s="229" t="s">
        <v>586</v>
      </c>
      <c r="CX4" s="229" t="s">
        <v>586</v>
      </c>
      <c r="CY4" s="229" t="s">
        <v>586</v>
      </c>
      <c r="CZ4" s="229" t="s">
        <v>586</v>
      </c>
      <c r="DA4" s="229" t="s">
        <v>586</v>
      </c>
      <c r="DB4" s="229" t="s">
        <v>586</v>
      </c>
      <c r="DC4" s="229" t="s">
        <v>586</v>
      </c>
      <c r="DD4" s="229" t="s">
        <v>586</v>
      </c>
      <c r="DE4" s="229" t="s">
        <v>586</v>
      </c>
      <c r="DF4" s="229" t="s">
        <v>586</v>
      </c>
      <c r="DG4" s="229" t="s">
        <v>586</v>
      </c>
      <c r="DH4" s="229" t="s">
        <v>586</v>
      </c>
      <c r="DI4" s="229" t="s">
        <v>586</v>
      </c>
      <c r="DJ4" s="229" t="s">
        <v>586</v>
      </c>
      <c r="DK4" s="229" t="s">
        <v>586</v>
      </c>
      <c r="DL4" s="229" t="s">
        <v>586</v>
      </c>
      <c r="DM4" s="229" t="s">
        <v>586</v>
      </c>
      <c r="DN4" s="229" t="s">
        <v>586</v>
      </c>
      <c r="DO4" s="229" t="s">
        <v>586</v>
      </c>
      <c r="DP4" s="229" t="s">
        <v>586</v>
      </c>
      <c r="DQ4" s="229" t="s">
        <v>586</v>
      </c>
      <c r="DR4" s="229" t="s">
        <v>586</v>
      </c>
      <c r="DS4" s="229" t="s">
        <v>586</v>
      </c>
      <c r="DT4" s="229" t="s">
        <v>586</v>
      </c>
      <c r="DU4" s="229" t="s">
        <v>586</v>
      </c>
      <c r="DV4" s="229" t="s">
        <v>586</v>
      </c>
      <c r="DW4" s="229" t="s">
        <v>586</v>
      </c>
      <c r="DX4" s="229" t="s">
        <v>586</v>
      </c>
      <c r="DY4" s="229" t="s">
        <v>586</v>
      </c>
      <c r="DZ4" s="229" t="s">
        <v>586</v>
      </c>
      <c r="EA4" s="229" t="s">
        <v>586</v>
      </c>
      <c r="EB4" s="229" t="s">
        <v>586</v>
      </c>
      <c r="EC4" s="229" t="s">
        <v>586</v>
      </c>
      <c r="ED4" s="229" t="s">
        <v>586</v>
      </c>
      <c r="EE4" s="229" t="s">
        <v>586</v>
      </c>
      <c r="EF4" s="229" t="s">
        <v>586</v>
      </c>
      <c r="EG4" s="229" t="s">
        <v>586</v>
      </c>
      <c r="EH4" s="229" t="s">
        <v>586</v>
      </c>
      <c r="EI4" s="229" t="s">
        <v>586</v>
      </c>
      <c r="EJ4" s="229" t="s">
        <v>586</v>
      </c>
      <c r="EK4" s="229" t="s">
        <v>586</v>
      </c>
      <c r="EL4" s="229" t="s">
        <v>586</v>
      </c>
      <c r="EM4" s="229" t="s">
        <v>586</v>
      </c>
      <c r="EN4" s="229" t="s">
        <v>586</v>
      </c>
      <c r="EO4" s="229" t="s">
        <v>586</v>
      </c>
      <c r="EP4" s="229" t="s">
        <v>586</v>
      </c>
      <c r="EQ4" s="229" t="s">
        <v>586</v>
      </c>
      <c r="ER4" s="229" t="s">
        <v>586</v>
      </c>
      <c r="ES4" s="229" t="s">
        <v>586</v>
      </c>
      <c r="ET4" s="229" t="s">
        <v>586</v>
      </c>
      <c r="EU4" s="229" t="s">
        <v>586</v>
      </c>
      <c r="EV4" s="229" t="s">
        <v>586</v>
      </c>
      <c r="EW4" s="229" t="s">
        <v>586</v>
      </c>
      <c r="EX4" s="229" t="s">
        <v>586</v>
      </c>
      <c r="EY4" s="229" t="s">
        <v>586</v>
      </c>
      <c r="EZ4" s="229" t="s">
        <v>586</v>
      </c>
      <c r="FA4" s="229" t="s">
        <v>586</v>
      </c>
      <c r="FB4" s="229" t="s">
        <v>586</v>
      </c>
      <c r="FC4" s="229" t="s">
        <v>586</v>
      </c>
      <c r="FD4" s="229" t="s">
        <v>586</v>
      </c>
      <c r="FE4" s="229" t="s">
        <v>586</v>
      </c>
      <c r="FF4" s="229" t="s">
        <v>586</v>
      </c>
      <c r="FG4" s="229" t="s">
        <v>586</v>
      </c>
      <c r="FH4" s="229" t="s">
        <v>586</v>
      </c>
      <c r="FI4" s="229" t="s">
        <v>586</v>
      </c>
      <c r="FJ4" s="229" t="s">
        <v>586</v>
      </c>
      <c r="FK4" s="229" t="s">
        <v>586</v>
      </c>
      <c r="FL4" s="229" t="s">
        <v>586</v>
      </c>
      <c r="FM4" s="229" t="s">
        <v>586</v>
      </c>
      <c r="FN4" s="229" t="s">
        <v>586</v>
      </c>
      <c r="FO4" s="229" t="s">
        <v>586</v>
      </c>
      <c r="FP4" s="229" t="s">
        <v>586</v>
      </c>
      <c r="FQ4" s="229" t="s">
        <v>586</v>
      </c>
      <c r="FR4" s="229" t="s">
        <v>586</v>
      </c>
    </row>
    <row r="5" spans="1:174" x14ac:dyDescent="0.25">
      <c r="A5" s="228"/>
      <c r="B5" s="228"/>
      <c r="C5" s="228"/>
      <c r="D5" s="228"/>
      <c r="E5" s="228"/>
      <c r="F5" s="228"/>
      <c r="G5" s="228"/>
      <c r="H5" s="228"/>
      <c r="I5" s="228"/>
      <c r="J5" s="228"/>
      <c r="K5" s="228"/>
      <c r="L5" s="94"/>
      <c r="M5" s="260"/>
      <c r="N5" s="260"/>
      <c r="O5" s="86"/>
      <c r="P5" s="260"/>
      <c r="Q5" s="260"/>
      <c r="R5" s="86"/>
      <c r="S5" s="260"/>
      <c r="T5" s="260"/>
      <c r="U5" s="86"/>
      <c r="V5" s="260"/>
      <c r="W5" s="260"/>
      <c r="X5" s="86"/>
      <c r="Y5" s="260"/>
      <c r="Z5" s="260"/>
      <c r="AA5" s="86"/>
      <c r="AB5" s="260"/>
      <c r="AC5" s="260"/>
      <c r="AD5" s="86"/>
      <c r="AE5" s="260"/>
      <c r="AF5" s="260"/>
      <c r="AG5" s="86"/>
      <c r="AH5" s="260"/>
      <c r="AI5" s="260"/>
      <c r="AJ5" s="86"/>
      <c r="AK5" s="260"/>
      <c r="AL5" s="260"/>
      <c r="AM5" s="86"/>
      <c r="AN5" s="260"/>
      <c r="AO5" s="260"/>
      <c r="AP5" s="86"/>
      <c r="AQ5" s="260"/>
      <c r="AR5" s="260"/>
      <c r="AS5" s="86"/>
      <c r="AT5" s="260"/>
      <c r="AU5" s="260"/>
      <c r="AV5" s="86"/>
      <c r="AW5" s="228"/>
      <c r="AX5" s="228"/>
      <c r="AY5" s="94"/>
      <c r="AZ5" s="260"/>
      <c r="BA5" s="260"/>
      <c r="BB5" s="86"/>
      <c r="BC5" s="260"/>
      <c r="BD5" s="260"/>
      <c r="BE5" s="86"/>
      <c r="BF5" s="260"/>
      <c r="BG5" s="260"/>
      <c r="BH5" s="86"/>
      <c r="BI5" s="260"/>
      <c r="BJ5" s="260"/>
      <c r="BK5" s="86"/>
      <c r="BL5" s="260"/>
      <c r="BM5" s="260"/>
      <c r="BN5" s="86"/>
      <c r="BO5" s="260"/>
      <c r="BP5" s="260"/>
      <c r="BQ5" s="86"/>
      <c r="BR5" s="260"/>
      <c r="BS5" s="260"/>
      <c r="BT5" s="86"/>
      <c r="BU5" s="260"/>
      <c r="BV5" s="260"/>
      <c r="BW5" s="86"/>
      <c r="BX5" s="260"/>
      <c r="BY5" s="260"/>
      <c r="BZ5" s="86"/>
      <c r="CA5" s="260"/>
      <c r="CB5" s="260"/>
      <c r="CC5" s="86"/>
      <c r="CD5" s="260"/>
      <c r="CE5" s="260"/>
      <c r="CF5" s="86"/>
      <c r="CG5" s="260"/>
      <c r="CH5" s="260"/>
      <c r="CI5" s="86"/>
      <c r="CJ5" s="228"/>
      <c r="CK5" s="228"/>
      <c r="CL5" s="229" t="s">
        <v>586</v>
      </c>
      <c r="CM5" s="229" t="s">
        <v>586</v>
      </c>
      <c r="CN5" s="229" t="s">
        <v>586</v>
      </c>
      <c r="CO5" s="229" t="s">
        <v>586</v>
      </c>
      <c r="CP5" s="229" t="s">
        <v>586</v>
      </c>
      <c r="CQ5" s="229" t="s">
        <v>586</v>
      </c>
      <c r="CR5" s="229" t="s">
        <v>586</v>
      </c>
      <c r="CS5" s="229" t="s">
        <v>586</v>
      </c>
      <c r="CT5" s="229" t="s">
        <v>586</v>
      </c>
      <c r="CU5" s="229" t="s">
        <v>586</v>
      </c>
      <c r="CV5" s="229" t="s">
        <v>586</v>
      </c>
      <c r="CW5" s="229" t="s">
        <v>586</v>
      </c>
      <c r="CX5" s="229" t="s">
        <v>586</v>
      </c>
      <c r="CY5" s="229" t="s">
        <v>586</v>
      </c>
      <c r="CZ5" s="229" t="s">
        <v>586</v>
      </c>
      <c r="DA5" s="229" t="s">
        <v>586</v>
      </c>
      <c r="DB5" s="229" t="s">
        <v>586</v>
      </c>
      <c r="DC5" s="229" t="s">
        <v>586</v>
      </c>
      <c r="DD5" s="229" t="s">
        <v>586</v>
      </c>
      <c r="DE5" s="229" t="s">
        <v>586</v>
      </c>
      <c r="DF5" s="229" t="s">
        <v>586</v>
      </c>
      <c r="DG5" s="229" t="s">
        <v>586</v>
      </c>
      <c r="DH5" s="229" t="s">
        <v>586</v>
      </c>
      <c r="DI5" s="229" t="s">
        <v>586</v>
      </c>
      <c r="DJ5" s="229" t="s">
        <v>586</v>
      </c>
      <c r="DK5" s="229" t="s">
        <v>586</v>
      </c>
      <c r="DL5" s="229" t="s">
        <v>586</v>
      </c>
      <c r="DM5" s="229" t="s">
        <v>586</v>
      </c>
      <c r="DN5" s="229" t="s">
        <v>586</v>
      </c>
      <c r="DO5" s="229" t="s">
        <v>586</v>
      </c>
      <c r="DP5" s="229" t="s">
        <v>586</v>
      </c>
      <c r="DQ5" s="229" t="s">
        <v>586</v>
      </c>
      <c r="DR5" s="229" t="s">
        <v>586</v>
      </c>
      <c r="DS5" s="229" t="s">
        <v>586</v>
      </c>
      <c r="DT5" s="229" t="s">
        <v>586</v>
      </c>
      <c r="DU5" s="229" t="s">
        <v>586</v>
      </c>
      <c r="DV5" s="229" t="s">
        <v>586</v>
      </c>
      <c r="DW5" s="229" t="s">
        <v>586</v>
      </c>
      <c r="DX5" s="229" t="s">
        <v>586</v>
      </c>
      <c r="DY5" s="229" t="s">
        <v>586</v>
      </c>
      <c r="DZ5" s="229" t="s">
        <v>586</v>
      </c>
      <c r="EA5" s="229" t="s">
        <v>586</v>
      </c>
      <c r="EB5" s="229" t="s">
        <v>586</v>
      </c>
      <c r="EC5" s="229" t="s">
        <v>586</v>
      </c>
      <c r="ED5" s="229" t="s">
        <v>586</v>
      </c>
      <c r="EE5" s="229" t="s">
        <v>586</v>
      </c>
      <c r="EF5" s="229" t="s">
        <v>586</v>
      </c>
      <c r="EG5" s="229" t="s">
        <v>586</v>
      </c>
      <c r="EH5" s="229" t="s">
        <v>586</v>
      </c>
      <c r="EI5" s="229" t="s">
        <v>586</v>
      </c>
      <c r="EJ5" s="229" t="s">
        <v>586</v>
      </c>
      <c r="EK5" s="229" t="s">
        <v>586</v>
      </c>
      <c r="EL5" s="229" t="s">
        <v>586</v>
      </c>
      <c r="EM5" s="229" t="s">
        <v>586</v>
      </c>
      <c r="EN5" s="229" t="s">
        <v>586</v>
      </c>
      <c r="EO5" s="229" t="s">
        <v>586</v>
      </c>
      <c r="EP5" s="229" t="s">
        <v>586</v>
      </c>
      <c r="EQ5" s="229" t="s">
        <v>586</v>
      </c>
      <c r="ER5" s="229" t="s">
        <v>586</v>
      </c>
      <c r="ES5" s="229" t="s">
        <v>586</v>
      </c>
      <c r="ET5" s="229" t="s">
        <v>586</v>
      </c>
      <c r="EU5" s="229" t="s">
        <v>586</v>
      </c>
      <c r="EV5" s="229" t="s">
        <v>586</v>
      </c>
      <c r="EW5" s="229" t="s">
        <v>586</v>
      </c>
      <c r="EX5" s="229" t="s">
        <v>586</v>
      </c>
      <c r="EY5" s="229" t="s">
        <v>586</v>
      </c>
      <c r="EZ5" s="229" t="s">
        <v>586</v>
      </c>
      <c r="FA5" s="229" t="s">
        <v>586</v>
      </c>
      <c r="FB5" s="229" t="s">
        <v>586</v>
      </c>
      <c r="FC5" s="229" t="s">
        <v>586</v>
      </c>
      <c r="FD5" s="229" t="s">
        <v>586</v>
      </c>
      <c r="FE5" s="229" t="s">
        <v>586</v>
      </c>
      <c r="FF5" s="229" t="s">
        <v>586</v>
      </c>
      <c r="FG5" s="229" t="s">
        <v>586</v>
      </c>
      <c r="FH5" s="229" t="s">
        <v>586</v>
      </c>
      <c r="FI5" s="229" t="s">
        <v>586</v>
      </c>
      <c r="FJ5" s="229" t="s">
        <v>586</v>
      </c>
      <c r="FK5" s="229" t="s">
        <v>586</v>
      </c>
      <c r="FL5" s="229" t="s">
        <v>586</v>
      </c>
      <c r="FM5" s="229" t="s">
        <v>586</v>
      </c>
      <c r="FN5" s="229" t="s">
        <v>586</v>
      </c>
      <c r="FO5" s="229" t="s">
        <v>586</v>
      </c>
      <c r="FP5" s="229" t="s">
        <v>586</v>
      </c>
      <c r="FQ5" s="229" t="s">
        <v>586</v>
      </c>
      <c r="FR5" s="229" t="s">
        <v>586</v>
      </c>
    </row>
    <row r="6" spans="1:174" s="106" customFormat="1" ht="30" x14ac:dyDescent="0.25">
      <c r="A6" s="104" t="s">
        <v>59</v>
      </c>
      <c r="B6" s="278" t="s">
        <v>60</v>
      </c>
      <c r="C6" s="319"/>
      <c r="D6" s="520" t="s">
        <v>61</v>
      </c>
      <c r="E6" s="521"/>
      <c r="F6" s="520" t="s">
        <v>62</v>
      </c>
      <c r="G6" s="520"/>
      <c r="H6" s="520"/>
      <c r="I6" s="521"/>
      <c r="J6" s="520" t="s">
        <v>63</v>
      </c>
      <c r="K6" s="520"/>
      <c r="L6" s="521"/>
      <c r="M6" s="516" t="s">
        <v>2</v>
      </c>
      <c r="N6" s="516"/>
      <c r="O6" s="517"/>
      <c r="P6" s="516" t="s">
        <v>3</v>
      </c>
      <c r="Q6" s="516"/>
      <c r="R6" s="517"/>
      <c r="S6" s="516" t="s">
        <v>4</v>
      </c>
      <c r="T6" s="516"/>
      <c r="U6" s="517"/>
      <c r="V6" s="516" t="s">
        <v>830</v>
      </c>
      <c r="W6" s="516"/>
      <c r="X6" s="517"/>
      <c r="Y6" s="516" t="s">
        <v>831</v>
      </c>
      <c r="Z6" s="516"/>
      <c r="AA6" s="517"/>
      <c r="AB6" s="516" t="s">
        <v>832</v>
      </c>
      <c r="AC6" s="516"/>
      <c r="AD6" s="517"/>
      <c r="AE6" s="516" t="s">
        <v>1026</v>
      </c>
      <c r="AF6" s="516"/>
      <c r="AG6" s="517"/>
      <c r="AH6" s="516" t="s">
        <v>1027</v>
      </c>
      <c r="AI6" s="516"/>
      <c r="AJ6" s="517"/>
      <c r="AK6" s="516" t="s">
        <v>1028</v>
      </c>
      <c r="AL6" s="516"/>
      <c r="AM6" s="517"/>
      <c r="AN6" s="516" t="s">
        <v>1029</v>
      </c>
      <c r="AO6" s="516"/>
      <c r="AP6" s="517"/>
      <c r="AQ6" s="516" t="s">
        <v>1030</v>
      </c>
      <c r="AR6" s="516"/>
      <c r="AS6" s="517"/>
      <c r="AT6" s="516" t="s">
        <v>1701</v>
      </c>
      <c r="AU6" s="516"/>
      <c r="AV6" s="517"/>
      <c r="AW6" s="518" t="s">
        <v>64</v>
      </c>
      <c r="AX6" s="518"/>
      <c r="AY6" s="519"/>
      <c r="AZ6" s="514" t="s">
        <v>2</v>
      </c>
      <c r="BA6" s="514"/>
      <c r="BB6" s="515"/>
      <c r="BC6" s="514" t="s">
        <v>3</v>
      </c>
      <c r="BD6" s="514"/>
      <c r="BE6" s="515"/>
      <c r="BF6" s="514" t="s">
        <v>4</v>
      </c>
      <c r="BG6" s="514"/>
      <c r="BH6" s="515"/>
      <c r="BI6" s="514" t="s">
        <v>830</v>
      </c>
      <c r="BJ6" s="514"/>
      <c r="BK6" s="515"/>
      <c r="BL6" s="514" t="s">
        <v>831</v>
      </c>
      <c r="BM6" s="514"/>
      <c r="BN6" s="515"/>
      <c r="BO6" s="514" t="s">
        <v>832</v>
      </c>
      <c r="BP6" s="514"/>
      <c r="BQ6" s="515"/>
      <c r="BR6" s="514" t="s">
        <v>1026</v>
      </c>
      <c r="BS6" s="514"/>
      <c r="BT6" s="515"/>
      <c r="BU6" s="514" t="s">
        <v>1027</v>
      </c>
      <c r="BV6" s="514"/>
      <c r="BW6" s="515"/>
      <c r="BX6" s="514" t="s">
        <v>1028</v>
      </c>
      <c r="BY6" s="514"/>
      <c r="BZ6" s="515"/>
      <c r="CA6" s="514" t="s">
        <v>1029</v>
      </c>
      <c r="CB6" s="514"/>
      <c r="CC6" s="515"/>
      <c r="CD6" s="514" t="s">
        <v>1030</v>
      </c>
      <c r="CE6" s="514"/>
      <c r="CF6" s="515"/>
      <c r="CG6" s="514" t="s">
        <v>1701</v>
      </c>
      <c r="CH6" s="514"/>
      <c r="CI6" s="515"/>
      <c r="CJ6" s="520" t="s">
        <v>65</v>
      </c>
      <c r="CK6" s="521"/>
      <c r="CL6" s="105" t="s">
        <v>586</v>
      </c>
      <c r="CM6" s="105" t="s">
        <v>586</v>
      </c>
      <c r="CN6" s="105" t="s">
        <v>586</v>
      </c>
      <c r="CO6" s="105" t="s">
        <v>586</v>
      </c>
      <c r="CP6" s="105" t="s">
        <v>586</v>
      </c>
      <c r="CQ6" s="105" t="s">
        <v>586</v>
      </c>
      <c r="CR6" s="105" t="s">
        <v>586</v>
      </c>
      <c r="CS6" s="105" t="s">
        <v>586</v>
      </c>
      <c r="CT6" s="105" t="s">
        <v>586</v>
      </c>
      <c r="CU6" s="105" t="s">
        <v>586</v>
      </c>
      <c r="CV6" s="105" t="s">
        <v>586</v>
      </c>
      <c r="CW6" s="105" t="s">
        <v>586</v>
      </c>
      <c r="CX6" s="105" t="s">
        <v>586</v>
      </c>
      <c r="CY6" s="105" t="s">
        <v>586</v>
      </c>
      <c r="CZ6" s="105" t="s">
        <v>586</v>
      </c>
      <c r="DA6" s="105" t="s">
        <v>586</v>
      </c>
      <c r="DB6" s="105" t="s">
        <v>586</v>
      </c>
      <c r="DC6" s="105" t="s">
        <v>586</v>
      </c>
      <c r="DD6" s="105" t="s">
        <v>586</v>
      </c>
      <c r="DE6" s="105" t="s">
        <v>586</v>
      </c>
      <c r="DF6" s="105" t="s">
        <v>586</v>
      </c>
      <c r="DG6" s="105" t="s">
        <v>586</v>
      </c>
      <c r="DH6" s="105" t="s">
        <v>586</v>
      </c>
      <c r="DI6" s="105" t="s">
        <v>586</v>
      </c>
      <c r="DJ6" s="105" t="s">
        <v>586</v>
      </c>
      <c r="DK6" s="105" t="s">
        <v>586</v>
      </c>
      <c r="DL6" s="105" t="s">
        <v>586</v>
      </c>
      <c r="DM6" s="105" t="s">
        <v>586</v>
      </c>
      <c r="DN6" s="105" t="s">
        <v>586</v>
      </c>
      <c r="DO6" s="105" t="s">
        <v>586</v>
      </c>
      <c r="DP6" s="105" t="s">
        <v>586</v>
      </c>
      <c r="DQ6" s="105" t="s">
        <v>586</v>
      </c>
      <c r="DR6" s="105" t="s">
        <v>586</v>
      </c>
      <c r="DS6" s="105" t="s">
        <v>586</v>
      </c>
      <c r="DT6" s="105" t="s">
        <v>586</v>
      </c>
      <c r="DU6" s="105" t="s">
        <v>586</v>
      </c>
      <c r="DV6" s="105" t="s">
        <v>586</v>
      </c>
      <c r="DW6" s="105" t="s">
        <v>586</v>
      </c>
      <c r="DX6" s="105" t="s">
        <v>586</v>
      </c>
      <c r="DY6" s="105" t="s">
        <v>586</v>
      </c>
      <c r="DZ6" s="105" t="s">
        <v>586</v>
      </c>
      <c r="EA6" s="105" t="s">
        <v>586</v>
      </c>
      <c r="EB6" s="105" t="s">
        <v>586</v>
      </c>
      <c r="EC6" s="105" t="s">
        <v>586</v>
      </c>
      <c r="ED6" s="105" t="s">
        <v>586</v>
      </c>
      <c r="EE6" s="105" t="s">
        <v>586</v>
      </c>
      <c r="EF6" s="105" t="s">
        <v>586</v>
      </c>
      <c r="EG6" s="105" t="s">
        <v>586</v>
      </c>
      <c r="EH6" s="105" t="s">
        <v>586</v>
      </c>
      <c r="EI6" s="105" t="s">
        <v>586</v>
      </c>
      <c r="EJ6" s="105" t="s">
        <v>586</v>
      </c>
      <c r="EK6" s="105" t="s">
        <v>586</v>
      </c>
      <c r="EL6" s="105" t="s">
        <v>586</v>
      </c>
      <c r="EM6" s="105" t="s">
        <v>586</v>
      </c>
      <c r="EN6" s="105" t="s">
        <v>586</v>
      </c>
      <c r="EO6" s="105" t="s">
        <v>586</v>
      </c>
      <c r="EP6" s="105" t="s">
        <v>586</v>
      </c>
      <c r="EQ6" s="105" t="s">
        <v>586</v>
      </c>
      <c r="ER6" s="105" t="s">
        <v>586</v>
      </c>
      <c r="ES6" s="105" t="s">
        <v>586</v>
      </c>
      <c r="ET6" s="105" t="s">
        <v>586</v>
      </c>
      <c r="EU6" s="105" t="s">
        <v>586</v>
      </c>
      <c r="EV6" s="105" t="s">
        <v>586</v>
      </c>
      <c r="EW6" s="105" t="s">
        <v>586</v>
      </c>
      <c r="EX6" s="105" t="s">
        <v>586</v>
      </c>
      <c r="EY6" s="105" t="s">
        <v>586</v>
      </c>
      <c r="EZ6" s="105" t="s">
        <v>586</v>
      </c>
      <c r="FA6" s="105" t="s">
        <v>586</v>
      </c>
      <c r="FB6" s="105" t="s">
        <v>586</v>
      </c>
      <c r="FC6" s="105" t="s">
        <v>586</v>
      </c>
      <c r="FD6" s="105" t="s">
        <v>586</v>
      </c>
      <c r="FE6" s="105" t="s">
        <v>586</v>
      </c>
      <c r="FF6" s="105" t="s">
        <v>586</v>
      </c>
      <c r="FG6" s="105" t="s">
        <v>586</v>
      </c>
      <c r="FH6" s="105" t="s">
        <v>586</v>
      </c>
      <c r="FI6" s="105" t="s">
        <v>586</v>
      </c>
      <c r="FJ6" s="105" t="s">
        <v>586</v>
      </c>
      <c r="FK6" s="105" t="s">
        <v>586</v>
      </c>
      <c r="FL6" s="105" t="s">
        <v>586</v>
      </c>
      <c r="FM6" s="105" t="s">
        <v>586</v>
      </c>
      <c r="FN6" s="105" t="s">
        <v>586</v>
      </c>
      <c r="FO6" s="105" t="s">
        <v>586</v>
      </c>
      <c r="FP6" s="105" t="s">
        <v>586</v>
      </c>
      <c r="FQ6" s="105" t="s">
        <v>586</v>
      </c>
      <c r="FR6" s="105" t="s">
        <v>586</v>
      </c>
    </row>
    <row r="7" spans="1:174" s="106" customFormat="1" ht="49.5" customHeight="1" x14ac:dyDescent="0.25">
      <c r="A7" s="107" t="s">
        <v>66</v>
      </c>
      <c r="B7" s="108" t="s">
        <v>67</v>
      </c>
      <c r="C7" s="108" t="s">
        <v>68</v>
      </c>
      <c r="D7" s="108" t="s">
        <v>69</v>
      </c>
      <c r="E7" s="108" t="s">
        <v>70</v>
      </c>
      <c r="F7" s="108" t="s">
        <v>71</v>
      </c>
      <c r="G7" s="108" t="s">
        <v>72</v>
      </c>
      <c r="H7" s="108" t="s">
        <v>587</v>
      </c>
      <c r="I7" s="108" t="s">
        <v>588</v>
      </c>
      <c r="J7" s="108" t="s">
        <v>63</v>
      </c>
      <c r="K7" s="108" t="s">
        <v>75</v>
      </c>
      <c r="L7" s="108" t="s">
        <v>76</v>
      </c>
      <c r="M7" s="108" t="s">
        <v>77</v>
      </c>
      <c r="N7" s="108" t="s">
        <v>78</v>
      </c>
      <c r="O7" s="108" t="s">
        <v>79</v>
      </c>
      <c r="P7" s="108" t="s">
        <v>77</v>
      </c>
      <c r="Q7" s="108" t="s">
        <v>78</v>
      </c>
      <c r="R7" s="108" t="s">
        <v>79</v>
      </c>
      <c r="S7" s="108" t="s">
        <v>77</v>
      </c>
      <c r="T7" s="108" t="s">
        <v>78</v>
      </c>
      <c r="U7" s="108" t="s">
        <v>79</v>
      </c>
      <c r="V7" s="108" t="s">
        <v>77</v>
      </c>
      <c r="W7" s="108" t="s">
        <v>78</v>
      </c>
      <c r="X7" s="108" t="s">
        <v>79</v>
      </c>
      <c r="Y7" s="108" t="s">
        <v>77</v>
      </c>
      <c r="Z7" s="108" t="s">
        <v>78</v>
      </c>
      <c r="AA7" s="108" t="s">
        <v>79</v>
      </c>
      <c r="AB7" s="108" t="s">
        <v>77</v>
      </c>
      <c r="AC7" s="108" t="s">
        <v>78</v>
      </c>
      <c r="AD7" s="108" t="s">
        <v>79</v>
      </c>
      <c r="AE7" s="108" t="s">
        <v>77</v>
      </c>
      <c r="AF7" s="108" t="s">
        <v>78</v>
      </c>
      <c r="AG7" s="108" t="s">
        <v>79</v>
      </c>
      <c r="AH7" s="108" t="s">
        <v>77</v>
      </c>
      <c r="AI7" s="108" t="s">
        <v>78</v>
      </c>
      <c r="AJ7" s="108" t="s">
        <v>79</v>
      </c>
      <c r="AK7" s="108" t="s">
        <v>77</v>
      </c>
      <c r="AL7" s="108" t="s">
        <v>78</v>
      </c>
      <c r="AM7" s="108" t="s">
        <v>79</v>
      </c>
      <c r="AN7" s="108" t="s">
        <v>77</v>
      </c>
      <c r="AO7" s="108" t="s">
        <v>78</v>
      </c>
      <c r="AP7" s="108" t="s">
        <v>79</v>
      </c>
      <c r="AQ7" s="108" t="s">
        <v>77</v>
      </c>
      <c r="AR7" s="108" t="s">
        <v>78</v>
      </c>
      <c r="AS7" s="108" t="s">
        <v>79</v>
      </c>
      <c r="AT7" s="108" t="s">
        <v>77</v>
      </c>
      <c r="AU7" s="108" t="s">
        <v>78</v>
      </c>
      <c r="AV7" s="108" t="s">
        <v>79</v>
      </c>
      <c r="AW7" s="215" t="s">
        <v>64</v>
      </c>
      <c r="AX7" s="215" t="s">
        <v>80</v>
      </c>
      <c r="AY7" s="215" t="s">
        <v>81</v>
      </c>
      <c r="AZ7" s="215" t="s">
        <v>77</v>
      </c>
      <c r="BA7" s="215" t="s">
        <v>78</v>
      </c>
      <c r="BB7" s="215" t="s">
        <v>79</v>
      </c>
      <c r="BC7" s="215" t="s">
        <v>77</v>
      </c>
      <c r="BD7" s="215" t="s">
        <v>78</v>
      </c>
      <c r="BE7" s="215" t="s">
        <v>79</v>
      </c>
      <c r="BF7" s="215" t="s">
        <v>77</v>
      </c>
      <c r="BG7" s="215" t="s">
        <v>78</v>
      </c>
      <c r="BH7" s="215" t="s">
        <v>79</v>
      </c>
      <c r="BI7" s="215" t="s">
        <v>77</v>
      </c>
      <c r="BJ7" s="215" t="s">
        <v>78</v>
      </c>
      <c r="BK7" s="215" t="s">
        <v>79</v>
      </c>
      <c r="BL7" s="215" t="s">
        <v>77</v>
      </c>
      <c r="BM7" s="215" t="s">
        <v>78</v>
      </c>
      <c r="BN7" s="215" t="s">
        <v>79</v>
      </c>
      <c r="BO7" s="215" t="s">
        <v>77</v>
      </c>
      <c r="BP7" s="215" t="s">
        <v>78</v>
      </c>
      <c r="BQ7" s="215" t="s">
        <v>79</v>
      </c>
      <c r="BR7" s="215" t="s">
        <v>77</v>
      </c>
      <c r="BS7" s="215" t="s">
        <v>78</v>
      </c>
      <c r="BT7" s="215" t="s">
        <v>79</v>
      </c>
      <c r="BU7" s="215" t="s">
        <v>77</v>
      </c>
      <c r="BV7" s="215" t="s">
        <v>78</v>
      </c>
      <c r="BW7" s="215" t="s">
        <v>79</v>
      </c>
      <c r="BX7" s="215" t="s">
        <v>77</v>
      </c>
      <c r="BY7" s="215" t="s">
        <v>78</v>
      </c>
      <c r="BZ7" s="215" t="s">
        <v>79</v>
      </c>
      <c r="CA7" s="215" t="s">
        <v>77</v>
      </c>
      <c r="CB7" s="215" t="s">
        <v>78</v>
      </c>
      <c r="CC7" s="215" t="s">
        <v>79</v>
      </c>
      <c r="CD7" s="215" t="s">
        <v>77</v>
      </c>
      <c r="CE7" s="215" t="s">
        <v>78</v>
      </c>
      <c r="CF7" s="215" t="s">
        <v>79</v>
      </c>
      <c r="CG7" s="215" t="s">
        <v>77</v>
      </c>
      <c r="CH7" s="215" t="s">
        <v>78</v>
      </c>
      <c r="CI7" s="215" t="s">
        <v>79</v>
      </c>
      <c r="CJ7" s="108" t="s">
        <v>82</v>
      </c>
      <c r="CK7" s="108" t="s">
        <v>83</v>
      </c>
      <c r="CL7" s="105" t="s">
        <v>586</v>
      </c>
      <c r="CM7" s="105" t="s">
        <v>586</v>
      </c>
      <c r="CN7" s="105" t="s">
        <v>586</v>
      </c>
      <c r="CO7" s="105" t="s">
        <v>586</v>
      </c>
      <c r="CP7" s="105" t="s">
        <v>586</v>
      </c>
      <c r="CQ7" s="105" t="s">
        <v>586</v>
      </c>
      <c r="CR7" s="105" t="s">
        <v>586</v>
      </c>
      <c r="CS7" s="105" t="s">
        <v>586</v>
      </c>
      <c r="CT7" s="105" t="s">
        <v>586</v>
      </c>
      <c r="CU7" s="105" t="s">
        <v>586</v>
      </c>
      <c r="CV7" s="105" t="s">
        <v>586</v>
      </c>
      <c r="CW7" s="105" t="s">
        <v>586</v>
      </c>
      <c r="CX7" s="105" t="s">
        <v>586</v>
      </c>
      <c r="CY7" s="105" t="s">
        <v>586</v>
      </c>
      <c r="CZ7" s="105" t="s">
        <v>586</v>
      </c>
      <c r="DA7" s="105" t="s">
        <v>586</v>
      </c>
      <c r="DB7" s="105" t="s">
        <v>586</v>
      </c>
      <c r="DC7" s="105" t="s">
        <v>586</v>
      </c>
      <c r="DD7" s="105" t="s">
        <v>586</v>
      </c>
      <c r="DE7" s="105" t="s">
        <v>586</v>
      </c>
      <c r="DF7" s="105" t="s">
        <v>586</v>
      </c>
      <c r="DG7" s="105" t="s">
        <v>586</v>
      </c>
      <c r="DH7" s="105" t="s">
        <v>586</v>
      </c>
      <c r="DI7" s="105" t="s">
        <v>586</v>
      </c>
      <c r="DJ7" s="105" t="s">
        <v>586</v>
      </c>
      <c r="DK7" s="105" t="s">
        <v>586</v>
      </c>
      <c r="DL7" s="105" t="s">
        <v>586</v>
      </c>
      <c r="DM7" s="105" t="s">
        <v>586</v>
      </c>
      <c r="DN7" s="105" t="s">
        <v>586</v>
      </c>
      <c r="DO7" s="105" t="s">
        <v>586</v>
      </c>
      <c r="DP7" s="105" t="s">
        <v>586</v>
      </c>
      <c r="DQ7" s="105" t="s">
        <v>586</v>
      </c>
      <c r="DR7" s="105" t="s">
        <v>586</v>
      </c>
      <c r="DS7" s="105" t="s">
        <v>586</v>
      </c>
      <c r="DT7" s="105" t="s">
        <v>586</v>
      </c>
      <c r="DU7" s="105" t="s">
        <v>586</v>
      </c>
      <c r="DV7" s="105" t="s">
        <v>586</v>
      </c>
      <c r="DW7" s="105" t="s">
        <v>586</v>
      </c>
      <c r="DX7" s="105" t="s">
        <v>586</v>
      </c>
      <c r="DY7" s="105" t="s">
        <v>586</v>
      </c>
      <c r="DZ7" s="105" t="s">
        <v>586</v>
      </c>
      <c r="EA7" s="105" t="s">
        <v>586</v>
      </c>
      <c r="EB7" s="105" t="s">
        <v>586</v>
      </c>
      <c r="EC7" s="105" t="s">
        <v>586</v>
      </c>
      <c r="ED7" s="105" t="s">
        <v>586</v>
      </c>
      <c r="EE7" s="105" t="s">
        <v>586</v>
      </c>
      <c r="EF7" s="105" t="s">
        <v>586</v>
      </c>
      <c r="EG7" s="105" t="s">
        <v>586</v>
      </c>
      <c r="EH7" s="105" t="s">
        <v>586</v>
      </c>
      <c r="EI7" s="105" t="s">
        <v>586</v>
      </c>
      <c r="EJ7" s="105" t="s">
        <v>586</v>
      </c>
      <c r="EK7" s="105" t="s">
        <v>586</v>
      </c>
      <c r="EL7" s="105" t="s">
        <v>586</v>
      </c>
      <c r="EM7" s="105" t="s">
        <v>586</v>
      </c>
      <c r="EN7" s="105" t="s">
        <v>586</v>
      </c>
      <c r="EO7" s="105" t="s">
        <v>586</v>
      </c>
      <c r="EP7" s="105" t="s">
        <v>586</v>
      </c>
      <c r="EQ7" s="105" t="s">
        <v>586</v>
      </c>
      <c r="ER7" s="105" t="s">
        <v>586</v>
      </c>
      <c r="ES7" s="105" t="s">
        <v>586</v>
      </c>
      <c r="ET7" s="105" t="s">
        <v>586</v>
      </c>
      <c r="EU7" s="105" t="s">
        <v>586</v>
      </c>
      <c r="EV7" s="105" t="s">
        <v>586</v>
      </c>
      <c r="EW7" s="105" t="s">
        <v>586</v>
      </c>
      <c r="EX7" s="105" t="s">
        <v>586</v>
      </c>
      <c r="EY7" s="105" t="s">
        <v>586</v>
      </c>
      <c r="EZ7" s="105" t="s">
        <v>586</v>
      </c>
      <c r="FA7" s="105" t="s">
        <v>586</v>
      </c>
      <c r="FB7" s="105" t="s">
        <v>586</v>
      </c>
      <c r="FC7" s="105" t="s">
        <v>586</v>
      </c>
      <c r="FD7" s="105" t="s">
        <v>586</v>
      </c>
      <c r="FE7" s="105" t="s">
        <v>586</v>
      </c>
      <c r="FF7" s="105" t="s">
        <v>586</v>
      </c>
      <c r="FG7" s="105" t="s">
        <v>586</v>
      </c>
      <c r="FH7" s="105" t="s">
        <v>586</v>
      </c>
      <c r="FI7" s="105" t="s">
        <v>586</v>
      </c>
      <c r="FJ7" s="105" t="s">
        <v>586</v>
      </c>
      <c r="FK7" s="105" t="s">
        <v>586</v>
      </c>
      <c r="FL7" s="105" t="s">
        <v>586</v>
      </c>
      <c r="FM7" s="105" t="s">
        <v>586</v>
      </c>
      <c r="FN7" s="105" t="s">
        <v>586</v>
      </c>
      <c r="FO7" s="105" t="s">
        <v>586</v>
      </c>
      <c r="FP7" s="105" t="s">
        <v>586</v>
      </c>
      <c r="FQ7" s="105" t="s">
        <v>586</v>
      </c>
      <c r="FR7" s="105" t="s">
        <v>586</v>
      </c>
    </row>
    <row r="8" spans="1:174" s="89" customFormat="1" ht="33.75" customHeight="1" x14ac:dyDescent="0.25">
      <c r="A8" s="490" t="s">
        <v>84</v>
      </c>
      <c r="B8" s="490" t="s">
        <v>85</v>
      </c>
      <c r="C8" s="490" t="s">
        <v>2727</v>
      </c>
      <c r="D8" s="490" t="s">
        <v>22</v>
      </c>
      <c r="E8" s="493" t="s">
        <v>589</v>
      </c>
      <c r="F8" s="490" t="s">
        <v>88</v>
      </c>
      <c r="G8" s="490" t="s">
        <v>89</v>
      </c>
      <c r="H8" s="511" t="s">
        <v>590</v>
      </c>
      <c r="I8" s="230" t="s">
        <v>591</v>
      </c>
      <c r="J8" s="275" t="s">
        <v>592</v>
      </c>
      <c r="K8" s="275" t="s">
        <v>593</v>
      </c>
      <c r="L8" s="95">
        <v>0.9</v>
      </c>
      <c r="M8" s="231" t="s">
        <v>586</v>
      </c>
      <c r="N8" s="231" t="s">
        <v>586</v>
      </c>
      <c r="O8" s="275" t="s">
        <v>594</v>
      </c>
      <c r="P8" s="231" t="s">
        <v>586</v>
      </c>
      <c r="Q8" s="231" t="s">
        <v>586</v>
      </c>
      <c r="R8" s="275" t="s">
        <v>594</v>
      </c>
      <c r="S8" s="232">
        <v>0.59</v>
      </c>
      <c r="T8" s="232">
        <v>0.59</v>
      </c>
      <c r="U8" s="275" t="s">
        <v>595</v>
      </c>
      <c r="V8" s="231" t="s">
        <v>586</v>
      </c>
      <c r="W8" s="231" t="s">
        <v>586</v>
      </c>
      <c r="X8" s="275" t="s">
        <v>594</v>
      </c>
      <c r="Y8" s="231" t="s">
        <v>586</v>
      </c>
      <c r="Z8" s="231" t="s">
        <v>586</v>
      </c>
      <c r="AA8" s="275" t="s">
        <v>594</v>
      </c>
      <c r="AB8" s="232">
        <v>0.84</v>
      </c>
      <c r="AC8" s="232">
        <v>0.84</v>
      </c>
      <c r="AD8" s="275" t="s">
        <v>959</v>
      </c>
      <c r="AE8" s="231" t="s">
        <v>643</v>
      </c>
      <c r="AF8" s="231" t="s">
        <v>643</v>
      </c>
      <c r="AG8" s="275" t="s">
        <v>594</v>
      </c>
      <c r="AH8" s="231" t="s">
        <v>643</v>
      </c>
      <c r="AI8" s="231" t="s">
        <v>643</v>
      </c>
      <c r="AJ8" s="275" t="s">
        <v>594</v>
      </c>
      <c r="AK8" s="232">
        <v>0.92</v>
      </c>
      <c r="AL8" s="232">
        <v>0.92</v>
      </c>
      <c r="AM8" s="275" t="s">
        <v>1453</v>
      </c>
      <c r="AN8" s="231" t="s">
        <v>643</v>
      </c>
      <c r="AO8" s="231" t="s">
        <v>643</v>
      </c>
      <c r="AP8" s="275" t="s">
        <v>594</v>
      </c>
      <c r="AQ8" s="232">
        <v>0.92</v>
      </c>
      <c r="AR8" s="290">
        <v>0.92</v>
      </c>
      <c r="AS8" s="275" t="s">
        <v>594</v>
      </c>
      <c r="AT8" s="232">
        <v>1</v>
      </c>
      <c r="AU8" s="232">
        <v>1</v>
      </c>
      <c r="AV8" s="275" t="s">
        <v>1848</v>
      </c>
      <c r="AW8" s="488" t="s">
        <v>93</v>
      </c>
      <c r="AX8" s="488"/>
      <c r="AY8" s="489"/>
      <c r="AZ8" s="101" t="s">
        <v>586</v>
      </c>
      <c r="BA8" s="233" t="s">
        <v>586</v>
      </c>
      <c r="BB8" s="88" t="s">
        <v>586</v>
      </c>
      <c r="BC8" s="101" t="s">
        <v>586</v>
      </c>
      <c r="BD8" s="233" t="s">
        <v>586</v>
      </c>
      <c r="BE8" s="88" t="s">
        <v>586</v>
      </c>
      <c r="BF8" s="101" t="s">
        <v>586</v>
      </c>
      <c r="BG8" s="233" t="s">
        <v>586</v>
      </c>
      <c r="BH8" s="88" t="s">
        <v>586</v>
      </c>
      <c r="BI8" s="101" t="s">
        <v>586</v>
      </c>
      <c r="BJ8" s="233" t="s">
        <v>586</v>
      </c>
      <c r="BK8" s="88" t="s">
        <v>586</v>
      </c>
      <c r="BL8" s="101" t="s">
        <v>586</v>
      </c>
      <c r="BM8" s="233" t="s">
        <v>586</v>
      </c>
      <c r="BN8" s="88" t="s">
        <v>586</v>
      </c>
      <c r="BO8" s="101" t="s">
        <v>586</v>
      </c>
      <c r="BP8" s="233" t="s">
        <v>586</v>
      </c>
      <c r="BQ8" s="88" t="s">
        <v>586</v>
      </c>
      <c r="BR8" s="101" t="s">
        <v>586</v>
      </c>
      <c r="BS8" s="233" t="s">
        <v>586</v>
      </c>
      <c r="BT8" s="88" t="s">
        <v>586</v>
      </c>
      <c r="BU8" s="101" t="s">
        <v>586</v>
      </c>
      <c r="BV8" s="233" t="s">
        <v>586</v>
      </c>
      <c r="BW8" s="88" t="s">
        <v>586</v>
      </c>
      <c r="BX8" s="101" t="s">
        <v>586</v>
      </c>
      <c r="BY8" s="233" t="s">
        <v>586</v>
      </c>
      <c r="BZ8" s="88" t="s">
        <v>586</v>
      </c>
      <c r="CA8" s="101" t="s">
        <v>586</v>
      </c>
      <c r="CB8" s="233" t="s">
        <v>586</v>
      </c>
      <c r="CC8" s="88" t="s">
        <v>586</v>
      </c>
      <c r="CD8" s="101" t="s">
        <v>586</v>
      </c>
      <c r="CE8" s="233" t="s">
        <v>586</v>
      </c>
      <c r="CF8" s="88" t="s">
        <v>586</v>
      </c>
      <c r="CG8" s="101" t="s">
        <v>586</v>
      </c>
      <c r="CH8" s="233" t="s">
        <v>586</v>
      </c>
      <c r="CI8" s="88" t="s">
        <v>586</v>
      </c>
      <c r="CJ8" s="275" t="s">
        <v>159</v>
      </c>
      <c r="CK8" s="275" t="s">
        <v>596</v>
      </c>
      <c r="CL8" s="277" t="s">
        <v>586</v>
      </c>
      <c r="CM8" s="277" t="s">
        <v>586</v>
      </c>
      <c r="CN8" s="277" t="s">
        <v>586</v>
      </c>
      <c r="CO8" s="277" t="s">
        <v>586</v>
      </c>
      <c r="CP8" s="277" t="s">
        <v>586</v>
      </c>
      <c r="CQ8" s="277" t="s">
        <v>586</v>
      </c>
      <c r="CR8" s="277" t="s">
        <v>586</v>
      </c>
      <c r="CS8" s="277" t="s">
        <v>586</v>
      </c>
      <c r="CT8" s="277" t="s">
        <v>586</v>
      </c>
      <c r="CU8" s="277" t="s">
        <v>586</v>
      </c>
      <c r="CV8" s="277" t="s">
        <v>586</v>
      </c>
      <c r="CW8" s="277" t="s">
        <v>586</v>
      </c>
      <c r="CX8" s="277" t="s">
        <v>586</v>
      </c>
      <c r="CY8" s="277" t="s">
        <v>586</v>
      </c>
      <c r="CZ8" s="277" t="s">
        <v>586</v>
      </c>
      <c r="DA8" s="277" t="s">
        <v>586</v>
      </c>
      <c r="DB8" s="277" t="s">
        <v>586</v>
      </c>
      <c r="DC8" s="277" t="s">
        <v>586</v>
      </c>
      <c r="DD8" s="277" t="s">
        <v>586</v>
      </c>
      <c r="DE8" s="277" t="s">
        <v>586</v>
      </c>
      <c r="DF8" s="277" t="s">
        <v>586</v>
      </c>
      <c r="DG8" s="277" t="s">
        <v>586</v>
      </c>
      <c r="DH8" s="277" t="s">
        <v>586</v>
      </c>
      <c r="DI8" s="277" t="s">
        <v>586</v>
      </c>
      <c r="DJ8" s="277" t="s">
        <v>586</v>
      </c>
      <c r="DK8" s="277" t="s">
        <v>586</v>
      </c>
      <c r="DL8" s="277" t="s">
        <v>586</v>
      </c>
      <c r="DM8" s="277" t="s">
        <v>586</v>
      </c>
      <c r="DN8" s="277" t="s">
        <v>586</v>
      </c>
      <c r="DO8" s="277" t="s">
        <v>586</v>
      </c>
      <c r="DP8" s="277" t="s">
        <v>586</v>
      </c>
      <c r="DQ8" s="277" t="s">
        <v>586</v>
      </c>
      <c r="DR8" s="277" t="s">
        <v>586</v>
      </c>
      <c r="DS8" s="277" t="s">
        <v>586</v>
      </c>
      <c r="DT8" s="277" t="s">
        <v>586</v>
      </c>
      <c r="DU8" s="277" t="s">
        <v>586</v>
      </c>
      <c r="DV8" s="277" t="s">
        <v>586</v>
      </c>
      <c r="DW8" s="277" t="s">
        <v>586</v>
      </c>
      <c r="DX8" s="277" t="s">
        <v>586</v>
      </c>
      <c r="DY8" s="277" t="s">
        <v>586</v>
      </c>
      <c r="DZ8" s="277" t="s">
        <v>586</v>
      </c>
      <c r="EA8" s="277" t="s">
        <v>586</v>
      </c>
      <c r="EB8" s="277" t="s">
        <v>586</v>
      </c>
      <c r="EC8" s="277" t="s">
        <v>586</v>
      </c>
      <c r="ED8" s="277" t="s">
        <v>586</v>
      </c>
      <c r="EE8" s="277" t="s">
        <v>586</v>
      </c>
      <c r="EF8" s="277" t="s">
        <v>586</v>
      </c>
      <c r="EG8" s="277" t="s">
        <v>586</v>
      </c>
      <c r="EH8" s="277" t="s">
        <v>586</v>
      </c>
      <c r="EI8" s="277" t="s">
        <v>586</v>
      </c>
      <c r="EJ8" s="277" t="s">
        <v>586</v>
      </c>
      <c r="EK8" s="277" t="s">
        <v>586</v>
      </c>
      <c r="EL8" s="277" t="s">
        <v>586</v>
      </c>
      <c r="EM8" s="277" t="s">
        <v>586</v>
      </c>
      <c r="EN8" s="277" t="s">
        <v>586</v>
      </c>
      <c r="EO8" s="277" t="s">
        <v>586</v>
      </c>
      <c r="EP8" s="277" t="s">
        <v>586</v>
      </c>
      <c r="EQ8" s="277" t="s">
        <v>586</v>
      </c>
      <c r="ER8" s="277" t="s">
        <v>586</v>
      </c>
      <c r="ES8" s="277" t="s">
        <v>586</v>
      </c>
      <c r="ET8" s="277" t="s">
        <v>586</v>
      </c>
      <c r="EU8" s="277" t="s">
        <v>586</v>
      </c>
      <c r="EV8" s="277" t="s">
        <v>586</v>
      </c>
      <c r="EW8" s="277" t="s">
        <v>586</v>
      </c>
      <c r="EX8" s="277" t="s">
        <v>586</v>
      </c>
      <c r="EY8" s="277" t="s">
        <v>586</v>
      </c>
      <c r="EZ8" s="277" t="s">
        <v>586</v>
      </c>
      <c r="FA8" s="277" t="s">
        <v>586</v>
      </c>
      <c r="FB8" s="277" t="s">
        <v>586</v>
      </c>
      <c r="FC8" s="277" t="s">
        <v>586</v>
      </c>
      <c r="FD8" s="277" t="s">
        <v>586</v>
      </c>
      <c r="FE8" s="277" t="s">
        <v>586</v>
      </c>
      <c r="FF8" s="277" t="s">
        <v>586</v>
      </c>
      <c r="FG8" s="277" t="s">
        <v>586</v>
      </c>
      <c r="FH8" s="277" t="s">
        <v>586</v>
      </c>
      <c r="FI8" s="277" t="s">
        <v>586</v>
      </c>
      <c r="FJ8" s="277" t="s">
        <v>586</v>
      </c>
      <c r="FK8" s="277" t="s">
        <v>586</v>
      </c>
      <c r="FL8" s="277" t="s">
        <v>586</v>
      </c>
      <c r="FM8" s="277" t="s">
        <v>586</v>
      </c>
      <c r="FN8" s="277" t="s">
        <v>586</v>
      </c>
      <c r="FO8" s="277" t="s">
        <v>586</v>
      </c>
      <c r="FP8" s="277" t="s">
        <v>586</v>
      </c>
      <c r="FQ8" s="277" t="s">
        <v>586</v>
      </c>
      <c r="FR8" s="277" t="s">
        <v>586</v>
      </c>
    </row>
    <row r="9" spans="1:174" s="89" customFormat="1" ht="36" customHeight="1" x14ac:dyDescent="0.25">
      <c r="A9" s="491"/>
      <c r="B9" s="491"/>
      <c r="C9" s="491"/>
      <c r="D9" s="491"/>
      <c r="E9" s="494"/>
      <c r="F9" s="491"/>
      <c r="G9" s="491"/>
      <c r="H9" s="512"/>
      <c r="I9" s="274" t="s">
        <v>597</v>
      </c>
      <c r="J9" s="234" t="s">
        <v>598</v>
      </c>
      <c r="K9" s="234" t="s">
        <v>599</v>
      </c>
      <c r="L9" s="96">
        <v>1</v>
      </c>
      <c r="M9" s="135">
        <v>1</v>
      </c>
      <c r="N9" s="135">
        <v>1</v>
      </c>
      <c r="O9" s="234" t="s">
        <v>600</v>
      </c>
      <c r="P9" s="135">
        <v>1</v>
      </c>
      <c r="Q9" s="135">
        <v>1</v>
      </c>
      <c r="R9" s="234" t="s">
        <v>601</v>
      </c>
      <c r="S9" s="135">
        <v>1</v>
      </c>
      <c r="T9" s="135">
        <v>1</v>
      </c>
      <c r="U9" s="234" t="s">
        <v>602</v>
      </c>
      <c r="V9" s="135">
        <v>1</v>
      </c>
      <c r="W9" s="135">
        <v>1</v>
      </c>
      <c r="X9" s="234" t="s">
        <v>916</v>
      </c>
      <c r="Y9" s="135">
        <v>1</v>
      </c>
      <c r="Z9" s="135">
        <v>1</v>
      </c>
      <c r="AA9" s="234" t="s">
        <v>937</v>
      </c>
      <c r="AB9" s="135">
        <v>1</v>
      </c>
      <c r="AC9" s="135">
        <v>1</v>
      </c>
      <c r="AD9" s="234" t="s">
        <v>960</v>
      </c>
      <c r="AE9" s="135">
        <v>1</v>
      </c>
      <c r="AF9" s="135">
        <v>1</v>
      </c>
      <c r="AG9" s="234" t="s">
        <v>1454</v>
      </c>
      <c r="AH9" s="135">
        <v>1</v>
      </c>
      <c r="AI9" s="135">
        <v>1</v>
      </c>
      <c r="AJ9" s="234" t="s">
        <v>1455</v>
      </c>
      <c r="AK9" s="135">
        <v>1</v>
      </c>
      <c r="AL9" s="135">
        <v>1</v>
      </c>
      <c r="AM9" s="234" t="s">
        <v>1456</v>
      </c>
      <c r="AN9" s="135">
        <v>1</v>
      </c>
      <c r="AO9" s="135">
        <v>1</v>
      </c>
      <c r="AP9" s="234" t="s">
        <v>1849</v>
      </c>
      <c r="AQ9" s="135">
        <v>1</v>
      </c>
      <c r="AR9" s="135">
        <v>1</v>
      </c>
      <c r="AS9" s="234" t="s">
        <v>1850</v>
      </c>
      <c r="AT9" s="135">
        <v>1</v>
      </c>
      <c r="AU9" s="135">
        <v>1</v>
      </c>
      <c r="AV9" s="234" t="s">
        <v>1851</v>
      </c>
      <c r="AW9" s="488" t="s">
        <v>93</v>
      </c>
      <c r="AX9" s="488"/>
      <c r="AY9" s="489"/>
      <c r="AZ9" s="102" t="s">
        <v>586</v>
      </c>
      <c r="BA9" s="235" t="s">
        <v>586</v>
      </c>
      <c r="BB9" s="90" t="s">
        <v>586</v>
      </c>
      <c r="BC9" s="102" t="s">
        <v>586</v>
      </c>
      <c r="BD9" s="235" t="s">
        <v>586</v>
      </c>
      <c r="BE9" s="90" t="s">
        <v>586</v>
      </c>
      <c r="BF9" s="102" t="s">
        <v>586</v>
      </c>
      <c r="BG9" s="235" t="s">
        <v>586</v>
      </c>
      <c r="BH9" s="90" t="s">
        <v>586</v>
      </c>
      <c r="BI9" s="102" t="s">
        <v>586</v>
      </c>
      <c r="BJ9" s="235" t="s">
        <v>586</v>
      </c>
      <c r="BK9" s="90" t="s">
        <v>586</v>
      </c>
      <c r="BL9" s="102" t="s">
        <v>586</v>
      </c>
      <c r="BM9" s="235" t="s">
        <v>586</v>
      </c>
      <c r="BN9" s="90" t="s">
        <v>586</v>
      </c>
      <c r="BO9" s="102" t="s">
        <v>586</v>
      </c>
      <c r="BP9" s="235" t="s">
        <v>586</v>
      </c>
      <c r="BQ9" s="90" t="s">
        <v>586</v>
      </c>
      <c r="BR9" s="102" t="s">
        <v>586</v>
      </c>
      <c r="BS9" s="235" t="s">
        <v>586</v>
      </c>
      <c r="BT9" s="90" t="s">
        <v>586</v>
      </c>
      <c r="BU9" s="102" t="s">
        <v>586</v>
      </c>
      <c r="BV9" s="235" t="s">
        <v>586</v>
      </c>
      <c r="BW9" s="90" t="s">
        <v>586</v>
      </c>
      <c r="BX9" s="102" t="s">
        <v>586</v>
      </c>
      <c r="BY9" s="235" t="s">
        <v>586</v>
      </c>
      <c r="BZ9" s="90" t="s">
        <v>586</v>
      </c>
      <c r="CA9" s="102" t="s">
        <v>586</v>
      </c>
      <c r="CB9" s="235" t="s">
        <v>586</v>
      </c>
      <c r="CC9" s="90" t="s">
        <v>586</v>
      </c>
      <c r="CD9" s="102" t="s">
        <v>586</v>
      </c>
      <c r="CE9" s="235" t="s">
        <v>586</v>
      </c>
      <c r="CF9" s="90" t="s">
        <v>586</v>
      </c>
      <c r="CG9" s="102" t="s">
        <v>586</v>
      </c>
      <c r="CH9" s="235" t="s">
        <v>586</v>
      </c>
      <c r="CI9" s="90" t="s">
        <v>586</v>
      </c>
      <c r="CJ9" s="234" t="s">
        <v>159</v>
      </c>
      <c r="CK9" s="234" t="s">
        <v>596</v>
      </c>
      <c r="CL9" s="277" t="s">
        <v>586</v>
      </c>
      <c r="CM9" s="277" t="s">
        <v>586</v>
      </c>
      <c r="CN9" s="277" t="s">
        <v>586</v>
      </c>
      <c r="CO9" s="277" t="s">
        <v>586</v>
      </c>
      <c r="CP9" s="277" t="s">
        <v>586</v>
      </c>
      <c r="CQ9" s="277" t="s">
        <v>586</v>
      </c>
      <c r="CR9" s="277" t="s">
        <v>586</v>
      </c>
      <c r="CS9" s="277" t="s">
        <v>586</v>
      </c>
      <c r="CT9" s="277" t="s">
        <v>586</v>
      </c>
      <c r="CU9" s="277" t="s">
        <v>586</v>
      </c>
      <c r="CV9" s="277" t="s">
        <v>586</v>
      </c>
      <c r="CW9" s="277" t="s">
        <v>586</v>
      </c>
      <c r="CX9" s="277" t="s">
        <v>586</v>
      </c>
      <c r="CY9" s="277" t="s">
        <v>586</v>
      </c>
      <c r="CZ9" s="277" t="s">
        <v>586</v>
      </c>
      <c r="DA9" s="277" t="s">
        <v>586</v>
      </c>
      <c r="DB9" s="277" t="s">
        <v>586</v>
      </c>
      <c r="DC9" s="277" t="s">
        <v>586</v>
      </c>
      <c r="DD9" s="277" t="s">
        <v>586</v>
      </c>
      <c r="DE9" s="277" t="s">
        <v>586</v>
      </c>
      <c r="DF9" s="277" t="s">
        <v>586</v>
      </c>
      <c r="DG9" s="277" t="s">
        <v>586</v>
      </c>
      <c r="DH9" s="277" t="s">
        <v>586</v>
      </c>
      <c r="DI9" s="277" t="s">
        <v>586</v>
      </c>
      <c r="DJ9" s="277" t="s">
        <v>586</v>
      </c>
      <c r="DK9" s="277" t="s">
        <v>586</v>
      </c>
      <c r="DL9" s="277" t="s">
        <v>586</v>
      </c>
      <c r="DM9" s="277" t="s">
        <v>586</v>
      </c>
      <c r="DN9" s="277" t="s">
        <v>586</v>
      </c>
      <c r="DO9" s="277" t="s">
        <v>586</v>
      </c>
      <c r="DP9" s="277" t="s">
        <v>586</v>
      </c>
      <c r="DQ9" s="277" t="s">
        <v>586</v>
      </c>
      <c r="DR9" s="277" t="s">
        <v>586</v>
      </c>
      <c r="DS9" s="277" t="s">
        <v>586</v>
      </c>
      <c r="DT9" s="277" t="s">
        <v>586</v>
      </c>
      <c r="DU9" s="277" t="s">
        <v>586</v>
      </c>
      <c r="DV9" s="277" t="s">
        <v>586</v>
      </c>
      <c r="DW9" s="277" t="s">
        <v>586</v>
      </c>
      <c r="DX9" s="277" t="s">
        <v>586</v>
      </c>
      <c r="DY9" s="277" t="s">
        <v>586</v>
      </c>
      <c r="DZ9" s="277" t="s">
        <v>586</v>
      </c>
      <c r="EA9" s="277" t="s">
        <v>586</v>
      </c>
      <c r="EB9" s="277" t="s">
        <v>586</v>
      </c>
      <c r="EC9" s="277" t="s">
        <v>586</v>
      </c>
      <c r="ED9" s="277" t="s">
        <v>586</v>
      </c>
      <c r="EE9" s="277" t="s">
        <v>586</v>
      </c>
      <c r="EF9" s="277" t="s">
        <v>586</v>
      </c>
      <c r="EG9" s="277" t="s">
        <v>586</v>
      </c>
      <c r="EH9" s="277" t="s">
        <v>586</v>
      </c>
      <c r="EI9" s="277" t="s">
        <v>586</v>
      </c>
      <c r="EJ9" s="277" t="s">
        <v>586</v>
      </c>
      <c r="EK9" s="277" t="s">
        <v>586</v>
      </c>
      <c r="EL9" s="277" t="s">
        <v>586</v>
      </c>
      <c r="EM9" s="277" t="s">
        <v>586</v>
      </c>
      <c r="EN9" s="277" t="s">
        <v>586</v>
      </c>
      <c r="EO9" s="277" t="s">
        <v>586</v>
      </c>
      <c r="EP9" s="277" t="s">
        <v>586</v>
      </c>
      <c r="EQ9" s="277" t="s">
        <v>586</v>
      </c>
      <c r="ER9" s="277" t="s">
        <v>586</v>
      </c>
      <c r="ES9" s="277" t="s">
        <v>586</v>
      </c>
      <c r="ET9" s="277" t="s">
        <v>586</v>
      </c>
      <c r="EU9" s="277" t="s">
        <v>586</v>
      </c>
      <c r="EV9" s="277" t="s">
        <v>586</v>
      </c>
      <c r="EW9" s="277" t="s">
        <v>586</v>
      </c>
      <c r="EX9" s="277" t="s">
        <v>586</v>
      </c>
      <c r="EY9" s="277" t="s">
        <v>586</v>
      </c>
      <c r="EZ9" s="277" t="s">
        <v>586</v>
      </c>
      <c r="FA9" s="277" t="s">
        <v>586</v>
      </c>
      <c r="FB9" s="277" t="s">
        <v>586</v>
      </c>
      <c r="FC9" s="277" t="s">
        <v>586</v>
      </c>
      <c r="FD9" s="277" t="s">
        <v>586</v>
      </c>
      <c r="FE9" s="277" t="s">
        <v>586</v>
      </c>
      <c r="FF9" s="277" t="s">
        <v>586</v>
      </c>
      <c r="FG9" s="277" t="s">
        <v>586</v>
      </c>
      <c r="FH9" s="277" t="s">
        <v>586</v>
      </c>
      <c r="FI9" s="277" t="s">
        <v>586</v>
      </c>
      <c r="FJ9" s="277" t="s">
        <v>586</v>
      </c>
      <c r="FK9" s="277" t="s">
        <v>586</v>
      </c>
      <c r="FL9" s="277" t="s">
        <v>586</v>
      </c>
      <c r="FM9" s="277" t="s">
        <v>586</v>
      </c>
      <c r="FN9" s="277" t="s">
        <v>586</v>
      </c>
      <c r="FO9" s="277" t="s">
        <v>586</v>
      </c>
      <c r="FP9" s="277" t="s">
        <v>586</v>
      </c>
      <c r="FQ9" s="277" t="s">
        <v>586</v>
      </c>
      <c r="FR9" s="277" t="s">
        <v>586</v>
      </c>
    </row>
    <row r="10" spans="1:174" s="89" customFormat="1" ht="33.75" customHeight="1" x14ac:dyDescent="0.25">
      <c r="A10" s="492"/>
      <c r="B10" s="492"/>
      <c r="C10" s="492"/>
      <c r="D10" s="492"/>
      <c r="E10" s="495"/>
      <c r="F10" s="492"/>
      <c r="G10" s="492"/>
      <c r="H10" s="512"/>
      <c r="I10" s="274" t="s">
        <v>603</v>
      </c>
      <c r="J10" s="234" t="s">
        <v>604</v>
      </c>
      <c r="K10" s="234" t="s">
        <v>605</v>
      </c>
      <c r="L10" s="96">
        <v>1</v>
      </c>
      <c r="M10" s="236" t="s">
        <v>586</v>
      </c>
      <c r="N10" s="236" t="s">
        <v>586</v>
      </c>
      <c r="O10" s="234" t="s">
        <v>594</v>
      </c>
      <c r="P10" s="236" t="s">
        <v>586</v>
      </c>
      <c r="Q10" s="236" t="s">
        <v>586</v>
      </c>
      <c r="R10" s="234" t="s">
        <v>594</v>
      </c>
      <c r="S10" s="135">
        <v>1</v>
      </c>
      <c r="T10" s="135">
        <v>1</v>
      </c>
      <c r="U10" s="234" t="s">
        <v>606</v>
      </c>
      <c r="V10" s="236" t="s">
        <v>586</v>
      </c>
      <c r="W10" s="236" t="s">
        <v>586</v>
      </c>
      <c r="X10" s="234" t="s">
        <v>594</v>
      </c>
      <c r="Y10" s="236" t="s">
        <v>586</v>
      </c>
      <c r="Z10" s="236" t="s">
        <v>586</v>
      </c>
      <c r="AA10" s="234" t="s">
        <v>594</v>
      </c>
      <c r="AB10" s="135">
        <v>1</v>
      </c>
      <c r="AC10" s="135">
        <v>1</v>
      </c>
      <c r="AD10" s="234" t="s">
        <v>961</v>
      </c>
      <c r="AE10" s="236" t="s">
        <v>643</v>
      </c>
      <c r="AF10" s="236" t="s">
        <v>643</v>
      </c>
      <c r="AG10" s="234" t="s">
        <v>594</v>
      </c>
      <c r="AH10" s="236" t="s">
        <v>643</v>
      </c>
      <c r="AI10" s="236" t="s">
        <v>643</v>
      </c>
      <c r="AJ10" s="234" t="s">
        <v>594</v>
      </c>
      <c r="AK10" s="135">
        <v>1</v>
      </c>
      <c r="AL10" s="135">
        <v>1</v>
      </c>
      <c r="AM10" s="234" t="s">
        <v>1457</v>
      </c>
      <c r="AN10" s="236" t="s">
        <v>643</v>
      </c>
      <c r="AO10" s="236" t="s">
        <v>643</v>
      </c>
      <c r="AP10" s="234" t="s">
        <v>594</v>
      </c>
      <c r="AQ10" s="135">
        <v>1</v>
      </c>
      <c r="AR10" s="135">
        <v>1</v>
      </c>
      <c r="AS10" s="234" t="s">
        <v>594</v>
      </c>
      <c r="AT10" s="135">
        <v>0.94990512333965804</v>
      </c>
      <c r="AU10" s="135">
        <v>0.94990512333965804</v>
      </c>
      <c r="AV10" s="234" t="s">
        <v>1852</v>
      </c>
      <c r="AW10" s="488" t="s">
        <v>93</v>
      </c>
      <c r="AX10" s="488"/>
      <c r="AY10" s="489"/>
      <c r="AZ10" s="102" t="s">
        <v>586</v>
      </c>
      <c r="BA10" s="235" t="s">
        <v>586</v>
      </c>
      <c r="BB10" s="90" t="s">
        <v>586</v>
      </c>
      <c r="BC10" s="102" t="s">
        <v>586</v>
      </c>
      <c r="BD10" s="235" t="s">
        <v>586</v>
      </c>
      <c r="BE10" s="90" t="s">
        <v>586</v>
      </c>
      <c r="BF10" s="102" t="s">
        <v>586</v>
      </c>
      <c r="BG10" s="235" t="s">
        <v>586</v>
      </c>
      <c r="BH10" s="90" t="s">
        <v>586</v>
      </c>
      <c r="BI10" s="102" t="s">
        <v>586</v>
      </c>
      <c r="BJ10" s="235" t="s">
        <v>586</v>
      </c>
      <c r="BK10" s="90" t="s">
        <v>586</v>
      </c>
      <c r="BL10" s="102" t="s">
        <v>586</v>
      </c>
      <c r="BM10" s="235" t="s">
        <v>586</v>
      </c>
      <c r="BN10" s="90" t="s">
        <v>586</v>
      </c>
      <c r="BO10" s="102" t="s">
        <v>586</v>
      </c>
      <c r="BP10" s="235" t="s">
        <v>586</v>
      </c>
      <c r="BQ10" s="90" t="s">
        <v>586</v>
      </c>
      <c r="BR10" s="102" t="s">
        <v>586</v>
      </c>
      <c r="BS10" s="235" t="s">
        <v>586</v>
      </c>
      <c r="BT10" s="90" t="s">
        <v>586</v>
      </c>
      <c r="BU10" s="102" t="s">
        <v>586</v>
      </c>
      <c r="BV10" s="235" t="s">
        <v>586</v>
      </c>
      <c r="BW10" s="90" t="s">
        <v>586</v>
      </c>
      <c r="BX10" s="102" t="s">
        <v>586</v>
      </c>
      <c r="BY10" s="235" t="s">
        <v>586</v>
      </c>
      <c r="BZ10" s="90" t="s">
        <v>586</v>
      </c>
      <c r="CA10" s="102" t="s">
        <v>586</v>
      </c>
      <c r="CB10" s="235" t="s">
        <v>586</v>
      </c>
      <c r="CC10" s="90" t="s">
        <v>586</v>
      </c>
      <c r="CD10" s="102" t="s">
        <v>586</v>
      </c>
      <c r="CE10" s="235" t="s">
        <v>586</v>
      </c>
      <c r="CF10" s="90" t="s">
        <v>586</v>
      </c>
      <c r="CG10" s="102" t="s">
        <v>586</v>
      </c>
      <c r="CH10" s="235" t="s">
        <v>586</v>
      </c>
      <c r="CI10" s="90" t="s">
        <v>586</v>
      </c>
      <c r="CJ10" s="234" t="s">
        <v>159</v>
      </c>
      <c r="CK10" s="234" t="s">
        <v>596</v>
      </c>
      <c r="CL10" s="277" t="s">
        <v>586</v>
      </c>
      <c r="CM10" s="277" t="s">
        <v>586</v>
      </c>
      <c r="CN10" s="277" t="s">
        <v>586</v>
      </c>
      <c r="CO10" s="277" t="s">
        <v>586</v>
      </c>
      <c r="CP10" s="277" t="s">
        <v>586</v>
      </c>
      <c r="CQ10" s="277" t="s">
        <v>586</v>
      </c>
      <c r="CR10" s="277" t="s">
        <v>586</v>
      </c>
      <c r="CS10" s="277" t="s">
        <v>586</v>
      </c>
      <c r="CT10" s="277" t="s">
        <v>586</v>
      </c>
      <c r="CU10" s="277" t="s">
        <v>586</v>
      </c>
      <c r="CV10" s="277" t="s">
        <v>586</v>
      </c>
      <c r="CW10" s="277" t="s">
        <v>586</v>
      </c>
      <c r="CX10" s="277" t="s">
        <v>586</v>
      </c>
      <c r="CY10" s="277" t="s">
        <v>586</v>
      </c>
      <c r="CZ10" s="277" t="s">
        <v>586</v>
      </c>
      <c r="DA10" s="277" t="s">
        <v>586</v>
      </c>
      <c r="DB10" s="277" t="s">
        <v>586</v>
      </c>
      <c r="DC10" s="277" t="s">
        <v>586</v>
      </c>
      <c r="DD10" s="277" t="s">
        <v>586</v>
      </c>
      <c r="DE10" s="277" t="s">
        <v>586</v>
      </c>
      <c r="DF10" s="277" t="s">
        <v>586</v>
      </c>
      <c r="DG10" s="277" t="s">
        <v>586</v>
      </c>
      <c r="DH10" s="277" t="s">
        <v>586</v>
      </c>
      <c r="DI10" s="277" t="s">
        <v>586</v>
      </c>
      <c r="DJ10" s="277" t="s">
        <v>586</v>
      </c>
      <c r="DK10" s="277" t="s">
        <v>586</v>
      </c>
      <c r="DL10" s="277" t="s">
        <v>586</v>
      </c>
      <c r="DM10" s="277" t="s">
        <v>586</v>
      </c>
      <c r="DN10" s="277" t="s">
        <v>586</v>
      </c>
      <c r="DO10" s="277" t="s">
        <v>586</v>
      </c>
      <c r="DP10" s="277" t="s">
        <v>586</v>
      </c>
      <c r="DQ10" s="277" t="s">
        <v>586</v>
      </c>
      <c r="DR10" s="277" t="s">
        <v>586</v>
      </c>
      <c r="DS10" s="277" t="s">
        <v>586</v>
      </c>
      <c r="DT10" s="277" t="s">
        <v>586</v>
      </c>
      <c r="DU10" s="277" t="s">
        <v>586</v>
      </c>
      <c r="DV10" s="277" t="s">
        <v>586</v>
      </c>
      <c r="DW10" s="277" t="s">
        <v>586</v>
      </c>
      <c r="DX10" s="277" t="s">
        <v>586</v>
      </c>
      <c r="DY10" s="277" t="s">
        <v>586</v>
      </c>
      <c r="DZ10" s="277" t="s">
        <v>586</v>
      </c>
      <c r="EA10" s="277" t="s">
        <v>586</v>
      </c>
      <c r="EB10" s="277" t="s">
        <v>586</v>
      </c>
      <c r="EC10" s="277" t="s">
        <v>586</v>
      </c>
      <c r="ED10" s="277" t="s">
        <v>586</v>
      </c>
      <c r="EE10" s="277" t="s">
        <v>586</v>
      </c>
      <c r="EF10" s="277" t="s">
        <v>586</v>
      </c>
      <c r="EG10" s="277" t="s">
        <v>586</v>
      </c>
      <c r="EH10" s="277" t="s">
        <v>586</v>
      </c>
      <c r="EI10" s="277" t="s">
        <v>586</v>
      </c>
      <c r="EJ10" s="277" t="s">
        <v>586</v>
      </c>
      <c r="EK10" s="277" t="s">
        <v>586</v>
      </c>
      <c r="EL10" s="277" t="s">
        <v>586</v>
      </c>
      <c r="EM10" s="277" t="s">
        <v>586</v>
      </c>
      <c r="EN10" s="277" t="s">
        <v>586</v>
      </c>
      <c r="EO10" s="277" t="s">
        <v>586</v>
      </c>
      <c r="EP10" s="277" t="s">
        <v>586</v>
      </c>
      <c r="EQ10" s="277" t="s">
        <v>586</v>
      </c>
      <c r="ER10" s="277" t="s">
        <v>586</v>
      </c>
      <c r="ES10" s="277" t="s">
        <v>586</v>
      </c>
      <c r="ET10" s="277" t="s">
        <v>586</v>
      </c>
      <c r="EU10" s="277" t="s">
        <v>586</v>
      </c>
      <c r="EV10" s="277" t="s">
        <v>586</v>
      </c>
      <c r="EW10" s="277" t="s">
        <v>586</v>
      </c>
      <c r="EX10" s="277" t="s">
        <v>586</v>
      </c>
      <c r="EY10" s="277" t="s">
        <v>586</v>
      </c>
      <c r="EZ10" s="277" t="s">
        <v>586</v>
      </c>
      <c r="FA10" s="277" t="s">
        <v>586</v>
      </c>
      <c r="FB10" s="277" t="s">
        <v>586</v>
      </c>
      <c r="FC10" s="277" t="s">
        <v>586</v>
      </c>
      <c r="FD10" s="277" t="s">
        <v>586</v>
      </c>
      <c r="FE10" s="277" t="s">
        <v>586</v>
      </c>
      <c r="FF10" s="277" t="s">
        <v>586</v>
      </c>
      <c r="FG10" s="277" t="s">
        <v>586</v>
      </c>
      <c r="FH10" s="277" t="s">
        <v>586</v>
      </c>
      <c r="FI10" s="277" t="s">
        <v>586</v>
      </c>
      <c r="FJ10" s="277" t="s">
        <v>586</v>
      </c>
      <c r="FK10" s="277" t="s">
        <v>586</v>
      </c>
      <c r="FL10" s="277" t="s">
        <v>586</v>
      </c>
      <c r="FM10" s="277" t="s">
        <v>586</v>
      </c>
      <c r="FN10" s="277" t="s">
        <v>586</v>
      </c>
      <c r="FO10" s="277" t="s">
        <v>586</v>
      </c>
      <c r="FP10" s="277" t="s">
        <v>586</v>
      </c>
      <c r="FQ10" s="277" t="s">
        <v>586</v>
      </c>
      <c r="FR10" s="277" t="s">
        <v>586</v>
      </c>
    </row>
    <row r="11" spans="1:174" s="89" customFormat="1" ht="53.25" customHeight="1" x14ac:dyDescent="0.25">
      <c r="A11" s="237"/>
      <c r="B11" s="237"/>
      <c r="C11" s="237"/>
      <c r="D11" s="237"/>
      <c r="E11" s="237"/>
      <c r="F11" s="237"/>
      <c r="G11" s="237"/>
      <c r="H11" s="512"/>
      <c r="I11" s="237"/>
      <c r="J11" s="237"/>
      <c r="K11" s="237"/>
      <c r="L11" s="97"/>
      <c r="M11" s="98" t="s">
        <v>161</v>
      </c>
      <c r="N11" s="99" t="s">
        <v>607</v>
      </c>
      <c r="O11" s="91"/>
      <c r="P11" s="98" t="s">
        <v>161</v>
      </c>
      <c r="Q11" s="99" t="s">
        <v>607</v>
      </c>
      <c r="R11" s="91"/>
      <c r="S11" s="98" t="s">
        <v>161</v>
      </c>
      <c r="T11" s="99" t="s">
        <v>608</v>
      </c>
      <c r="U11" s="91"/>
      <c r="V11" s="98" t="s">
        <v>161</v>
      </c>
      <c r="W11" s="136">
        <f>+AVERAGE(W8:W10)</f>
        <v>1</v>
      </c>
      <c r="X11" s="91"/>
      <c r="Y11" s="98" t="s">
        <v>161</v>
      </c>
      <c r="Z11" s="136">
        <f>+AVERAGE(Z8:Z10)</f>
        <v>1</v>
      </c>
      <c r="AA11" s="91"/>
      <c r="AB11" s="98" t="s">
        <v>161</v>
      </c>
      <c r="AC11" s="136">
        <f>+AVERAGE(AC8:AC10)</f>
        <v>0.94666666666666666</v>
      </c>
      <c r="AD11" s="91"/>
      <c r="AE11" s="98" t="s">
        <v>161</v>
      </c>
      <c r="AF11" s="136">
        <f>+AVERAGE(AF8:AF10)</f>
        <v>1</v>
      </c>
      <c r="AG11" s="91"/>
      <c r="AH11" s="98" t="s">
        <v>161</v>
      </c>
      <c r="AI11" s="136">
        <f>+AVERAGE(AI8:AI10)</f>
        <v>1</v>
      </c>
      <c r="AJ11" s="91"/>
      <c r="AK11" s="98" t="s">
        <v>161</v>
      </c>
      <c r="AL11" s="136">
        <f>+AVERAGE(AL8:AL10)</f>
        <v>0.97333333333333327</v>
      </c>
      <c r="AM11" s="91"/>
      <c r="AN11" s="98" t="s">
        <v>161</v>
      </c>
      <c r="AO11" s="136">
        <f>+AVERAGE(AO8:AO10)</f>
        <v>1</v>
      </c>
      <c r="AP11" s="91"/>
      <c r="AQ11" s="98" t="s">
        <v>161</v>
      </c>
      <c r="AR11" s="136">
        <f>+AVERAGE(AR8:AR10)</f>
        <v>0.97333333333333327</v>
      </c>
      <c r="AS11" s="91"/>
      <c r="AT11" s="98" t="s">
        <v>161</v>
      </c>
      <c r="AU11" s="136">
        <f>+AVERAGE(AU8:AU10)</f>
        <v>0.9833017077798859</v>
      </c>
      <c r="AV11" s="91"/>
      <c r="AW11" s="237"/>
      <c r="AX11" s="237"/>
      <c r="AY11" s="97"/>
      <c r="AZ11" s="98" t="s">
        <v>162</v>
      </c>
      <c r="BA11" s="99" t="s">
        <v>11</v>
      </c>
      <c r="BB11" s="91"/>
      <c r="BC11" s="98" t="s">
        <v>162</v>
      </c>
      <c r="BD11" s="99" t="s">
        <v>11</v>
      </c>
      <c r="BE11" s="91"/>
      <c r="BF11" s="98" t="s">
        <v>162</v>
      </c>
      <c r="BG11" s="99" t="s">
        <v>11</v>
      </c>
      <c r="BH11" s="238" t="s">
        <v>586</v>
      </c>
      <c r="BI11" s="98" t="s">
        <v>162</v>
      </c>
      <c r="BJ11" s="99" t="s">
        <v>11</v>
      </c>
      <c r="BK11" s="91"/>
      <c r="BL11" s="98" t="s">
        <v>162</v>
      </c>
      <c r="BM11" s="99" t="s">
        <v>11</v>
      </c>
      <c r="BN11" s="91"/>
      <c r="BO11" s="98" t="s">
        <v>162</v>
      </c>
      <c r="BP11" s="99" t="s">
        <v>11</v>
      </c>
      <c r="BQ11" s="238" t="s">
        <v>586</v>
      </c>
      <c r="BR11" s="98" t="s">
        <v>162</v>
      </c>
      <c r="BS11" s="99" t="s">
        <v>11</v>
      </c>
      <c r="BT11" s="91"/>
      <c r="BU11" s="98" t="s">
        <v>162</v>
      </c>
      <c r="BV11" s="99" t="s">
        <v>11</v>
      </c>
      <c r="BW11" s="91"/>
      <c r="BX11" s="98" t="s">
        <v>162</v>
      </c>
      <c r="BY11" s="99" t="s">
        <v>11</v>
      </c>
      <c r="BZ11" s="238" t="s">
        <v>586</v>
      </c>
      <c r="CA11" s="98" t="s">
        <v>162</v>
      </c>
      <c r="CB11" s="99" t="s">
        <v>11</v>
      </c>
      <c r="CC11" s="91"/>
      <c r="CD11" s="98" t="s">
        <v>162</v>
      </c>
      <c r="CE11" s="99" t="s">
        <v>11</v>
      </c>
      <c r="CF11" s="91"/>
      <c r="CG11" s="98" t="s">
        <v>162</v>
      </c>
      <c r="CH11" s="99" t="s">
        <v>11</v>
      </c>
      <c r="CI11" s="238" t="s">
        <v>586</v>
      </c>
      <c r="CJ11" s="238" t="s">
        <v>586</v>
      </c>
      <c r="CK11" s="238" t="s">
        <v>586</v>
      </c>
      <c r="CL11" s="238" t="s">
        <v>586</v>
      </c>
      <c r="CM11" s="238" t="s">
        <v>586</v>
      </c>
      <c r="CN11" s="238" t="s">
        <v>586</v>
      </c>
      <c r="CO11" s="238" t="s">
        <v>586</v>
      </c>
      <c r="CP11" s="238" t="s">
        <v>586</v>
      </c>
      <c r="CQ11" s="238" t="s">
        <v>586</v>
      </c>
      <c r="CR11" s="238" t="s">
        <v>586</v>
      </c>
      <c r="CS11" s="238" t="s">
        <v>586</v>
      </c>
      <c r="CT11" s="238" t="s">
        <v>586</v>
      </c>
      <c r="CU11" s="238" t="s">
        <v>586</v>
      </c>
      <c r="CV11" s="238" t="s">
        <v>586</v>
      </c>
      <c r="CW11" s="238" t="s">
        <v>586</v>
      </c>
      <c r="CX11" s="238" t="s">
        <v>586</v>
      </c>
      <c r="CY11" s="238" t="s">
        <v>586</v>
      </c>
      <c r="CZ11" s="238" t="s">
        <v>586</v>
      </c>
      <c r="DA11" s="238" t="s">
        <v>586</v>
      </c>
      <c r="DB11" s="238" t="s">
        <v>586</v>
      </c>
      <c r="DC11" s="238" t="s">
        <v>586</v>
      </c>
      <c r="DD11" s="238" t="s">
        <v>586</v>
      </c>
      <c r="DE11" s="238" t="s">
        <v>586</v>
      </c>
      <c r="DF11" s="238" t="s">
        <v>586</v>
      </c>
      <c r="DG11" s="238" t="s">
        <v>586</v>
      </c>
      <c r="DH11" s="238" t="s">
        <v>586</v>
      </c>
      <c r="DI11" s="238" t="s">
        <v>586</v>
      </c>
      <c r="DJ11" s="238" t="s">
        <v>586</v>
      </c>
      <c r="DK11" s="238" t="s">
        <v>586</v>
      </c>
      <c r="DL11" s="238" t="s">
        <v>586</v>
      </c>
      <c r="DM11" s="238" t="s">
        <v>586</v>
      </c>
      <c r="DN11" s="238" t="s">
        <v>586</v>
      </c>
      <c r="DO11" s="238" t="s">
        <v>586</v>
      </c>
      <c r="DP11" s="238" t="s">
        <v>586</v>
      </c>
      <c r="DQ11" s="238" t="s">
        <v>586</v>
      </c>
      <c r="DR11" s="238" t="s">
        <v>586</v>
      </c>
      <c r="DS11" s="238" t="s">
        <v>586</v>
      </c>
      <c r="DT11" s="238" t="s">
        <v>586</v>
      </c>
      <c r="DU11" s="238" t="s">
        <v>586</v>
      </c>
      <c r="DV11" s="238" t="s">
        <v>586</v>
      </c>
      <c r="DW11" s="238" t="s">
        <v>586</v>
      </c>
      <c r="DX11" s="238" t="s">
        <v>586</v>
      </c>
      <c r="DY11" s="238" t="s">
        <v>586</v>
      </c>
      <c r="DZ11" s="238" t="s">
        <v>586</v>
      </c>
      <c r="EA11" s="238" t="s">
        <v>586</v>
      </c>
      <c r="EB11" s="238" t="s">
        <v>586</v>
      </c>
      <c r="EC11" s="238" t="s">
        <v>586</v>
      </c>
      <c r="ED11" s="238" t="s">
        <v>586</v>
      </c>
      <c r="EE11" s="238" t="s">
        <v>586</v>
      </c>
      <c r="EF11" s="238" t="s">
        <v>586</v>
      </c>
      <c r="EG11" s="238" t="s">
        <v>586</v>
      </c>
      <c r="EH11" s="238" t="s">
        <v>586</v>
      </c>
      <c r="EI11" s="238" t="s">
        <v>586</v>
      </c>
      <c r="EJ11" s="238" t="s">
        <v>586</v>
      </c>
      <c r="EK11" s="238" t="s">
        <v>586</v>
      </c>
      <c r="EL11" s="238" t="s">
        <v>586</v>
      </c>
      <c r="EM11" s="238" t="s">
        <v>586</v>
      </c>
      <c r="EN11" s="238" t="s">
        <v>586</v>
      </c>
      <c r="EO11" s="238" t="s">
        <v>586</v>
      </c>
      <c r="EP11" s="238" t="s">
        <v>586</v>
      </c>
      <c r="EQ11" s="238" t="s">
        <v>586</v>
      </c>
      <c r="ER11" s="238" t="s">
        <v>586</v>
      </c>
      <c r="ES11" s="238" t="s">
        <v>586</v>
      </c>
      <c r="ET11" s="238" t="s">
        <v>586</v>
      </c>
      <c r="EU11" s="238" t="s">
        <v>586</v>
      </c>
      <c r="EV11" s="238" t="s">
        <v>586</v>
      </c>
      <c r="EW11" s="238" t="s">
        <v>586</v>
      </c>
      <c r="EX11" s="238" t="s">
        <v>586</v>
      </c>
      <c r="EY11" s="238" t="s">
        <v>586</v>
      </c>
      <c r="EZ11" s="238" t="s">
        <v>586</v>
      </c>
      <c r="FA11" s="238" t="s">
        <v>586</v>
      </c>
      <c r="FB11" s="238" t="s">
        <v>586</v>
      </c>
      <c r="FC11" s="238" t="s">
        <v>586</v>
      </c>
      <c r="FD11" s="238" t="s">
        <v>586</v>
      </c>
      <c r="FE11" s="238" t="s">
        <v>586</v>
      </c>
      <c r="FF11" s="238" t="s">
        <v>586</v>
      </c>
      <c r="FG11" s="238" t="s">
        <v>586</v>
      </c>
      <c r="FH11" s="238" t="s">
        <v>586</v>
      </c>
      <c r="FI11" s="238" t="s">
        <v>586</v>
      </c>
      <c r="FJ11" s="238" t="s">
        <v>586</v>
      </c>
      <c r="FK11" s="238" t="s">
        <v>586</v>
      </c>
      <c r="FL11" s="238" t="s">
        <v>586</v>
      </c>
      <c r="FM11" s="238" t="s">
        <v>586</v>
      </c>
      <c r="FN11" s="238" t="s">
        <v>586</v>
      </c>
      <c r="FO11" s="237"/>
      <c r="FP11" s="237"/>
      <c r="FQ11" s="237"/>
      <c r="FR11" s="237"/>
    </row>
    <row r="12" spans="1:174" s="89" customFormat="1" ht="51" customHeight="1" x14ac:dyDescent="0.25">
      <c r="A12" s="490" t="s">
        <v>84</v>
      </c>
      <c r="B12" s="490" t="s">
        <v>85</v>
      </c>
      <c r="C12" s="490" t="s">
        <v>2728</v>
      </c>
      <c r="D12" s="490" t="s">
        <v>22</v>
      </c>
      <c r="E12" s="493" t="s">
        <v>609</v>
      </c>
      <c r="F12" s="275" t="s">
        <v>610</v>
      </c>
      <c r="G12" s="275" t="s">
        <v>611</v>
      </c>
      <c r="H12" s="512"/>
      <c r="I12" s="230" t="s">
        <v>612</v>
      </c>
      <c r="J12" s="275" t="s">
        <v>613</v>
      </c>
      <c r="K12" s="275" t="s">
        <v>614</v>
      </c>
      <c r="L12" s="95">
        <v>0.92</v>
      </c>
      <c r="M12" s="95">
        <v>0.05</v>
      </c>
      <c r="N12" s="232">
        <v>0.05</v>
      </c>
      <c r="O12" s="275" t="s">
        <v>615</v>
      </c>
      <c r="P12" s="232">
        <v>0.1</v>
      </c>
      <c r="Q12" s="232">
        <v>0.1</v>
      </c>
      <c r="R12" s="275" t="s">
        <v>616</v>
      </c>
      <c r="S12" s="232">
        <v>0.17</v>
      </c>
      <c r="T12" s="232">
        <v>0.18</v>
      </c>
      <c r="U12" s="275" t="s">
        <v>617</v>
      </c>
      <c r="V12" s="232">
        <v>0.25324400000000002</v>
      </c>
      <c r="W12" s="232">
        <v>0.27526521739130438</v>
      </c>
      <c r="X12" s="275" t="s">
        <v>917</v>
      </c>
      <c r="Y12" s="232">
        <v>0.343558361723595</v>
      </c>
      <c r="Z12" s="232">
        <v>0.37343300187347278</v>
      </c>
      <c r="AA12" s="275" t="s">
        <v>938</v>
      </c>
      <c r="AB12" s="232">
        <v>0.40227240714442269</v>
      </c>
      <c r="AC12" s="232">
        <v>0.43725261646132901</v>
      </c>
      <c r="AD12" s="275" t="s">
        <v>962</v>
      </c>
      <c r="AE12" s="232">
        <v>0.4758554373416391</v>
      </c>
      <c r="AF12" s="232">
        <v>0.51723417102352076</v>
      </c>
      <c r="AG12" s="275" t="s">
        <v>1458</v>
      </c>
      <c r="AH12" s="232">
        <v>0.55825320678212431</v>
      </c>
      <c r="AI12" s="232">
        <v>0.60679696389361337</v>
      </c>
      <c r="AJ12" s="275" t="s">
        <v>1459</v>
      </c>
      <c r="AK12" s="232">
        <v>0.67346009894379233</v>
      </c>
      <c r="AL12" s="232">
        <v>0.73202184667803516</v>
      </c>
      <c r="AM12" s="275" t="s">
        <v>1460</v>
      </c>
      <c r="AN12" s="232">
        <v>0.75239088388962072</v>
      </c>
      <c r="AO12" s="232">
        <v>0.81781617814089203</v>
      </c>
      <c r="AP12" s="275" t="s">
        <v>1853</v>
      </c>
      <c r="AQ12" s="232">
        <v>0.85072106382786716</v>
      </c>
      <c r="AR12" s="232">
        <v>0.92469680850855118</v>
      </c>
      <c r="AS12" s="275" t="s">
        <v>1854</v>
      </c>
      <c r="AT12" s="232">
        <v>1.0176969691717752</v>
      </c>
      <c r="AU12" s="232">
        <v>1.1061923577954078</v>
      </c>
      <c r="AV12" s="275" t="s">
        <v>1855</v>
      </c>
      <c r="AW12" s="275" t="s">
        <v>618</v>
      </c>
      <c r="AX12" s="275" t="s">
        <v>619</v>
      </c>
      <c r="AY12" s="95">
        <v>0.92</v>
      </c>
      <c r="AZ12" s="232">
        <v>0.04</v>
      </c>
      <c r="BA12" s="232">
        <v>0.05</v>
      </c>
      <c r="BB12" s="275" t="s">
        <v>620</v>
      </c>
      <c r="BC12" s="232">
        <v>0.08</v>
      </c>
      <c r="BD12" s="232">
        <v>0.09</v>
      </c>
      <c r="BE12" s="275" t="s">
        <v>621</v>
      </c>
      <c r="BF12" s="232">
        <v>0.15</v>
      </c>
      <c r="BG12" s="232">
        <v>0.16</v>
      </c>
      <c r="BH12" s="275" t="s">
        <v>622</v>
      </c>
      <c r="BI12" s="232">
        <v>0.22561999999999999</v>
      </c>
      <c r="BJ12" s="232">
        <v>0.24523913043478257</v>
      </c>
      <c r="BK12" s="275" t="s">
        <v>936</v>
      </c>
      <c r="BL12" s="232">
        <v>0.31556746384014561</v>
      </c>
      <c r="BM12" s="232">
        <v>0.34300811286972349</v>
      </c>
      <c r="BN12" s="275" t="s">
        <v>951</v>
      </c>
      <c r="BO12" s="232">
        <v>0.37224767692119998</v>
      </c>
      <c r="BP12" s="232">
        <v>0.4046170401317391</v>
      </c>
      <c r="BQ12" s="275" t="s">
        <v>975</v>
      </c>
      <c r="BR12" s="232">
        <v>0.44843472587343042</v>
      </c>
      <c r="BS12" s="232">
        <v>0.48742904986242436</v>
      </c>
      <c r="BT12" s="275" t="s">
        <v>1461</v>
      </c>
      <c r="BU12" s="232">
        <v>0.53473832966104573</v>
      </c>
      <c r="BV12" s="232">
        <v>0.58123731484896268</v>
      </c>
      <c r="BW12" s="275" t="s">
        <v>1462</v>
      </c>
      <c r="BX12" s="232">
        <v>0.65513614753639915</v>
      </c>
      <c r="BY12" s="232">
        <v>0.71210450819173821</v>
      </c>
      <c r="BZ12" s="275" t="s">
        <v>1463</v>
      </c>
      <c r="CA12" s="232">
        <v>0.72635860023749943</v>
      </c>
      <c r="CB12" s="232">
        <v>0.7895202176494559</v>
      </c>
      <c r="CC12" s="275" t="s">
        <v>1856</v>
      </c>
      <c r="CD12" s="232">
        <v>0.80414416464655469</v>
      </c>
      <c r="CE12" s="232">
        <v>0.87406974418103767</v>
      </c>
      <c r="CF12" s="275" t="s">
        <v>1857</v>
      </c>
      <c r="CG12" s="232">
        <v>0.97029813363126749</v>
      </c>
      <c r="CH12" s="232">
        <v>1.0546718843818124</v>
      </c>
      <c r="CI12" s="275" t="s">
        <v>1858</v>
      </c>
      <c r="CJ12" s="275" t="s">
        <v>246</v>
      </c>
      <c r="CK12" s="275" t="s">
        <v>566</v>
      </c>
      <c r="CL12" s="277" t="s">
        <v>586</v>
      </c>
      <c r="CM12" s="277" t="s">
        <v>586</v>
      </c>
      <c r="CN12" s="277" t="s">
        <v>586</v>
      </c>
      <c r="CO12" s="277" t="s">
        <v>586</v>
      </c>
      <c r="CP12" s="277" t="s">
        <v>586</v>
      </c>
      <c r="CQ12" s="277" t="s">
        <v>586</v>
      </c>
      <c r="CR12" s="277" t="s">
        <v>586</v>
      </c>
      <c r="CS12" s="277" t="s">
        <v>586</v>
      </c>
      <c r="CT12" s="277" t="s">
        <v>586</v>
      </c>
      <c r="CU12" s="277" t="s">
        <v>586</v>
      </c>
      <c r="CV12" s="277" t="s">
        <v>586</v>
      </c>
      <c r="CW12" s="277" t="s">
        <v>586</v>
      </c>
      <c r="CX12" s="277" t="s">
        <v>586</v>
      </c>
      <c r="CY12" s="277" t="s">
        <v>586</v>
      </c>
      <c r="CZ12" s="277" t="s">
        <v>586</v>
      </c>
      <c r="DA12" s="277" t="s">
        <v>586</v>
      </c>
      <c r="DB12" s="277" t="s">
        <v>586</v>
      </c>
      <c r="DC12" s="277" t="s">
        <v>586</v>
      </c>
      <c r="DD12" s="277" t="s">
        <v>586</v>
      </c>
      <c r="DE12" s="277" t="s">
        <v>586</v>
      </c>
      <c r="DF12" s="277" t="s">
        <v>586</v>
      </c>
      <c r="DG12" s="277" t="s">
        <v>586</v>
      </c>
      <c r="DH12" s="277" t="s">
        <v>586</v>
      </c>
      <c r="DI12" s="277" t="s">
        <v>586</v>
      </c>
      <c r="DJ12" s="277" t="s">
        <v>586</v>
      </c>
      <c r="DK12" s="277" t="s">
        <v>586</v>
      </c>
      <c r="DL12" s="277" t="s">
        <v>586</v>
      </c>
      <c r="DM12" s="277" t="s">
        <v>586</v>
      </c>
      <c r="DN12" s="277" t="s">
        <v>586</v>
      </c>
      <c r="DO12" s="277" t="s">
        <v>586</v>
      </c>
      <c r="DP12" s="277" t="s">
        <v>586</v>
      </c>
      <c r="DQ12" s="277" t="s">
        <v>586</v>
      </c>
      <c r="DR12" s="277" t="s">
        <v>586</v>
      </c>
      <c r="DS12" s="277" t="s">
        <v>586</v>
      </c>
      <c r="DT12" s="277" t="s">
        <v>586</v>
      </c>
      <c r="DU12" s="277" t="s">
        <v>586</v>
      </c>
      <c r="DV12" s="277" t="s">
        <v>586</v>
      </c>
      <c r="DW12" s="277" t="s">
        <v>586</v>
      </c>
      <c r="DX12" s="277" t="s">
        <v>586</v>
      </c>
      <c r="DY12" s="277" t="s">
        <v>586</v>
      </c>
      <c r="DZ12" s="277" t="s">
        <v>586</v>
      </c>
      <c r="EA12" s="277" t="s">
        <v>586</v>
      </c>
      <c r="EB12" s="277" t="s">
        <v>586</v>
      </c>
      <c r="EC12" s="277" t="s">
        <v>586</v>
      </c>
      <c r="ED12" s="277" t="s">
        <v>586</v>
      </c>
      <c r="EE12" s="277" t="s">
        <v>586</v>
      </c>
      <c r="EF12" s="277" t="s">
        <v>586</v>
      </c>
      <c r="EG12" s="277" t="s">
        <v>586</v>
      </c>
      <c r="EH12" s="277" t="s">
        <v>586</v>
      </c>
      <c r="EI12" s="277" t="s">
        <v>586</v>
      </c>
      <c r="EJ12" s="277" t="s">
        <v>586</v>
      </c>
      <c r="EK12" s="277" t="s">
        <v>586</v>
      </c>
      <c r="EL12" s="277" t="s">
        <v>586</v>
      </c>
      <c r="EM12" s="277" t="s">
        <v>586</v>
      </c>
      <c r="EN12" s="277" t="s">
        <v>586</v>
      </c>
      <c r="EO12" s="277" t="s">
        <v>586</v>
      </c>
      <c r="EP12" s="277" t="s">
        <v>586</v>
      </c>
      <c r="EQ12" s="277" t="s">
        <v>586</v>
      </c>
      <c r="ER12" s="277" t="s">
        <v>586</v>
      </c>
      <c r="ES12" s="277" t="s">
        <v>586</v>
      </c>
      <c r="ET12" s="277" t="s">
        <v>586</v>
      </c>
      <c r="EU12" s="277" t="s">
        <v>586</v>
      </c>
      <c r="EV12" s="277" t="s">
        <v>586</v>
      </c>
      <c r="EW12" s="277" t="s">
        <v>586</v>
      </c>
      <c r="EX12" s="277" t="s">
        <v>586</v>
      </c>
      <c r="EY12" s="277" t="s">
        <v>586</v>
      </c>
      <c r="EZ12" s="277" t="s">
        <v>586</v>
      </c>
      <c r="FA12" s="277" t="s">
        <v>586</v>
      </c>
      <c r="FB12" s="277" t="s">
        <v>586</v>
      </c>
      <c r="FC12" s="277" t="s">
        <v>586</v>
      </c>
      <c r="FD12" s="277" t="s">
        <v>586</v>
      </c>
      <c r="FE12" s="277" t="s">
        <v>586</v>
      </c>
      <c r="FF12" s="277" t="s">
        <v>586</v>
      </c>
      <c r="FG12" s="277" t="s">
        <v>586</v>
      </c>
      <c r="FH12" s="277" t="s">
        <v>586</v>
      </c>
      <c r="FI12" s="277" t="s">
        <v>586</v>
      </c>
      <c r="FJ12" s="277" t="s">
        <v>586</v>
      </c>
      <c r="FK12" s="277" t="s">
        <v>586</v>
      </c>
      <c r="FL12" s="277" t="s">
        <v>586</v>
      </c>
      <c r="FM12" s="277" t="s">
        <v>586</v>
      </c>
      <c r="FN12" s="277" t="s">
        <v>586</v>
      </c>
      <c r="FO12" s="277" t="s">
        <v>586</v>
      </c>
      <c r="FP12" s="277" t="s">
        <v>586</v>
      </c>
      <c r="FQ12" s="277" t="s">
        <v>586</v>
      </c>
      <c r="FR12" s="277" t="s">
        <v>586</v>
      </c>
    </row>
    <row r="13" spans="1:174" s="2" customFormat="1" ht="75" customHeight="1" x14ac:dyDescent="0.25">
      <c r="A13" s="491"/>
      <c r="B13" s="491"/>
      <c r="C13" s="491"/>
      <c r="D13" s="491"/>
      <c r="E13" s="494"/>
      <c r="F13" s="491" t="s">
        <v>88</v>
      </c>
      <c r="G13" s="491" t="s">
        <v>89</v>
      </c>
      <c r="H13" s="512"/>
      <c r="I13" s="274" t="s">
        <v>623</v>
      </c>
      <c r="J13" s="234" t="s">
        <v>624</v>
      </c>
      <c r="K13" s="234" t="s">
        <v>625</v>
      </c>
      <c r="L13" s="96">
        <v>0.98</v>
      </c>
      <c r="M13" s="96">
        <v>0.03</v>
      </c>
      <c r="N13" s="135">
        <v>0.03</v>
      </c>
      <c r="O13" s="234" t="s">
        <v>626</v>
      </c>
      <c r="P13" s="135">
        <v>0.1</v>
      </c>
      <c r="Q13" s="135">
        <v>0.1</v>
      </c>
      <c r="R13" s="234" t="s">
        <v>627</v>
      </c>
      <c r="S13" s="135">
        <v>0.2</v>
      </c>
      <c r="T13" s="135">
        <v>0.2</v>
      </c>
      <c r="U13" s="234" t="s">
        <v>628</v>
      </c>
      <c r="V13" s="135">
        <v>0.28185814997502667</v>
      </c>
      <c r="W13" s="135">
        <v>0.28761035711737415</v>
      </c>
      <c r="X13" s="234" t="s">
        <v>918</v>
      </c>
      <c r="Y13" s="135">
        <v>0.37266999584578181</v>
      </c>
      <c r="Z13" s="135">
        <v>0.38027550596508347</v>
      </c>
      <c r="AA13" s="234" t="s">
        <v>939</v>
      </c>
      <c r="AB13" s="135">
        <v>0.46308784264857261</v>
      </c>
      <c r="AC13" s="135">
        <v>0.47253861494752308</v>
      </c>
      <c r="AD13" s="234" t="s">
        <v>963</v>
      </c>
      <c r="AE13" s="135">
        <v>0.55241857962826413</v>
      </c>
      <c r="AF13" s="135">
        <v>0.5636924281921063</v>
      </c>
      <c r="AG13" s="234" t="s">
        <v>1464</v>
      </c>
      <c r="AH13" s="135">
        <v>0.48951216741664588</v>
      </c>
      <c r="AI13" s="135">
        <v>0.49950221164963865</v>
      </c>
      <c r="AJ13" s="234" t="s">
        <v>1465</v>
      </c>
      <c r="AK13" s="135">
        <v>0.69084063301831855</v>
      </c>
      <c r="AL13" s="135">
        <v>0.70493942144726385</v>
      </c>
      <c r="AM13" s="234" t="s">
        <v>1466</v>
      </c>
      <c r="AN13" s="135">
        <v>0.76237859786976792</v>
      </c>
      <c r="AO13" s="135">
        <v>0.77793734476506926</v>
      </c>
      <c r="AP13" s="234" t="s">
        <v>1859</v>
      </c>
      <c r="AQ13" s="135">
        <v>0.82815542038883827</v>
      </c>
      <c r="AR13" s="135">
        <v>0.84505655141718194</v>
      </c>
      <c r="AS13" s="234" t="s">
        <v>1860</v>
      </c>
      <c r="AT13" s="135">
        <v>0.98945327192287891</v>
      </c>
      <c r="AU13" s="135">
        <v>1.0096461958396723</v>
      </c>
      <c r="AV13" s="234" t="s">
        <v>1861</v>
      </c>
      <c r="AW13" s="234" t="s">
        <v>629</v>
      </c>
      <c r="AX13" s="234" t="s">
        <v>630</v>
      </c>
      <c r="AY13" s="96">
        <v>0.98</v>
      </c>
      <c r="AZ13" s="135">
        <v>0.01</v>
      </c>
      <c r="BA13" s="135">
        <v>0.01</v>
      </c>
      <c r="BB13" s="234" t="s">
        <v>631</v>
      </c>
      <c r="BC13" s="135">
        <v>0.06</v>
      </c>
      <c r="BD13" s="135">
        <v>0.06</v>
      </c>
      <c r="BE13" s="234" t="s">
        <v>632</v>
      </c>
      <c r="BF13" s="135">
        <v>0.12</v>
      </c>
      <c r="BG13" s="135">
        <v>0.13</v>
      </c>
      <c r="BH13" s="234" t="s">
        <v>633</v>
      </c>
      <c r="BI13" s="135">
        <v>0.189508101159786</v>
      </c>
      <c r="BJ13" s="135">
        <v>0.19337561342835308</v>
      </c>
      <c r="BK13" s="234" t="s">
        <v>930</v>
      </c>
      <c r="BL13" s="135">
        <v>0.26003949538479515</v>
      </c>
      <c r="BM13" s="135">
        <v>0.26534642386203589</v>
      </c>
      <c r="BN13" s="234" t="s">
        <v>952</v>
      </c>
      <c r="BO13" s="135">
        <v>0.334491177050319</v>
      </c>
      <c r="BP13" s="135">
        <v>0.34131752760236633</v>
      </c>
      <c r="BQ13" s="234" t="s">
        <v>976</v>
      </c>
      <c r="BR13" s="135">
        <v>0.42040216242006467</v>
      </c>
      <c r="BS13" s="135">
        <v>0.42898179838782108</v>
      </c>
      <c r="BT13" s="234" t="s">
        <v>1467</v>
      </c>
      <c r="BU13" s="135">
        <v>0.48951216741664588</v>
      </c>
      <c r="BV13" s="135">
        <v>0.49950221164963865</v>
      </c>
      <c r="BW13" s="234" t="s">
        <v>1468</v>
      </c>
      <c r="BX13" s="135">
        <v>0.56188869022984611</v>
      </c>
      <c r="BY13" s="135">
        <v>0.5733558063569858</v>
      </c>
      <c r="BZ13" s="234" t="s">
        <v>1469</v>
      </c>
      <c r="CA13" s="135">
        <v>0.63366904189427997</v>
      </c>
      <c r="CB13" s="135">
        <v>0.6466010631574286</v>
      </c>
      <c r="CC13" s="234" t="s">
        <v>1862</v>
      </c>
      <c r="CD13" s="135">
        <v>0.72174321496081406</v>
      </c>
      <c r="CE13" s="135">
        <v>0.73647266832736125</v>
      </c>
      <c r="CF13" s="234" t="s">
        <v>1863</v>
      </c>
      <c r="CG13" s="135">
        <v>0.88618858433504</v>
      </c>
      <c r="CH13" s="135">
        <v>0.90427406564800006</v>
      </c>
      <c r="CI13" s="234" t="s">
        <v>1864</v>
      </c>
      <c r="CJ13" s="234" t="s">
        <v>246</v>
      </c>
      <c r="CK13" s="234" t="s">
        <v>566</v>
      </c>
      <c r="CL13" s="277" t="s">
        <v>586</v>
      </c>
      <c r="CM13" s="277" t="s">
        <v>586</v>
      </c>
      <c r="CN13" s="277" t="s">
        <v>586</v>
      </c>
      <c r="CO13" s="277" t="s">
        <v>586</v>
      </c>
      <c r="CP13" s="277" t="s">
        <v>586</v>
      </c>
      <c r="CQ13" s="277" t="s">
        <v>586</v>
      </c>
      <c r="CR13" s="277" t="s">
        <v>586</v>
      </c>
      <c r="CS13" s="277" t="s">
        <v>586</v>
      </c>
      <c r="CT13" s="277" t="s">
        <v>586</v>
      </c>
      <c r="CU13" s="277" t="s">
        <v>586</v>
      </c>
      <c r="CV13" s="277" t="s">
        <v>586</v>
      </c>
      <c r="CW13" s="277" t="s">
        <v>586</v>
      </c>
      <c r="CX13" s="277" t="s">
        <v>586</v>
      </c>
      <c r="CY13" s="277" t="s">
        <v>586</v>
      </c>
      <c r="CZ13" s="277" t="s">
        <v>586</v>
      </c>
      <c r="DA13" s="277" t="s">
        <v>586</v>
      </c>
      <c r="DB13" s="277" t="s">
        <v>586</v>
      </c>
      <c r="DC13" s="277" t="s">
        <v>586</v>
      </c>
      <c r="DD13" s="277" t="s">
        <v>586</v>
      </c>
      <c r="DE13" s="277" t="s">
        <v>586</v>
      </c>
      <c r="DF13" s="277" t="s">
        <v>586</v>
      </c>
      <c r="DG13" s="277" t="s">
        <v>586</v>
      </c>
      <c r="DH13" s="277" t="s">
        <v>586</v>
      </c>
      <c r="DI13" s="277" t="s">
        <v>586</v>
      </c>
      <c r="DJ13" s="277" t="s">
        <v>586</v>
      </c>
      <c r="DK13" s="277" t="s">
        <v>586</v>
      </c>
      <c r="DL13" s="277" t="s">
        <v>586</v>
      </c>
      <c r="DM13" s="277" t="s">
        <v>586</v>
      </c>
      <c r="DN13" s="277" t="s">
        <v>586</v>
      </c>
      <c r="DO13" s="277" t="s">
        <v>586</v>
      </c>
      <c r="DP13" s="277" t="s">
        <v>586</v>
      </c>
      <c r="DQ13" s="277" t="s">
        <v>586</v>
      </c>
      <c r="DR13" s="277" t="s">
        <v>586</v>
      </c>
      <c r="DS13" s="277" t="s">
        <v>586</v>
      </c>
      <c r="DT13" s="277" t="s">
        <v>586</v>
      </c>
      <c r="DU13" s="277" t="s">
        <v>586</v>
      </c>
      <c r="DV13" s="277" t="s">
        <v>586</v>
      </c>
      <c r="DW13" s="277" t="s">
        <v>586</v>
      </c>
      <c r="DX13" s="277" t="s">
        <v>586</v>
      </c>
      <c r="DY13" s="277" t="s">
        <v>586</v>
      </c>
      <c r="DZ13" s="277" t="s">
        <v>586</v>
      </c>
      <c r="EA13" s="277" t="s">
        <v>586</v>
      </c>
      <c r="EB13" s="277" t="s">
        <v>586</v>
      </c>
      <c r="EC13" s="277" t="s">
        <v>586</v>
      </c>
      <c r="ED13" s="277" t="s">
        <v>586</v>
      </c>
      <c r="EE13" s="277" t="s">
        <v>586</v>
      </c>
      <c r="EF13" s="277" t="s">
        <v>586</v>
      </c>
      <c r="EG13" s="277" t="s">
        <v>586</v>
      </c>
      <c r="EH13" s="277" t="s">
        <v>586</v>
      </c>
      <c r="EI13" s="277" t="s">
        <v>586</v>
      </c>
      <c r="EJ13" s="277" t="s">
        <v>586</v>
      </c>
      <c r="EK13" s="277" t="s">
        <v>586</v>
      </c>
      <c r="EL13" s="277" t="s">
        <v>586</v>
      </c>
      <c r="EM13" s="277" t="s">
        <v>586</v>
      </c>
      <c r="EN13" s="277" t="s">
        <v>586</v>
      </c>
      <c r="EO13" s="277" t="s">
        <v>586</v>
      </c>
      <c r="EP13" s="277" t="s">
        <v>586</v>
      </c>
      <c r="EQ13" s="277" t="s">
        <v>586</v>
      </c>
      <c r="ER13" s="277" t="s">
        <v>586</v>
      </c>
      <c r="ES13" s="277" t="s">
        <v>586</v>
      </c>
      <c r="ET13" s="277" t="s">
        <v>586</v>
      </c>
      <c r="EU13" s="277" t="s">
        <v>586</v>
      </c>
      <c r="EV13" s="277" t="s">
        <v>586</v>
      </c>
      <c r="EW13" s="277" t="s">
        <v>586</v>
      </c>
      <c r="EX13" s="277" t="s">
        <v>586</v>
      </c>
      <c r="EY13" s="277" t="s">
        <v>586</v>
      </c>
      <c r="EZ13" s="277" t="s">
        <v>586</v>
      </c>
      <c r="FA13" s="277" t="s">
        <v>586</v>
      </c>
      <c r="FB13" s="277" t="s">
        <v>586</v>
      </c>
      <c r="FC13" s="277" t="s">
        <v>586</v>
      </c>
      <c r="FD13" s="277" t="s">
        <v>586</v>
      </c>
      <c r="FE13" s="277" t="s">
        <v>586</v>
      </c>
      <c r="FF13" s="277" t="s">
        <v>586</v>
      </c>
      <c r="FG13" s="277" t="s">
        <v>586</v>
      </c>
      <c r="FH13" s="277" t="s">
        <v>586</v>
      </c>
      <c r="FI13" s="277" t="s">
        <v>586</v>
      </c>
      <c r="FJ13" s="277" t="s">
        <v>586</v>
      </c>
      <c r="FK13" s="277" t="s">
        <v>586</v>
      </c>
      <c r="FL13" s="277" t="s">
        <v>586</v>
      </c>
      <c r="FM13" s="277" t="s">
        <v>586</v>
      </c>
      <c r="FN13" s="277" t="s">
        <v>586</v>
      </c>
      <c r="FO13" s="277" t="s">
        <v>586</v>
      </c>
      <c r="FP13" s="277" t="s">
        <v>586</v>
      </c>
      <c r="FQ13" s="277" t="s">
        <v>586</v>
      </c>
      <c r="FR13" s="277" t="s">
        <v>586</v>
      </c>
    </row>
    <row r="14" spans="1:174" s="89" customFormat="1" ht="33.75" customHeight="1" x14ac:dyDescent="0.25">
      <c r="A14" s="491"/>
      <c r="B14" s="491"/>
      <c r="C14" s="491"/>
      <c r="D14" s="491"/>
      <c r="E14" s="494"/>
      <c r="F14" s="491"/>
      <c r="G14" s="491"/>
      <c r="H14" s="512"/>
      <c r="I14" s="274" t="s">
        <v>634</v>
      </c>
      <c r="J14" s="234" t="s">
        <v>635</v>
      </c>
      <c r="K14" s="234" t="s">
        <v>636</v>
      </c>
      <c r="L14" s="96">
        <v>0.98</v>
      </c>
      <c r="M14" s="96">
        <v>0.52</v>
      </c>
      <c r="N14" s="135">
        <v>0.53</v>
      </c>
      <c r="O14" s="234" t="s">
        <v>637</v>
      </c>
      <c r="P14" s="135">
        <v>0.59</v>
      </c>
      <c r="Q14" s="135">
        <v>0.6</v>
      </c>
      <c r="R14" s="234" t="s">
        <v>638</v>
      </c>
      <c r="S14" s="135">
        <v>0.63</v>
      </c>
      <c r="T14" s="135">
        <v>0.64</v>
      </c>
      <c r="U14" s="234" t="s">
        <v>639</v>
      </c>
      <c r="V14" s="135">
        <v>0.67235274614758123</v>
      </c>
      <c r="W14" s="135">
        <v>0.68607423076283802</v>
      </c>
      <c r="X14" s="234" t="s">
        <v>919</v>
      </c>
      <c r="Y14" s="135">
        <v>0.69777416557142102</v>
      </c>
      <c r="Z14" s="135">
        <v>0.71201445466471536</v>
      </c>
      <c r="AA14" s="234" t="s">
        <v>940</v>
      </c>
      <c r="AB14" s="135">
        <v>0.72230610749191604</v>
      </c>
      <c r="AC14" s="135">
        <v>0.73704704846113878</v>
      </c>
      <c r="AD14" s="234" t="s">
        <v>964</v>
      </c>
      <c r="AE14" s="135">
        <v>0.76102104078932953</v>
      </c>
      <c r="AF14" s="135">
        <v>0.77655208243809137</v>
      </c>
      <c r="AG14" s="234" t="s">
        <v>1470</v>
      </c>
      <c r="AH14" s="135">
        <v>0.77951652400650318</v>
      </c>
      <c r="AI14" s="135">
        <v>0.79542502449643182</v>
      </c>
      <c r="AJ14" s="234" t="s">
        <v>1471</v>
      </c>
      <c r="AK14" s="135">
        <v>0.81334053524750749</v>
      </c>
      <c r="AL14" s="135">
        <v>0.82993932168113016</v>
      </c>
      <c r="AM14" s="234" t="s">
        <v>1472</v>
      </c>
      <c r="AN14" s="135">
        <v>0.83117370249489297</v>
      </c>
      <c r="AO14" s="135">
        <v>0.8481364311172378</v>
      </c>
      <c r="AP14" s="234" t="s">
        <v>1865</v>
      </c>
      <c r="AQ14" s="135">
        <v>0.87150696257224136</v>
      </c>
      <c r="AR14" s="135">
        <v>0.88929281895126666</v>
      </c>
      <c r="AS14" s="234" t="s">
        <v>1866</v>
      </c>
      <c r="AT14" s="135">
        <v>0.89563459890616437</v>
      </c>
      <c r="AU14" s="135">
        <v>0.91391285602669836</v>
      </c>
      <c r="AV14" s="234" t="s">
        <v>1867</v>
      </c>
      <c r="AW14" s="488" t="s">
        <v>93</v>
      </c>
      <c r="AX14" s="488"/>
      <c r="AY14" s="489"/>
      <c r="AZ14" s="235" t="s">
        <v>586</v>
      </c>
      <c r="BA14" s="235" t="s">
        <v>586</v>
      </c>
      <c r="BB14" s="239" t="s">
        <v>586</v>
      </c>
      <c r="BC14" s="235" t="s">
        <v>586</v>
      </c>
      <c r="BD14" s="235" t="s">
        <v>586</v>
      </c>
      <c r="BE14" s="239" t="s">
        <v>586</v>
      </c>
      <c r="BF14" s="235" t="s">
        <v>586</v>
      </c>
      <c r="BG14" s="235" t="s">
        <v>586</v>
      </c>
      <c r="BH14" s="239" t="s">
        <v>586</v>
      </c>
      <c r="BI14" s="235" t="s">
        <v>586</v>
      </c>
      <c r="BJ14" s="235" t="s">
        <v>586</v>
      </c>
      <c r="BK14" s="239" t="s">
        <v>586</v>
      </c>
      <c r="BL14" s="235" t="s">
        <v>586</v>
      </c>
      <c r="BM14" s="235" t="s">
        <v>586</v>
      </c>
      <c r="BN14" s="239" t="s">
        <v>586</v>
      </c>
      <c r="BO14" s="235" t="s">
        <v>586</v>
      </c>
      <c r="BP14" s="235" t="s">
        <v>586</v>
      </c>
      <c r="BQ14" s="239" t="s">
        <v>586</v>
      </c>
      <c r="BR14" s="235" t="s">
        <v>586</v>
      </c>
      <c r="BS14" s="235" t="s">
        <v>586</v>
      </c>
      <c r="BT14" s="239" t="s">
        <v>586</v>
      </c>
      <c r="BU14" s="235" t="s">
        <v>586</v>
      </c>
      <c r="BV14" s="235" t="s">
        <v>586</v>
      </c>
      <c r="BW14" s="239" t="s">
        <v>586</v>
      </c>
      <c r="BX14" s="235" t="s">
        <v>586</v>
      </c>
      <c r="BY14" s="235" t="s">
        <v>586</v>
      </c>
      <c r="BZ14" s="239" t="s">
        <v>586</v>
      </c>
      <c r="CA14" s="235" t="s">
        <v>586</v>
      </c>
      <c r="CB14" s="235" t="s">
        <v>586</v>
      </c>
      <c r="CC14" s="239" t="s">
        <v>586</v>
      </c>
      <c r="CD14" s="235" t="s">
        <v>586</v>
      </c>
      <c r="CE14" s="235" t="s">
        <v>586</v>
      </c>
      <c r="CF14" s="239" t="s">
        <v>586</v>
      </c>
      <c r="CG14" s="235" t="s">
        <v>586</v>
      </c>
      <c r="CH14" s="235" t="s">
        <v>586</v>
      </c>
      <c r="CI14" s="239" t="s">
        <v>586</v>
      </c>
      <c r="CJ14" s="234" t="s">
        <v>246</v>
      </c>
      <c r="CK14" s="234" t="s">
        <v>566</v>
      </c>
      <c r="CL14" s="277" t="s">
        <v>586</v>
      </c>
      <c r="CM14" s="277" t="s">
        <v>586</v>
      </c>
      <c r="CN14" s="277" t="s">
        <v>586</v>
      </c>
      <c r="CO14" s="277" t="s">
        <v>586</v>
      </c>
      <c r="CP14" s="277" t="s">
        <v>586</v>
      </c>
      <c r="CQ14" s="277" t="s">
        <v>586</v>
      </c>
      <c r="CR14" s="277" t="s">
        <v>586</v>
      </c>
      <c r="CS14" s="277" t="s">
        <v>586</v>
      </c>
      <c r="CT14" s="277" t="s">
        <v>586</v>
      </c>
      <c r="CU14" s="277" t="s">
        <v>586</v>
      </c>
      <c r="CV14" s="277" t="s">
        <v>586</v>
      </c>
      <c r="CW14" s="277" t="s">
        <v>586</v>
      </c>
      <c r="CX14" s="277" t="s">
        <v>586</v>
      </c>
      <c r="CY14" s="277" t="s">
        <v>586</v>
      </c>
      <c r="CZ14" s="277" t="s">
        <v>586</v>
      </c>
      <c r="DA14" s="277" t="s">
        <v>586</v>
      </c>
      <c r="DB14" s="277" t="s">
        <v>586</v>
      </c>
      <c r="DC14" s="277" t="s">
        <v>586</v>
      </c>
      <c r="DD14" s="277" t="s">
        <v>586</v>
      </c>
      <c r="DE14" s="277" t="s">
        <v>586</v>
      </c>
      <c r="DF14" s="277" t="s">
        <v>586</v>
      </c>
      <c r="DG14" s="277" t="s">
        <v>586</v>
      </c>
      <c r="DH14" s="277" t="s">
        <v>586</v>
      </c>
      <c r="DI14" s="277" t="s">
        <v>586</v>
      </c>
      <c r="DJ14" s="277" t="s">
        <v>586</v>
      </c>
      <c r="DK14" s="277" t="s">
        <v>586</v>
      </c>
      <c r="DL14" s="277" t="s">
        <v>586</v>
      </c>
      <c r="DM14" s="277" t="s">
        <v>586</v>
      </c>
      <c r="DN14" s="277" t="s">
        <v>586</v>
      </c>
      <c r="DO14" s="277" t="s">
        <v>586</v>
      </c>
      <c r="DP14" s="277" t="s">
        <v>586</v>
      </c>
      <c r="DQ14" s="277" t="s">
        <v>586</v>
      </c>
      <c r="DR14" s="277" t="s">
        <v>586</v>
      </c>
      <c r="DS14" s="277" t="s">
        <v>586</v>
      </c>
      <c r="DT14" s="277" t="s">
        <v>586</v>
      </c>
      <c r="DU14" s="277" t="s">
        <v>586</v>
      </c>
      <c r="DV14" s="277" t="s">
        <v>586</v>
      </c>
      <c r="DW14" s="277" t="s">
        <v>586</v>
      </c>
      <c r="DX14" s="277" t="s">
        <v>586</v>
      </c>
      <c r="DY14" s="277" t="s">
        <v>586</v>
      </c>
      <c r="DZ14" s="277" t="s">
        <v>586</v>
      </c>
      <c r="EA14" s="277" t="s">
        <v>586</v>
      </c>
      <c r="EB14" s="277" t="s">
        <v>586</v>
      </c>
      <c r="EC14" s="277" t="s">
        <v>586</v>
      </c>
      <c r="ED14" s="277" t="s">
        <v>586</v>
      </c>
      <c r="EE14" s="277" t="s">
        <v>586</v>
      </c>
      <c r="EF14" s="277" t="s">
        <v>586</v>
      </c>
      <c r="EG14" s="277" t="s">
        <v>586</v>
      </c>
      <c r="EH14" s="277" t="s">
        <v>586</v>
      </c>
      <c r="EI14" s="277" t="s">
        <v>586</v>
      </c>
      <c r="EJ14" s="277" t="s">
        <v>586</v>
      </c>
      <c r="EK14" s="277" t="s">
        <v>586</v>
      </c>
      <c r="EL14" s="277" t="s">
        <v>586</v>
      </c>
      <c r="EM14" s="277" t="s">
        <v>586</v>
      </c>
      <c r="EN14" s="277" t="s">
        <v>586</v>
      </c>
      <c r="EO14" s="277" t="s">
        <v>586</v>
      </c>
      <c r="EP14" s="277" t="s">
        <v>586</v>
      </c>
      <c r="EQ14" s="277" t="s">
        <v>586</v>
      </c>
      <c r="ER14" s="277" t="s">
        <v>586</v>
      </c>
      <c r="ES14" s="277" t="s">
        <v>586</v>
      </c>
      <c r="ET14" s="277" t="s">
        <v>586</v>
      </c>
      <c r="EU14" s="277" t="s">
        <v>586</v>
      </c>
      <c r="EV14" s="277" t="s">
        <v>586</v>
      </c>
      <c r="EW14" s="277" t="s">
        <v>586</v>
      </c>
      <c r="EX14" s="277" t="s">
        <v>586</v>
      </c>
      <c r="EY14" s="277" t="s">
        <v>586</v>
      </c>
      <c r="EZ14" s="277" t="s">
        <v>586</v>
      </c>
      <c r="FA14" s="277" t="s">
        <v>586</v>
      </c>
      <c r="FB14" s="277" t="s">
        <v>586</v>
      </c>
      <c r="FC14" s="277" t="s">
        <v>586</v>
      </c>
      <c r="FD14" s="277" t="s">
        <v>586</v>
      </c>
      <c r="FE14" s="277" t="s">
        <v>586</v>
      </c>
      <c r="FF14" s="277" t="s">
        <v>586</v>
      </c>
      <c r="FG14" s="277" t="s">
        <v>586</v>
      </c>
      <c r="FH14" s="277" t="s">
        <v>586</v>
      </c>
      <c r="FI14" s="277" t="s">
        <v>586</v>
      </c>
      <c r="FJ14" s="277" t="s">
        <v>586</v>
      </c>
      <c r="FK14" s="277" t="s">
        <v>586</v>
      </c>
      <c r="FL14" s="277" t="s">
        <v>586</v>
      </c>
      <c r="FM14" s="277" t="s">
        <v>586</v>
      </c>
      <c r="FN14" s="277" t="s">
        <v>586</v>
      </c>
      <c r="FO14" s="277" t="s">
        <v>586</v>
      </c>
      <c r="FP14" s="277" t="s">
        <v>586</v>
      </c>
      <c r="FQ14" s="277" t="s">
        <v>586</v>
      </c>
      <c r="FR14" s="277" t="s">
        <v>586</v>
      </c>
    </row>
    <row r="15" spans="1:174" s="89" customFormat="1" ht="65.45" customHeight="1" x14ac:dyDescent="0.25">
      <c r="A15" s="491"/>
      <c r="B15" s="491"/>
      <c r="C15" s="491"/>
      <c r="D15" s="491"/>
      <c r="E15" s="494"/>
      <c r="F15" s="491"/>
      <c r="G15" s="491"/>
      <c r="H15" s="512"/>
      <c r="I15" s="276" t="s">
        <v>640</v>
      </c>
      <c r="J15" s="491" t="s">
        <v>641</v>
      </c>
      <c r="K15" s="491" t="s">
        <v>642</v>
      </c>
      <c r="L15" s="513">
        <v>1</v>
      </c>
      <c r="M15" s="508" t="s">
        <v>643</v>
      </c>
      <c r="N15" s="508" t="s">
        <v>643</v>
      </c>
      <c r="O15" s="491" t="s">
        <v>644</v>
      </c>
      <c r="P15" s="508" t="s">
        <v>643</v>
      </c>
      <c r="Q15" s="508" t="s">
        <v>643</v>
      </c>
      <c r="R15" s="491" t="s">
        <v>644</v>
      </c>
      <c r="S15" s="508" t="s">
        <v>643</v>
      </c>
      <c r="T15" s="508" t="s">
        <v>643</v>
      </c>
      <c r="U15" s="491" t="s">
        <v>644</v>
      </c>
      <c r="V15" s="508" t="s">
        <v>643</v>
      </c>
      <c r="W15" s="508" t="s">
        <v>643</v>
      </c>
      <c r="X15" s="491" t="s">
        <v>644</v>
      </c>
      <c r="Y15" s="508" t="s">
        <v>643</v>
      </c>
      <c r="Z15" s="508" t="s">
        <v>643</v>
      </c>
      <c r="AA15" s="491" t="s">
        <v>644</v>
      </c>
      <c r="AB15" s="508" t="s">
        <v>643</v>
      </c>
      <c r="AC15" s="508" t="s">
        <v>643</v>
      </c>
      <c r="AD15" s="491" t="s">
        <v>644</v>
      </c>
      <c r="AE15" s="508" t="s">
        <v>643</v>
      </c>
      <c r="AF15" s="508" t="s">
        <v>643</v>
      </c>
      <c r="AG15" s="491" t="s">
        <v>644</v>
      </c>
      <c r="AH15" s="508" t="s">
        <v>643</v>
      </c>
      <c r="AI15" s="508" t="s">
        <v>643</v>
      </c>
      <c r="AJ15" s="491" t="s">
        <v>644</v>
      </c>
      <c r="AK15" s="508" t="s">
        <v>643</v>
      </c>
      <c r="AL15" s="508" t="s">
        <v>643</v>
      </c>
      <c r="AM15" s="491" t="s">
        <v>644</v>
      </c>
      <c r="AN15" s="508"/>
      <c r="AO15" s="508" t="s">
        <v>643</v>
      </c>
      <c r="AP15" s="491" t="s">
        <v>644</v>
      </c>
      <c r="AQ15" s="508" t="s">
        <v>643</v>
      </c>
      <c r="AR15" s="508" t="s">
        <v>643</v>
      </c>
      <c r="AS15" s="491" t="s">
        <v>644</v>
      </c>
      <c r="AT15" s="509">
        <v>1.67</v>
      </c>
      <c r="AU15" s="505">
        <v>1.67</v>
      </c>
      <c r="AV15" s="506" t="s">
        <v>1868</v>
      </c>
      <c r="AW15" s="234" t="s">
        <v>645</v>
      </c>
      <c r="AX15" s="234" t="s">
        <v>646</v>
      </c>
      <c r="AY15" s="103" t="s">
        <v>647</v>
      </c>
      <c r="AZ15" s="240" t="s">
        <v>643</v>
      </c>
      <c r="BA15" s="240" t="s">
        <v>643</v>
      </c>
      <c r="BB15" s="234" t="s">
        <v>594</v>
      </c>
      <c r="BC15" s="240" t="s">
        <v>643</v>
      </c>
      <c r="BD15" s="240" t="s">
        <v>643</v>
      </c>
      <c r="BE15" s="234" t="s">
        <v>594</v>
      </c>
      <c r="BF15" s="135">
        <v>0.35</v>
      </c>
      <c r="BG15" s="135">
        <v>0.49</v>
      </c>
      <c r="BH15" s="234" t="s">
        <v>594</v>
      </c>
      <c r="BI15" s="240" t="s">
        <v>643</v>
      </c>
      <c r="BJ15" s="240" t="s">
        <v>643</v>
      </c>
      <c r="BK15" s="234" t="s">
        <v>594</v>
      </c>
      <c r="BL15" s="240" t="s">
        <v>643</v>
      </c>
      <c r="BM15" s="240" t="s">
        <v>643</v>
      </c>
      <c r="BN15" s="234" t="s">
        <v>594</v>
      </c>
      <c r="BO15" s="135">
        <v>0.52327438881660271</v>
      </c>
      <c r="BP15" s="135">
        <v>0.73700618143183483</v>
      </c>
      <c r="BQ15" s="234" t="s">
        <v>977</v>
      </c>
      <c r="BR15" s="240" t="s">
        <v>643</v>
      </c>
      <c r="BS15" s="240" t="s">
        <v>643</v>
      </c>
      <c r="BT15" s="234" t="s">
        <v>594</v>
      </c>
      <c r="BU15" s="240" t="s">
        <v>643</v>
      </c>
      <c r="BV15" s="240" t="s">
        <v>643</v>
      </c>
      <c r="BW15" s="234" t="s">
        <v>594</v>
      </c>
      <c r="BX15" s="135">
        <v>0.6955460150688344</v>
      </c>
      <c r="BY15" s="135">
        <v>0.97964227474483723</v>
      </c>
      <c r="BZ15" s="234" t="s">
        <v>1473</v>
      </c>
      <c r="CA15" s="240" t="s">
        <v>643</v>
      </c>
      <c r="CB15" s="240" t="s">
        <v>643</v>
      </c>
      <c r="CC15" s="234" t="s">
        <v>594</v>
      </c>
      <c r="CD15" s="240" t="s">
        <v>643</v>
      </c>
      <c r="CE15" s="240" t="s">
        <v>643</v>
      </c>
      <c r="CF15" s="234" t="s">
        <v>594</v>
      </c>
      <c r="CG15" s="135">
        <v>0.9</v>
      </c>
      <c r="CH15" s="135">
        <v>1.267605633802817</v>
      </c>
      <c r="CI15" s="234" t="s">
        <v>1869</v>
      </c>
      <c r="CJ15" s="234" t="s">
        <v>246</v>
      </c>
      <c r="CK15" s="234" t="s">
        <v>566</v>
      </c>
      <c r="CL15" s="277" t="s">
        <v>586</v>
      </c>
      <c r="CM15" s="277" t="s">
        <v>586</v>
      </c>
      <c r="CN15" s="277" t="s">
        <v>586</v>
      </c>
      <c r="CO15" s="277" t="s">
        <v>586</v>
      </c>
      <c r="CP15" s="277" t="s">
        <v>586</v>
      </c>
      <c r="CQ15" s="277" t="s">
        <v>586</v>
      </c>
      <c r="CR15" s="277" t="s">
        <v>586</v>
      </c>
      <c r="CS15" s="277" t="s">
        <v>586</v>
      </c>
      <c r="CT15" s="277" t="s">
        <v>586</v>
      </c>
      <c r="CU15" s="277" t="s">
        <v>586</v>
      </c>
      <c r="CV15" s="277" t="s">
        <v>586</v>
      </c>
      <c r="CW15" s="277" t="s">
        <v>586</v>
      </c>
      <c r="CX15" s="277" t="s">
        <v>586</v>
      </c>
      <c r="CY15" s="277" t="s">
        <v>586</v>
      </c>
      <c r="CZ15" s="277" t="s">
        <v>586</v>
      </c>
      <c r="DA15" s="277" t="s">
        <v>586</v>
      </c>
      <c r="DB15" s="277" t="s">
        <v>586</v>
      </c>
      <c r="DC15" s="277" t="s">
        <v>586</v>
      </c>
      <c r="DD15" s="277" t="s">
        <v>586</v>
      </c>
      <c r="DE15" s="277" t="s">
        <v>586</v>
      </c>
      <c r="DF15" s="277" t="s">
        <v>586</v>
      </c>
      <c r="DG15" s="277" t="s">
        <v>586</v>
      </c>
      <c r="DH15" s="277" t="s">
        <v>586</v>
      </c>
      <c r="DI15" s="277" t="s">
        <v>586</v>
      </c>
      <c r="DJ15" s="277" t="s">
        <v>586</v>
      </c>
      <c r="DK15" s="277" t="s">
        <v>586</v>
      </c>
      <c r="DL15" s="277" t="s">
        <v>586</v>
      </c>
      <c r="DM15" s="277" t="s">
        <v>586</v>
      </c>
      <c r="DN15" s="277" t="s">
        <v>586</v>
      </c>
      <c r="DO15" s="277" t="s">
        <v>586</v>
      </c>
      <c r="DP15" s="277" t="s">
        <v>586</v>
      </c>
      <c r="DQ15" s="277" t="s">
        <v>586</v>
      </c>
      <c r="DR15" s="277" t="s">
        <v>586</v>
      </c>
      <c r="DS15" s="277" t="s">
        <v>586</v>
      </c>
      <c r="DT15" s="277" t="s">
        <v>586</v>
      </c>
      <c r="DU15" s="277" t="s">
        <v>586</v>
      </c>
      <c r="DV15" s="277" t="s">
        <v>586</v>
      </c>
      <c r="DW15" s="277" t="s">
        <v>586</v>
      </c>
      <c r="DX15" s="277" t="s">
        <v>586</v>
      </c>
      <c r="DY15" s="277" t="s">
        <v>586</v>
      </c>
      <c r="DZ15" s="277" t="s">
        <v>586</v>
      </c>
      <c r="EA15" s="277" t="s">
        <v>586</v>
      </c>
      <c r="EB15" s="277" t="s">
        <v>586</v>
      </c>
      <c r="EC15" s="277" t="s">
        <v>586</v>
      </c>
      <c r="ED15" s="277" t="s">
        <v>586</v>
      </c>
      <c r="EE15" s="277" t="s">
        <v>586</v>
      </c>
      <c r="EF15" s="277" t="s">
        <v>586</v>
      </c>
      <c r="EG15" s="277" t="s">
        <v>586</v>
      </c>
      <c r="EH15" s="277" t="s">
        <v>586</v>
      </c>
      <c r="EI15" s="277" t="s">
        <v>586</v>
      </c>
      <c r="EJ15" s="277" t="s">
        <v>586</v>
      </c>
      <c r="EK15" s="277" t="s">
        <v>586</v>
      </c>
      <c r="EL15" s="277" t="s">
        <v>586</v>
      </c>
      <c r="EM15" s="277" t="s">
        <v>586</v>
      </c>
      <c r="EN15" s="277" t="s">
        <v>586</v>
      </c>
      <c r="EO15" s="277" t="s">
        <v>586</v>
      </c>
      <c r="EP15" s="277" t="s">
        <v>586</v>
      </c>
      <c r="EQ15" s="277" t="s">
        <v>586</v>
      </c>
      <c r="ER15" s="277" t="s">
        <v>586</v>
      </c>
      <c r="ES15" s="277" t="s">
        <v>586</v>
      </c>
      <c r="ET15" s="277" t="s">
        <v>586</v>
      </c>
      <c r="EU15" s="277" t="s">
        <v>586</v>
      </c>
      <c r="EV15" s="277" t="s">
        <v>586</v>
      </c>
      <c r="EW15" s="277" t="s">
        <v>586</v>
      </c>
      <c r="EX15" s="277" t="s">
        <v>586</v>
      </c>
      <c r="EY15" s="277" t="s">
        <v>586</v>
      </c>
      <c r="EZ15" s="277" t="s">
        <v>586</v>
      </c>
      <c r="FA15" s="277" t="s">
        <v>586</v>
      </c>
      <c r="FB15" s="277" t="s">
        <v>586</v>
      </c>
      <c r="FC15" s="277" t="s">
        <v>586</v>
      </c>
      <c r="FD15" s="277" t="s">
        <v>586</v>
      </c>
      <c r="FE15" s="277" t="s">
        <v>586</v>
      </c>
      <c r="FF15" s="277" t="s">
        <v>586</v>
      </c>
      <c r="FG15" s="277" t="s">
        <v>586</v>
      </c>
      <c r="FH15" s="277" t="s">
        <v>586</v>
      </c>
      <c r="FI15" s="277" t="s">
        <v>586</v>
      </c>
      <c r="FJ15" s="277" t="s">
        <v>586</v>
      </c>
      <c r="FK15" s="277" t="s">
        <v>586</v>
      </c>
      <c r="FL15" s="277" t="s">
        <v>586</v>
      </c>
      <c r="FM15" s="277" t="s">
        <v>586</v>
      </c>
      <c r="FN15" s="277" t="s">
        <v>586</v>
      </c>
      <c r="FO15" s="277" t="s">
        <v>586</v>
      </c>
      <c r="FP15" s="277" t="s">
        <v>586</v>
      </c>
      <c r="FQ15" s="277" t="s">
        <v>586</v>
      </c>
      <c r="FR15" s="277" t="s">
        <v>586</v>
      </c>
    </row>
    <row r="16" spans="1:174" s="89" customFormat="1" ht="48" customHeight="1" x14ac:dyDescent="0.25">
      <c r="A16" s="492"/>
      <c r="B16" s="492"/>
      <c r="C16" s="492"/>
      <c r="D16" s="492"/>
      <c r="E16" s="495"/>
      <c r="F16" s="492"/>
      <c r="G16" s="492"/>
      <c r="H16" s="512"/>
      <c r="I16" s="241" t="s">
        <v>648</v>
      </c>
      <c r="J16" s="492"/>
      <c r="K16" s="492"/>
      <c r="L16" s="499"/>
      <c r="M16" s="499"/>
      <c r="N16" s="499"/>
      <c r="O16" s="492"/>
      <c r="P16" s="499"/>
      <c r="Q16" s="499"/>
      <c r="R16" s="492"/>
      <c r="S16" s="499"/>
      <c r="T16" s="499"/>
      <c r="U16" s="492"/>
      <c r="V16" s="499"/>
      <c r="W16" s="499"/>
      <c r="X16" s="492"/>
      <c r="Y16" s="499"/>
      <c r="Z16" s="499"/>
      <c r="AA16" s="492"/>
      <c r="AB16" s="499"/>
      <c r="AC16" s="499"/>
      <c r="AD16" s="492"/>
      <c r="AE16" s="499"/>
      <c r="AF16" s="499"/>
      <c r="AG16" s="492"/>
      <c r="AH16" s="499"/>
      <c r="AI16" s="499"/>
      <c r="AJ16" s="492"/>
      <c r="AK16" s="499"/>
      <c r="AL16" s="499"/>
      <c r="AM16" s="492"/>
      <c r="AN16" s="499"/>
      <c r="AO16" s="499"/>
      <c r="AP16" s="492"/>
      <c r="AQ16" s="499"/>
      <c r="AR16" s="499"/>
      <c r="AS16" s="492"/>
      <c r="AT16" s="497"/>
      <c r="AU16" s="497"/>
      <c r="AV16" s="507"/>
      <c r="AW16" s="234" t="s">
        <v>649</v>
      </c>
      <c r="AX16" s="234" t="s">
        <v>650</v>
      </c>
      <c r="AY16" s="96">
        <v>1</v>
      </c>
      <c r="AZ16" s="240" t="s">
        <v>643</v>
      </c>
      <c r="BA16" s="240" t="s">
        <v>643</v>
      </c>
      <c r="BB16" s="234" t="s">
        <v>594</v>
      </c>
      <c r="BC16" s="240" t="s">
        <v>643</v>
      </c>
      <c r="BD16" s="240" t="s">
        <v>643</v>
      </c>
      <c r="BE16" s="234" t="s">
        <v>594</v>
      </c>
      <c r="BF16" s="135">
        <v>0.16</v>
      </c>
      <c r="BG16" s="135">
        <v>0.16</v>
      </c>
      <c r="BH16" s="234" t="s">
        <v>651</v>
      </c>
      <c r="BI16" s="240" t="s">
        <v>643</v>
      </c>
      <c r="BJ16" s="240" t="s">
        <v>643</v>
      </c>
      <c r="BK16" s="234" t="s">
        <v>594</v>
      </c>
      <c r="BL16" s="240" t="s">
        <v>643</v>
      </c>
      <c r="BM16" s="240" t="s">
        <v>643</v>
      </c>
      <c r="BN16" s="234" t="s">
        <v>594</v>
      </c>
      <c r="BO16" s="135">
        <v>0.39</v>
      </c>
      <c r="BP16" s="135">
        <v>0.39</v>
      </c>
      <c r="BQ16" s="234" t="s">
        <v>978</v>
      </c>
      <c r="BR16" s="240" t="s">
        <v>643</v>
      </c>
      <c r="BS16" s="240" t="s">
        <v>643</v>
      </c>
      <c r="BT16" s="234" t="s">
        <v>594</v>
      </c>
      <c r="BU16" s="240" t="s">
        <v>643</v>
      </c>
      <c r="BV16" s="240" t="s">
        <v>643</v>
      </c>
      <c r="BW16" s="234" t="s">
        <v>594</v>
      </c>
      <c r="BX16" s="135">
        <v>0.56200000000000006</v>
      </c>
      <c r="BY16" s="135">
        <v>0.56200000000000006</v>
      </c>
      <c r="BZ16" s="234" t="s">
        <v>1474</v>
      </c>
      <c r="CA16" s="240" t="s">
        <v>643</v>
      </c>
      <c r="CB16" s="240" t="s">
        <v>643</v>
      </c>
      <c r="CC16" s="234" t="s">
        <v>594</v>
      </c>
      <c r="CD16" s="240" t="s">
        <v>643</v>
      </c>
      <c r="CE16" s="240" t="s">
        <v>643</v>
      </c>
      <c r="CF16" s="234" t="s">
        <v>594</v>
      </c>
      <c r="CG16" s="135">
        <v>1</v>
      </c>
      <c r="CH16" s="135">
        <v>1</v>
      </c>
      <c r="CI16" s="234" t="s">
        <v>1870</v>
      </c>
      <c r="CJ16" s="234" t="s">
        <v>246</v>
      </c>
      <c r="CK16" s="234" t="s">
        <v>566</v>
      </c>
      <c r="CL16" s="277" t="s">
        <v>586</v>
      </c>
      <c r="CM16" s="277" t="s">
        <v>586</v>
      </c>
      <c r="CN16" s="277" t="s">
        <v>586</v>
      </c>
      <c r="CO16" s="277" t="s">
        <v>586</v>
      </c>
      <c r="CP16" s="277" t="s">
        <v>586</v>
      </c>
      <c r="CQ16" s="277" t="s">
        <v>586</v>
      </c>
      <c r="CR16" s="277" t="s">
        <v>586</v>
      </c>
      <c r="CS16" s="277" t="s">
        <v>586</v>
      </c>
      <c r="CT16" s="277" t="s">
        <v>586</v>
      </c>
      <c r="CU16" s="277" t="s">
        <v>586</v>
      </c>
      <c r="CV16" s="277" t="s">
        <v>586</v>
      </c>
      <c r="CW16" s="277" t="s">
        <v>586</v>
      </c>
      <c r="CX16" s="277" t="s">
        <v>586</v>
      </c>
      <c r="CY16" s="277" t="s">
        <v>586</v>
      </c>
      <c r="CZ16" s="277" t="s">
        <v>586</v>
      </c>
      <c r="DA16" s="277" t="s">
        <v>586</v>
      </c>
      <c r="DB16" s="277" t="s">
        <v>586</v>
      </c>
      <c r="DC16" s="277" t="s">
        <v>586</v>
      </c>
      <c r="DD16" s="277" t="s">
        <v>586</v>
      </c>
      <c r="DE16" s="277" t="s">
        <v>586</v>
      </c>
      <c r="DF16" s="277" t="s">
        <v>586</v>
      </c>
      <c r="DG16" s="277" t="s">
        <v>586</v>
      </c>
      <c r="DH16" s="277" t="s">
        <v>586</v>
      </c>
      <c r="DI16" s="277" t="s">
        <v>586</v>
      </c>
      <c r="DJ16" s="277" t="s">
        <v>586</v>
      </c>
      <c r="DK16" s="277" t="s">
        <v>586</v>
      </c>
      <c r="DL16" s="277" t="s">
        <v>586</v>
      </c>
      <c r="DM16" s="277" t="s">
        <v>586</v>
      </c>
      <c r="DN16" s="277" t="s">
        <v>586</v>
      </c>
      <c r="DO16" s="277" t="s">
        <v>586</v>
      </c>
      <c r="DP16" s="277" t="s">
        <v>586</v>
      </c>
      <c r="DQ16" s="277" t="s">
        <v>586</v>
      </c>
      <c r="DR16" s="277" t="s">
        <v>586</v>
      </c>
      <c r="DS16" s="277" t="s">
        <v>586</v>
      </c>
      <c r="DT16" s="277" t="s">
        <v>586</v>
      </c>
      <c r="DU16" s="277" t="s">
        <v>586</v>
      </c>
      <c r="DV16" s="277" t="s">
        <v>586</v>
      </c>
      <c r="DW16" s="277" t="s">
        <v>586</v>
      </c>
      <c r="DX16" s="277" t="s">
        <v>586</v>
      </c>
      <c r="DY16" s="277" t="s">
        <v>586</v>
      </c>
      <c r="DZ16" s="277" t="s">
        <v>586</v>
      </c>
      <c r="EA16" s="277" t="s">
        <v>586</v>
      </c>
      <c r="EB16" s="277" t="s">
        <v>586</v>
      </c>
      <c r="EC16" s="277" t="s">
        <v>586</v>
      </c>
      <c r="ED16" s="277" t="s">
        <v>586</v>
      </c>
      <c r="EE16" s="277" t="s">
        <v>586</v>
      </c>
      <c r="EF16" s="277" t="s">
        <v>586</v>
      </c>
      <c r="EG16" s="277" t="s">
        <v>586</v>
      </c>
      <c r="EH16" s="277" t="s">
        <v>586</v>
      </c>
      <c r="EI16" s="277" t="s">
        <v>586</v>
      </c>
      <c r="EJ16" s="277" t="s">
        <v>586</v>
      </c>
      <c r="EK16" s="277" t="s">
        <v>586</v>
      </c>
      <c r="EL16" s="277" t="s">
        <v>586</v>
      </c>
      <c r="EM16" s="277" t="s">
        <v>586</v>
      </c>
      <c r="EN16" s="277" t="s">
        <v>586</v>
      </c>
      <c r="EO16" s="277" t="s">
        <v>586</v>
      </c>
      <c r="EP16" s="277" t="s">
        <v>586</v>
      </c>
      <c r="EQ16" s="277" t="s">
        <v>586</v>
      </c>
      <c r="ER16" s="277" t="s">
        <v>586</v>
      </c>
      <c r="ES16" s="277" t="s">
        <v>586</v>
      </c>
      <c r="ET16" s="277" t="s">
        <v>586</v>
      </c>
      <c r="EU16" s="277" t="s">
        <v>586</v>
      </c>
      <c r="EV16" s="277" t="s">
        <v>586</v>
      </c>
      <c r="EW16" s="277" t="s">
        <v>586</v>
      </c>
      <c r="EX16" s="277" t="s">
        <v>586</v>
      </c>
      <c r="EY16" s="277" t="s">
        <v>586</v>
      </c>
      <c r="EZ16" s="277" t="s">
        <v>586</v>
      </c>
      <c r="FA16" s="277" t="s">
        <v>586</v>
      </c>
      <c r="FB16" s="277" t="s">
        <v>586</v>
      </c>
      <c r="FC16" s="277" t="s">
        <v>586</v>
      </c>
      <c r="FD16" s="277" t="s">
        <v>586</v>
      </c>
      <c r="FE16" s="277" t="s">
        <v>586</v>
      </c>
      <c r="FF16" s="277" t="s">
        <v>586</v>
      </c>
      <c r="FG16" s="277" t="s">
        <v>586</v>
      </c>
      <c r="FH16" s="277" t="s">
        <v>586</v>
      </c>
      <c r="FI16" s="277" t="s">
        <v>586</v>
      </c>
      <c r="FJ16" s="277" t="s">
        <v>586</v>
      </c>
      <c r="FK16" s="277" t="s">
        <v>586</v>
      </c>
      <c r="FL16" s="277" t="s">
        <v>586</v>
      </c>
      <c r="FM16" s="277" t="s">
        <v>586</v>
      </c>
      <c r="FN16" s="277" t="s">
        <v>586</v>
      </c>
      <c r="FO16" s="277" t="s">
        <v>586</v>
      </c>
      <c r="FP16" s="277" t="s">
        <v>586</v>
      </c>
      <c r="FQ16" s="277" t="s">
        <v>586</v>
      </c>
      <c r="FR16" s="277" t="s">
        <v>586</v>
      </c>
    </row>
    <row r="17" spans="1:174" s="2" customFormat="1" ht="75" customHeight="1" x14ac:dyDescent="0.25">
      <c r="A17" s="237"/>
      <c r="B17" s="237"/>
      <c r="C17" s="237"/>
      <c r="D17" s="237"/>
      <c r="E17" s="237"/>
      <c r="F17" s="237"/>
      <c r="G17" s="237"/>
      <c r="H17" s="512"/>
      <c r="I17" s="237"/>
      <c r="J17" s="237"/>
      <c r="K17" s="237"/>
      <c r="L17" s="97"/>
      <c r="M17" s="98" t="s">
        <v>161</v>
      </c>
      <c r="N17" s="99" t="s">
        <v>652</v>
      </c>
      <c r="O17" s="91"/>
      <c r="P17" s="98" t="s">
        <v>161</v>
      </c>
      <c r="Q17" s="99" t="s">
        <v>653</v>
      </c>
      <c r="R17" s="91"/>
      <c r="S17" s="98" t="s">
        <v>161</v>
      </c>
      <c r="T17" s="99" t="s">
        <v>654</v>
      </c>
      <c r="U17" s="91"/>
      <c r="V17" s="98" t="s">
        <v>161</v>
      </c>
      <c r="W17" s="137">
        <f>+AVERAGE(W12:W16)</f>
        <v>0.41631660175717222</v>
      </c>
      <c r="X17" s="91"/>
      <c r="Y17" s="98" t="s">
        <v>161</v>
      </c>
      <c r="Z17" s="137">
        <f>+AVERAGE(Z12:Z16)</f>
        <v>0.48857432083442393</v>
      </c>
      <c r="AA17" s="91"/>
      <c r="AB17" s="98" t="s">
        <v>161</v>
      </c>
      <c r="AC17" s="137">
        <f>+AVERAGE(AC12:AC16)</f>
        <v>0.54894609328999699</v>
      </c>
      <c r="AD17" s="91"/>
      <c r="AE17" s="98" t="s">
        <v>161</v>
      </c>
      <c r="AF17" s="137">
        <f>+AVERAGE(AF12:AF16)</f>
        <v>0.61915956055123955</v>
      </c>
      <c r="AG17" s="91"/>
      <c r="AH17" s="98" t="s">
        <v>161</v>
      </c>
      <c r="AI17" s="137">
        <f>+AVERAGE(AI12:AI16)</f>
        <v>0.63390806667989463</v>
      </c>
      <c r="AJ17" s="91"/>
      <c r="AK17" s="98" t="s">
        <v>161</v>
      </c>
      <c r="AL17" s="137">
        <f>+AVERAGE(AL12:AL16)</f>
        <v>0.75563352993547639</v>
      </c>
      <c r="AM17" s="91"/>
      <c r="AN17" s="98" t="s">
        <v>161</v>
      </c>
      <c r="AO17" s="137">
        <f>+AVERAGE(AO12:AO16)</f>
        <v>0.81462998467439973</v>
      </c>
      <c r="AP17" s="91"/>
      <c r="AQ17" s="98" t="s">
        <v>161</v>
      </c>
      <c r="AR17" s="137">
        <f>+AVERAGE(AR12:AR16)</f>
        <v>0.8863487262923333</v>
      </c>
      <c r="AS17" s="91"/>
      <c r="AT17" s="98" t="s">
        <v>161</v>
      </c>
      <c r="AU17" s="137">
        <f>+AVERAGE(AU12:AU16)</f>
        <v>1.1749378524154446</v>
      </c>
      <c r="AV17" s="91"/>
      <c r="AW17" s="237"/>
      <c r="AX17" s="237"/>
      <c r="AY17" s="97"/>
      <c r="AZ17" s="98" t="s">
        <v>162</v>
      </c>
      <c r="BA17" s="99" t="s">
        <v>655</v>
      </c>
      <c r="BB17" s="91"/>
      <c r="BC17" s="98" t="s">
        <v>162</v>
      </c>
      <c r="BD17" s="99" t="s">
        <v>656</v>
      </c>
      <c r="BE17" s="91"/>
      <c r="BF17" s="98" t="s">
        <v>162</v>
      </c>
      <c r="BG17" s="134">
        <v>0.23300000000000001</v>
      </c>
      <c r="BH17" s="238" t="s">
        <v>586</v>
      </c>
      <c r="BI17" s="98" t="s">
        <v>162</v>
      </c>
      <c r="BJ17" s="134">
        <f>+AVERAGE(BJ12:BJ16)</f>
        <v>0.21930737193156782</v>
      </c>
      <c r="BK17" s="91"/>
      <c r="BL17" s="98" t="s">
        <v>162</v>
      </c>
      <c r="BM17" s="134">
        <f>+AVERAGE(BM12:BM16)</f>
        <v>0.30417726836587966</v>
      </c>
      <c r="BN17" s="91"/>
      <c r="BO17" s="98" t="s">
        <v>162</v>
      </c>
      <c r="BP17" s="134">
        <f>+AVERAGE(BP12:BP16)</f>
        <v>0.46823518729148506</v>
      </c>
      <c r="BQ17" s="238" t="s">
        <v>586</v>
      </c>
      <c r="BR17" s="98" t="s">
        <v>162</v>
      </c>
      <c r="BS17" s="134">
        <f>+AVERAGE(BS12:BS16)</f>
        <v>0.45820542412512272</v>
      </c>
      <c r="BT17" s="91"/>
      <c r="BU17" s="98" t="s">
        <v>162</v>
      </c>
      <c r="BV17" s="134">
        <f>+AVERAGE(BV12:BV16)</f>
        <v>0.54036976324930064</v>
      </c>
      <c r="BW17" s="91"/>
      <c r="BX17" s="98" t="s">
        <v>162</v>
      </c>
      <c r="BY17" s="134">
        <f>+AVERAGE(BY12:BY16)</f>
        <v>0.70677564732339038</v>
      </c>
      <c r="BZ17" s="238" t="s">
        <v>586</v>
      </c>
      <c r="CA17" s="98" t="s">
        <v>162</v>
      </c>
      <c r="CB17" s="134">
        <f>+AVERAGE(CB12:CB16)</f>
        <v>0.7180606404034422</v>
      </c>
      <c r="CC17" s="91"/>
      <c r="CD17" s="98" t="s">
        <v>162</v>
      </c>
      <c r="CE17" s="134">
        <f>+AVERAGE(CE12:CE16)</f>
        <v>0.80527120625419946</v>
      </c>
      <c r="CF17" s="91"/>
      <c r="CG17" s="98" t="s">
        <v>162</v>
      </c>
      <c r="CH17" s="134">
        <f>+AVERAGE(CH12:CH16)</f>
        <v>1.0566378959581573</v>
      </c>
      <c r="CI17" s="238" t="s">
        <v>586</v>
      </c>
      <c r="CJ17" s="238" t="s">
        <v>586</v>
      </c>
      <c r="CK17" s="238" t="s">
        <v>586</v>
      </c>
      <c r="CL17" s="238" t="s">
        <v>586</v>
      </c>
      <c r="CM17" s="238" t="s">
        <v>586</v>
      </c>
      <c r="CN17" s="238" t="s">
        <v>586</v>
      </c>
      <c r="CO17" s="238" t="s">
        <v>586</v>
      </c>
      <c r="CP17" s="238" t="s">
        <v>586</v>
      </c>
      <c r="CQ17" s="238" t="s">
        <v>586</v>
      </c>
      <c r="CR17" s="238" t="s">
        <v>586</v>
      </c>
      <c r="CS17" s="238" t="s">
        <v>586</v>
      </c>
      <c r="CT17" s="238" t="s">
        <v>586</v>
      </c>
      <c r="CU17" s="238" t="s">
        <v>586</v>
      </c>
      <c r="CV17" s="238" t="s">
        <v>586</v>
      </c>
      <c r="CW17" s="238" t="s">
        <v>586</v>
      </c>
      <c r="CX17" s="238" t="s">
        <v>586</v>
      </c>
      <c r="CY17" s="238" t="s">
        <v>586</v>
      </c>
      <c r="CZ17" s="238" t="s">
        <v>586</v>
      </c>
      <c r="DA17" s="238" t="s">
        <v>586</v>
      </c>
      <c r="DB17" s="238" t="s">
        <v>586</v>
      </c>
      <c r="DC17" s="238" t="s">
        <v>586</v>
      </c>
      <c r="DD17" s="238" t="s">
        <v>586</v>
      </c>
      <c r="DE17" s="238" t="s">
        <v>586</v>
      </c>
      <c r="DF17" s="238" t="s">
        <v>586</v>
      </c>
      <c r="DG17" s="238" t="s">
        <v>586</v>
      </c>
      <c r="DH17" s="238" t="s">
        <v>586</v>
      </c>
      <c r="DI17" s="238" t="s">
        <v>586</v>
      </c>
      <c r="DJ17" s="238" t="s">
        <v>586</v>
      </c>
      <c r="DK17" s="238" t="s">
        <v>586</v>
      </c>
      <c r="DL17" s="238" t="s">
        <v>586</v>
      </c>
      <c r="DM17" s="238" t="s">
        <v>586</v>
      </c>
      <c r="DN17" s="238" t="s">
        <v>586</v>
      </c>
      <c r="DO17" s="238" t="s">
        <v>586</v>
      </c>
      <c r="DP17" s="238" t="s">
        <v>586</v>
      </c>
      <c r="DQ17" s="238" t="s">
        <v>586</v>
      </c>
      <c r="DR17" s="238" t="s">
        <v>586</v>
      </c>
      <c r="DS17" s="238" t="s">
        <v>586</v>
      </c>
      <c r="DT17" s="238" t="s">
        <v>586</v>
      </c>
      <c r="DU17" s="238" t="s">
        <v>586</v>
      </c>
      <c r="DV17" s="238" t="s">
        <v>586</v>
      </c>
      <c r="DW17" s="238" t="s">
        <v>586</v>
      </c>
      <c r="DX17" s="238" t="s">
        <v>586</v>
      </c>
      <c r="DY17" s="238" t="s">
        <v>586</v>
      </c>
      <c r="DZ17" s="238" t="s">
        <v>586</v>
      </c>
      <c r="EA17" s="238" t="s">
        <v>586</v>
      </c>
      <c r="EB17" s="238" t="s">
        <v>586</v>
      </c>
      <c r="EC17" s="238" t="s">
        <v>586</v>
      </c>
      <c r="ED17" s="238" t="s">
        <v>586</v>
      </c>
      <c r="EE17" s="238" t="s">
        <v>586</v>
      </c>
      <c r="EF17" s="238" t="s">
        <v>586</v>
      </c>
      <c r="EG17" s="238" t="s">
        <v>586</v>
      </c>
      <c r="EH17" s="238" t="s">
        <v>586</v>
      </c>
      <c r="EI17" s="238" t="s">
        <v>586</v>
      </c>
      <c r="EJ17" s="238" t="s">
        <v>586</v>
      </c>
      <c r="EK17" s="238" t="s">
        <v>586</v>
      </c>
      <c r="EL17" s="238" t="s">
        <v>586</v>
      </c>
      <c r="EM17" s="238" t="s">
        <v>586</v>
      </c>
      <c r="EN17" s="238" t="s">
        <v>586</v>
      </c>
      <c r="EO17" s="238" t="s">
        <v>586</v>
      </c>
      <c r="EP17" s="238" t="s">
        <v>586</v>
      </c>
      <c r="EQ17" s="238" t="s">
        <v>586</v>
      </c>
      <c r="ER17" s="238" t="s">
        <v>586</v>
      </c>
      <c r="ES17" s="238" t="s">
        <v>586</v>
      </c>
      <c r="ET17" s="238" t="s">
        <v>586</v>
      </c>
      <c r="EU17" s="238" t="s">
        <v>586</v>
      </c>
      <c r="EV17" s="238" t="s">
        <v>586</v>
      </c>
      <c r="EW17" s="238" t="s">
        <v>586</v>
      </c>
      <c r="EX17" s="238" t="s">
        <v>586</v>
      </c>
      <c r="EY17" s="238" t="s">
        <v>586</v>
      </c>
      <c r="EZ17" s="238" t="s">
        <v>586</v>
      </c>
      <c r="FA17" s="238" t="s">
        <v>586</v>
      </c>
      <c r="FB17" s="238" t="s">
        <v>586</v>
      </c>
      <c r="FC17" s="238" t="s">
        <v>586</v>
      </c>
      <c r="FD17" s="238" t="s">
        <v>586</v>
      </c>
      <c r="FE17" s="238" t="s">
        <v>586</v>
      </c>
      <c r="FF17" s="238" t="s">
        <v>586</v>
      </c>
      <c r="FG17" s="238" t="s">
        <v>586</v>
      </c>
      <c r="FH17" s="238" t="s">
        <v>586</v>
      </c>
      <c r="FI17" s="238" t="s">
        <v>586</v>
      </c>
      <c r="FJ17" s="238" t="s">
        <v>586</v>
      </c>
      <c r="FK17" s="238" t="s">
        <v>586</v>
      </c>
      <c r="FL17" s="238" t="s">
        <v>586</v>
      </c>
      <c r="FM17" s="238" t="s">
        <v>586</v>
      </c>
      <c r="FN17" s="238" t="s">
        <v>586</v>
      </c>
      <c r="FO17" s="237"/>
      <c r="FP17" s="237"/>
      <c r="FQ17" s="237"/>
      <c r="FR17" s="237"/>
    </row>
    <row r="18" spans="1:174" s="89" customFormat="1" ht="60" customHeight="1" x14ac:dyDescent="0.25">
      <c r="A18" s="490" t="s">
        <v>84</v>
      </c>
      <c r="B18" s="490" t="s">
        <v>85</v>
      </c>
      <c r="C18" s="490" t="s">
        <v>2729</v>
      </c>
      <c r="D18" s="490" t="s">
        <v>22</v>
      </c>
      <c r="E18" s="493" t="s">
        <v>657</v>
      </c>
      <c r="F18" s="275" t="s">
        <v>88</v>
      </c>
      <c r="G18" s="275" t="s">
        <v>89</v>
      </c>
      <c r="H18" s="512"/>
      <c r="I18" s="230" t="s">
        <v>658</v>
      </c>
      <c r="J18" s="490" t="s">
        <v>659</v>
      </c>
      <c r="K18" s="490" t="s">
        <v>660</v>
      </c>
      <c r="L18" s="510">
        <v>1</v>
      </c>
      <c r="M18" s="500">
        <v>0</v>
      </c>
      <c r="N18" s="503" t="s">
        <v>643</v>
      </c>
      <c r="O18" s="490" t="s">
        <v>661</v>
      </c>
      <c r="P18" s="500">
        <v>0</v>
      </c>
      <c r="Q18" s="503" t="s">
        <v>643</v>
      </c>
      <c r="R18" s="490" t="s">
        <v>662</v>
      </c>
      <c r="S18" s="503" t="s">
        <v>643</v>
      </c>
      <c r="T18" s="503" t="s">
        <v>643</v>
      </c>
      <c r="U18" s="490" t="s">
        <v>663</v>
      </c>
      <c r="V18" s="500">
        <v>0</v>
      </c>
      <c r="W18" s="503" t="s">
        <v>643</v>
      </c>
      <c r="X18" s="490" t="s">
        <v>920</v>
      </c>
      <c r="Y18" s="500">
        <v>0.05</v>
      </c>
      <c r="Z18" s="503">
        <v>0.05</v>
      </c>
      <c r="AA18" s="490" t="s">
        <v>941</v>
      </c>
      <c r="AB18" s="503">
        <v>0.05</v>
      </c>
      <c r="AC18" s="503">
        <v>0.05</v>
      </c>
      <c r="AD18" s="490" t="s">
        <v>965</v>
      </c>
      <c r="AE18" s="504">
        <v>0.12</v>
      </c>
      <c r="AF18" s="501">
        <v>0.12</v>
      </c>
      <c r="AG18" s="490" t="s">
        <v>1475</v>
      </c>
      <c r="AH18" s="500">
        <v>0.156</v>
      </c>
      <c r="AI18" s="501">
        <v>0.156</v>
      </c>
      <c r="AJ18" s="490" t="s">
        <v>1476</v>
      </c>
      <c r="AK18" s="503">
        <v>0.39500000000000002</v>
      </c>
      <c r="AL18" s="501">
        <v>0.39500000000000002</v>
      </c>
      <c r="AM18" s="490" t="s">
        <v>1477</v>
      </c>
      <c r="AN18" s="504">
        <v>0.53649999999999998</v>
      </c>
      <c r="AO18" s="501">
        <v>0.53649999999999998</v>
      </c>
      <c r="AP18" s="490" t="s">
        <v>1871</v>
      </c>
      <c r="AQ18" s="500">
        <v>0.9</v>
      </c>
      <c r="AR18" s="501">
        <v>0.9</v>
      </c>
      <c r="AS18" s="490" t="s">
        <v>1872</v>
      </c>
      <c r="AT18" s="503">
        <v>1</v>
      </c>
      <c r="AU18" s="501">
        <v>1</v>
      </c>
      <c r="AV18" s="490" t="s">
        <v>1873</v>
      </c>
      <c r="AW18" s="275" t="s">
        <v>664</v>
      </c>
      <c r="AX18" s="275" t="s">
        <v>665</v>
      </c>
      <c r="AY18" s="95">
        <v>1</v>
      </c>
      <c r="AZ18" s="232">
        <v>0.05</v>
      </c>
      <c r="BA18" s="232">
        <v>0.05</v>
      </c>
      <c r="BB18" s="275" t="s">
        <v>666</v>
      </c>
      <c r="BC18" s="232">
        <v>0.4</v>
      </c>
      <c r="BD18" s="232">
        <v>0.4</v>
      </c>
      <c r="BE18" s="275" t="s">
        <v>667</v>
      </c>
      <c r="BF18" s="232">
        <v>0.45</v>
      </c>
      <c r="BG18" s="232">
        <v>0.45</v>
      </c>
      <c r="BH18" s="275" t="s">
        <v>663</v>
      </c>
      <c r="BI18" s="232">
        <v>0.45</v>
      </c>
      <c r="BJ18" s="232">
        <v>0.45</v>
      </c>
      <c r="BK18" s="275" t="s">
        <v>931</v>
      </c>
      <c r="BL18" s="232">
        <v>0.05</v>
      </c>
      <c r="BM18" s="232">
        <v>0.05</v>
      </c>
      <c r="BN18" s="275" t="s">
        <v>953</v>
      </c>
      <c r="BO18" s="232">
        <v>0.2286</v>
      </c>
      <c r="BP18" s="232">
        <v>0.2286</v>
      </c>
      <c r="BQ18" s="275" t="s">
        <v>979</v>
      </c>
      <c r="BR18" s="232">
        <v>0.3488</v>
      </c>
      <c r="BS18" s="232">
        <v>0.3488</v>
      </c>
      <c r="BT18" s="275" t="s">
        <v>1478</v>
      </c>
      <c r="BU18" s="232">
        <v>0.45</v>
      </c>
      <c r="BV18" s="232">
        <v>0.45</v>
      </c>
      <c r="BW18" s="275" t="s">
        <v>1479</v>
      </c>
      <c r="BX18" s="232">
        <v>0.55100000000000005</v>
      </c>
      <c r="BY18" s="232">
        <v>0.55100000000000005</v>
      </c>
      <c r="BZ18" s="275" t="s">
        <v>1480</v>
      </c>
      <c r="CA18" s="232">
        <v>0.90949999999999998</v>
      </c>
      <c r="CB18" s="232">
        <v>0.90949999999999998</v>
      </c>
      <c r="CC18" s="275" t="s">
        <v>1874</v>
      </c>
      <c r="CD18" s="232">
        <v>0.95</v>
      </c>
      <c r="CE18" s="232">
        <v>0.95</v>
      </c>
      <c r="CF18" s="275" t="s">
        <v>1875</v>
      </c>
      <c r="CG18" s="232">
        <v>1</v>
      </c>
      <c r="CH18" s="232">
        <v>1</v>
      </c>
      <c r="CI18" s="275" t="s">
        <v>1876</v>
      </c>
      <c r="CJ18" s="275" t="s">
        <v>668</v>
      </c>
      <c r="CK18" s="275" t="s">
        <v>669</v>
      </c>
      <c r="CL18" s="277" t="s">
        <v>586</v>
      </c>
      <c r="CM18" s="277" t="s">
        <v>586</v>
      </c>
      <c r="CN18" s="277" t="s">
        <v>586</v>
      </c>
      <c r="CO18" s="277" t="s">
        <v>586</v>
      </c>
      <c r="CP18" s="277" t="s">
        <v>586</v>
      </c>
      <c r="CQ18" s="277" t="s">
        <v>586</v>
      </c>
      <c r="CR18" s="277" t="s">
        <v>586</v>
      </c>
      <c r="CS18" s="277" t="s">
        <v>586</v>
      </c>
      <c r="CT18" s="277" t="s">
        <v>586</v>
      </c>
      <c r="CU18" s="277" t="s">
        <v>586</v>
      </c>
      <c r="CV18" s="277" t="s">
        <v>586</v>
      </c>
      <c r="CW18" s="277" t="s">
        <v>586</v>
      </c>
      <c r="CX18" s="277" t="s">
        <v>586</v>
      </c>
      <c r="CY18" s="277" t="s">
        <v>586</v>
      </c>
      <c r="CZ18" s="277" t="s">
        <v>586</v>
      </c>
      <c r="DA18" s="277" t="s">
        <v>586</v>
      </c>
      <c r="DB18" s="277" t="s">
        <v>586</v>
      </c>
      <c r="DC18" s="277" t="s">
        <v>586</v>
      </c>
      <c r="DD18" s="277" t="s">
        <v>586</v>
      </c>
      <c r="DE18" s="277" t="s">
        <v>586</v>
      </c>
      <c r="DF18" s="277" t="s">
        <v>586</v>
      </c>
      <c r="DG18" s="277" t="s">
        <v>586</v>
      </c>
      <c r="DH18" s="277" t="s">
        <v>586</v>
      </c>
      <c r="DI18" s="277" t="s">
        <v>586</v>
      </c>
      <c r="DJ18" s="277" t="s">
        <v>586</v>
      </c>
      <c r="DK18" s="277" t="s">
        <v>586</v>
      </c>
      <c r="DL18" s="277" t="s">
        <v>586</v>
      </c>
      <c r="DM18" s="277" t="s">
        <v>586</v>
      </c>
      <c r="DN18" s="277" t="s">
        <v>586</v>
      </c>
      <c r="DO18" s="277" t="s">
        <v>586</v>
      </c>
      <c r="DP18" s="277" t="s">
        <v>586</v>
      </c>
      <c r="DQ18" s="277" t="s">
        <v>586</v>
      </c>
      <c r="DR18" s="277" t="s">
        <v>586</v>
      </c>
      <c r="DS18" s="277" t="s">
        <v>586</v>
      </c>
      <c r="DT18" s="277" t="s">
        <v>586</v>
      </c>
      <c r="DU18" s="277" t="s">
        <v>586</v>
      </c>
      <c r="DV18" s="277" t="s">
        <v>586</v>
      </c>
      <c r="DW18" s="277" t="s">
        <v>586</v>
      </c>
      <c r="DX18" s="277" t="s">
        <v>586</v>
      </c>
      <c r="DY18" s="277" t="s">
        <v>586</v>
      </c>
      <c r="DZ18" s="277" t="s">
        <v>586</v>
      </c>
      <c r="EA18" s="277" t="s">
        <v>586</v>
      </c>
      <c r="EB18" s="277" t="s">
        <v>586</v>
      </c>
      <c r="EC18" s="277" t="s">
        <v>586</v>
      </c>
      <c r="ED18" s="277" t="s">
        <v>586</v>
      </c>
      <c r="EE18" s="277" t="s">
        <v>586</v>
      </c>
      <c r="EF18" s="277" t="s">
        <v>586</v>
      </c>
      <c r="EG18" s="277" t="s">
        <v>586</v>
      </c>
      <c r="EH18" s="277" t="s">
        <v>586</v>
      </c>
      <c r="EI18" s="277" t="s">
        <v>586</v>
      </c>
      <c r="EJ18" s="277" t="s">
        <v>586</v>
      </c>
      <c r="EK18" s="277" t="s">
        <v>586</v>
      </c>
      <c r="EL18" s="277" t="s">
        <v>586</v>
      </c>
      <c r="EM18" s="277" t="s">
        <v>586</v>
      </c>
      <c r="EN18" s="277" t="s">
        <v>586</v>
      </c>
      <c r="EO18" s="277" t="s">
        <v>586</v>
      </c>
      <c r="EP18" s="277" t="s">
        <v>586</v>
      </c>
      <c r="EQ18" s="277" t="s">
        <v>586</v>
      </c>
      <c r="ER18" s="277" t="s">
        <v>586</v>
      </c>
      <c r="ES18" s="277" t="s">
        <v>586</v>
      </c>
      <c r="ET18" s="277" t="s">
        <v>586</v>
      </c>
      <c r="EU18" s="277" t="s">
        <v>586</v>
      </c>
      <c r="EV18" s="277" t="s">
        <v>586</v>
      </c>
      <c r="EW18" s="277" t="s">
        <v>586</v>
      </c>
      <c r="EX18" s="277" t="s">
        <v>586</v>
      </c>
      <c r="EY18" s="277" t="s">
        <v>586</v>
      </c>
      <c r="EZ18" s="277" t="s">
        <v>586</v>
      </c>
      <c r="FA18" s="277" t="s">
        <v>586</v>
      </c>
      <c r="FB18" s="277" t="s">
        <v>586</v>
      </c>
      <c r="FC18" s="277" t="s">
        <v>586</v>
      </c>
      <c r="FD18" s="277" t="s">
        <v>586</v>
      </c>
      <c r="FE18" s="277" t="s">
        <v>586</v>
      </c>
      <c r="FF18" s="277" t="s">
        <v>586</v>
      </c>
      <c r="FG18" s="277" t="s">
        <v>586</v>
      </c>
      <c r="FH18" s="277" t="s">
        <v>586</v>
      </c>
      <c r="FI18" s="277" t="s">
        <v>586</v>
      </c>
      <c r="FJ18" s="277" t="s">
        <v>586</v>
      </c>
      <c r="FK18" s="277" t="s">
        <v>586</v>
      </c>
      <c r="FL18" s="277" t="s">
        <v>586</v>
      </c>
      <c r="FM18" s="277" t="s">
        <v>586</v>
      </c>
      <c r="FN18" s="277" t="s">
        <v>586</v>
      </c>
      <c r="FO18" s="277" t="s">
        <v>586</v>
      </c>
      <c r="FP18" s="277" t="s">
        <v>586</v>
      </c>
      <c r="FQ18" s="277" t="s">
        <v>586</v>
      </c>
      <c r="FR18" s="277" t="s">
        <v>586</v>
      </c>
    </row>
    <row r="19" spans="1:174" s="89" customFormat="1" ht="62.45" customHeight="1" x14ac:dyDescent="0.25">
      <c r="A19" s="491"/>
      <c r="B19" s="491"/>
      <c r="C19" s="491"/>
      <c r="D19" s="491"/>
      <c r="E19" s="494"/>
      <c r="F19" s="234" t="s">
        <v>88</v>
      </c>
      <c r="G19" s="234" t="s">
        <v>89</v>
      </c>
      <c r="H19" s="512"/>
      <c r="I19" s="274" t="s">
        <v>670</v>
      </c>
      <c r="J19" s="492"/>
      <c r="K19" s="492"/>
      <c r="L19" s="499"/>
      <c r="M19" s="497"/>
      <c r="N19" s="497"/>
      <c r="O19" s="492"/>
      <c r="P19" s="497"/>
      <c r="Q19" s="497"/>
      <c r="R19" s="492"/>
      <c r="S19" s="497"/>
      <c r="T19" s="497"/>
      <c r="U19" s="492"/>
      <c r="V19" s="497"/>
      <c r="W19" s="497"/>
      <c r="X19" s="492"/>
      <c r="Y19" s="497"/>
      <c r="Z19" s="497"/>
      <c r="AA19" s="492"/>
      <c r="AB19" s="497"/>
      <c r="AC19" s="497"/>
      <c r="AD19" s="492"/>
      <c r="AE19" s="497"/>
      <c r="AF19" s="502"/>
      <c r="AG19" s="492"/>
      <c r="AH19" s="497"/>
      <c r="AI19" s="502"/>
      <c r="AJ19" s="492"/>
      <c r="AK19" s="497"/>
      <c r="AL19" s="502"/>
      <c r="AM19" s="492"/>
      <c r="AN19" s="497"/>
      <c r="AO19" s="502"/>
      <c r="AP19" s="492"/>
      <c r="AQ19" s="497"/>
      <c r="AR19" s="502"/>
      <c r="AS19" s="492"/>
      <c r="AT19" s="497"/>
      <c r="AU19" s="502"/>
      <c r="AV19" s="492"/>
      <c r="AW19" s="234" t="s">
        <v>671</v>
      </c>
      <c r="AX19" s="234" t="s">
        <v>672</v>
      </c>
      <c r="AY19" s="103">
        <v>350</v>
      </c>
      <c r="AZ19" s="135">
        <v>0</v>
      </c>
      <c r="BA19" s="240" t="s">
        <v>643</v>
      </c>
      <c r="BB19" s="234" t="s">
        <v>673</v>
      </c>
      <c r="BC19" s="135">
        <v>0</v>
      </c>
      <c r="BD19" s="240" t="s">
        <v>643</v>
      </c>
      <c r="BE19" s="234" t="s">
        <v>674</v>
      </c>
      <c r="BF19" s="240" t="s">
        <v>643</v>
      </c>
      <c r="BG19" s="240" t="s">
        <v>643</v>
      </c>
      <c r="BH19" s="234" t="s">
        <v>674</v>
      </c>
      <c r="BI19" s="135"/>
      <c r="BJ19" s="240" t="s">
        <v>643</v>
      </c>
      <c r="BK19" s="234" t="s">
        <v>920</v>
      </c>
      <c r="BL19" s="135" t="s">
        <v>643</v>
      </c>
      <c r="BM19" s="240" t="s">
        <v>643</v>
      </c>
      <c r="BN19" s="234" t="s">
        <v>954</v>
      </c>
      <c r="BO19" s="240" t="s">
        <v>643</v>
      </c>
      <c r="BP19" s="240" t="s">
        <v>643</v>
      </c>
      <c r="BQ19" s="234" t="s">
        <v>980</v>
      </c>
      <c r="BR19" s="135" t="s">
        <v>643</v>
      </c>
      <c r="BS19" s="240" t="s">
        <v>643</v>
      </c>
      <c r="BT19" s="234" t="s">
        <v>1481</v>
      </c>
      <c r="BU19" s="242">
        <v>16</v>
      </c>
      <c r="BV19" s="243">
        <v>4.5714285714285714E-2</v>
      </c>
      <c r="BW19" s="234" t="s">
        <v>1482</v>
      </c>
      <c r="BX19" s="240">
        <v>278</v>
      </c>
      <c r="BY19" s="243">
        <v>0.79428571428571426</v>
      </c>
      <c r="BZ19" s="234" t="s">
        <v>1482</v>
      </c>
      <c r="CA19" s="135">
        <v>283</v>
      </c>
      <c r="CB19" s="240">
        <v>0.80857142857142861</v>
      </c>
      <c r="CC19" s="234" t="s">
        <v>1877</v>
      </c>
      <c r="CD19" s="242">
        <v>350</v>
      </c>
      <c r="CE19" s="243">
        <v>1</v>
      </c>
      <c r="CF19" s="234" t="s">
        <v>1878</v>
      </c>
      <c r="CG19" s="240">
        <v>350</v>
      </c>
      <c r="CH19" s="243">
        <v>1</v>
      </c>
      <c r="CI19" s="234" t="s">
        <v>1879</v>
      </c>
      <c r="CJ19" s="234" t="s">
        <v>668</v>
      </c>
      <c r="CK19" s="234" t="s">
        <v>669</v>
      </c>
      <c r="CL19" s="277" t="s">
        <v>586</v>
      </c>
      <c r="CM19" s="277" t="s">
        <v>586</v>
      </c>
      <c r="CN19" s="277" t="s">
        <v>586</v>
      </c>
      <c r="CO19" s="277" t="s">
        <v>586</v>
      </c>
      <c r="CP19" s="277" t="s">
        <v>586</v>
      </c>
      <c r="CQ19" s="277" t="s">
        <v>586</v>
      </c>
      <c r="CR19" s="277" t="s">
        <v>586</v>
      </c>
      <c r="CS19" s="277" t="s">
        <v>586</v>
      </c>
      <c r="CT19" s="277" t="s">
        <v>586</v>
      </c>
      <c r="CU19" s="277" t="s">
        <v>586</v>
      </c>
      <c r="CV19" s="277" t="s">
        <v>586</v>
      </c>
      <c r="CW19" s="277" t="s">
        <v>586</v>
      </c>
      <c r="CX19" s="277" t="s">
        <v>586</v>
      </c>
      <c r="CY19" s="277" t="s">
        <v>586</v>
      </c>
      <c r="CZ19" s="277" t="s">
        <v>586</v>
      </c>
      <c r="DA19" s="277" t="s">
        <v>586</v>
      </c>
      <c r="DB19" s="277" t="s">
        <v>586</v>
      </c>
      <c r="DC19" s="277" t="s">
        <v>586</v>
      </c>
      <c r="DD19" s="277" t="s">
        <v>586</v>
      </c>
      <c r="DE19" s="277" t="s">
        <v>586</v>
      </c>
      <c r="DF19" s="277" t="s">
        <v>586</v>
      </c>
      <c r="DG19" s="277" t="s">
        <v>586</v>
      </c>
      <c r="DH19" s="277" t="s">
        <v>586</v>
      </c>
      <c r="DI19" s="277" t="s">
        <v>586</v>
      </c>
      <c r="DJ19" s="277" t="s">
        <v>586</v>
      </c>
      <c r="DK19" s="277" t="s">
        <v>586</v>
      </c>
      <c r="DL19" s="277" t="s">
        <v>586</v>
      </c>
      <c r="DM19" s="277" t="s">
        <v>586</v>
      </c>
      <c r="DN19" s="277" t="s">
        <v>586</v>
      </c>
      <c r="DO19" s="277" t="s">
        <v>586</v>
      </c>
      <c r="DP19" s="277" t="s">
        <v>586</v>
      </c>
      <c r="DQ19" s="277" t="s">
        <v>586</v>
      </c>
      <c r="DR19" s="277" t="s">
        <v>586</v>
      </c>
      <c r="DS19" s="277" t="s">
        <v>586</v>
      </c>
      <c r="DT19" s="277" t="s">
        <v>586</v>
      </c>
      <c r="DU19" s="277" t="s">
        <v>586</v>
      </c>
      <c r="DV19" s="277" t="s">
        <v>586</v>
      </c>
      <c r="DW19" s="277" t="s">
        <v>586</v>
      </c>
      <c r="DX19" s="277" t="s">
        <v>586</v>
      </c>
      <c r="DY19" s="277" t="s">
        <v>586</v>
      </c>
      <c r="DZ19" s="277" t="s">
        <v>586</v>
      </c>
      <c r="EA19" s="277" t="s">
        <v>586</v>
      </c>
      <c r="EB19" s="277" t="s">
        <v>586</v>
      </c>
      <c r="EC19" s="277" t="s">
        <v>586</v>
      </c>
      <c r="ED19" s="277" t="s">
        <v>586</v>
      </c>
      <c r="EE19" s="277" t="s">
        <v>586</v>
      </c>
      <c r="EF19" s="277" t="s">
        <v>586</v>
      </c>
      <c r="EG19" s="277" t="s">
        <v>586</v>
      </c>
      <c r="EH19" s="277" t="s">
        <v>586</v>
      </c>
      <c r="EI19" s="277" t="s">
        <v>586</v>
      </c>
      <c r="EJ19" s="277" t="s">
        <v>586</v>
      </c>
      <c r="EK19" s="277" t="s">
        <v>586</v>
      </c>
      <c r="EL19" s="277" t="s">
        <v>586</v>
      </c>
      <c r="EM19" s="277" t="s">
        <v>586</v>
      </c>
      <c r="EN19" s="277" t="s">
        <v>586</v>
      </c>
      <c r="EO19" s="277" t="s">
        <v>586</v>
      </c>
      <c r="EP19" s="277" t="s">
        <v>586</v>
      </c>
      <c r="EQ19" s="277" t="s">
        <v>586</v>
      </c>
      <c r="ER19" s="277" t="s">
        <v>586</v>
      </c>
      <c r="ES19" s="277" t="s">
        <v>586</v>
      </c>
      <c r="ET19" s="277" t="s">
        <v>586</v>
      </c>
      <c r="EU19" s="277" t="s">
        <v>586</v>
      </c>
      <c r="EV19" s="277" t="s">
        <v>586</v>
      </c>
      <c r="EW19" s="277" t="s">
        <v>586</v>
      </c>
      <c r="EX19" s="277" t="s">
        <v>586</v>
      </c>
      <c r="EY19" s="277" t="s">
        <v>586</v>
      </c>
      <c r="EZ19" s="277" t="s">
        <v>586</v>
      </c>
      <c r="FA19" s="277" t="s">
        <v>586</v>
      </c>
      <c r="FB19" s="277" t="s">
        <v>586</v>
      </c>
      <c r="FC19" s="277" t="s">
        <v>586</v>
      </c>
      <c r="FD19" s="277" t="s">
        <v>586</v>
      </c>
      <c r="FE19" s="277" t="s">
        <v>586</v>
      </c>
      <c r="FF19" s="277" t="s">
        <v>586</v>
      </c>
      <c r="FG19" s="277" t="s">
        <v>586</v>
      </c>
      <c r="FH19" s="277" t="s">
        <v>586</v>
      </c>
      <c r="FI19" s="277" t="s">
        <v>586</v>
      </c>
      <c r="FJ19" s="277" t="s">
        <v>586</v>
      </c>
      <c r="FK19" s="277" t="s">
        <v>586</v>
      </c>
      <c r="FL19" s="277" t="s">
        <v>586</v>
      </c>
      <c r="FM19" s="277" t="s">
        <v>586</v>
      </c>
      <c r="FN19" s="277" t="s">
        <v>586</v>
      </c>
      <c r="FO19" s="277" t="s">
        <v>586</v>
      </c>
      <c r="FP19" s="277" t="s">
        <v>586</v>
      </c>
      <c r="FQ19" s="277" t="s">
        <v>586</v>
      </c>
      <c r="FR19" s="277" t="s">
        <v>586</v>
      </c>
    </row>
    <row r="20" spans="1:174" s="89" customFormat="1" ht="33.75" customHeight="1" x14ac:dyDescent="0.25">
      <c r="A20" s="491"/>
      <c r="B20" s="491"/>
      <c r="C20" s="491"/>
      <c r="D20" s="491"/>
      <c r="E20" s="494"/>
      <c r="F20" s="234" t="s">
        <v>610</v>
      </c>
      <c r="G20" s="234" t="s">
        <v>611</v>
      </c>
      <c r="H20" s="512"/>
      <c r="I20" s="274" t="s">
        <v>675</v>
      </c>
      <c r="J20" s="491" t="s">
        <v>676</v>
      </c>
      <c r="K20" s="491" t="s">
        <v>677</v>
      </c>
      <c r="L20" s="498">
        <v>1</v>
      </c>
      <c r="M20" s="496">
        <v>0.08</v>
      </c>
      <c r="N20" s="496">
        <v>0.08</v>
      </c>
      <c r="O20" s="491" t="s">
        <v>678</v>
      </c>
      <c r="P20" s="496">
        <v>0.17</v>
      </c>
      <c r="Q20" s="496">
        <v>0.17</v>
      </c>
      <c r="R20" s="491" t="s">
        <v>679</v>
      </c>
      <c r="S20" s="496">
        <v>0.26</v>
      </c>
      <c r="T20" s="496">
        <v>0.26</v>
      </c>
      <c r="U20" s="491" t="s">
        <v>680</v>
      </c>
      <c r="V20" s="496">
        <v>0.32140000000000002</v>
      </c>
      <c r="W20" s="496">
        <v>0.32140000000000002</v>
      </c>
      <c r="X20" s="491" t="s">
        <v>921</v>
      </c>
      <c r="Y20" s="496">
        <v>0.35709999999999997</v>
      </c>
      <c r="Z20" s="496">
        <v>0.35709999999999997</v>
      </c>
      <c r="AA20" s="490" t="s">
        <v>942</v>
      </c>
      <c r="AB20" s="496">
        <v>0.38990000000000002</v>
      </c>
      <c r="AC20" s="496">
        <v>0.38990000000000002</v>
      </c>
      <c r="AD20" s="491" t="s">
        <v>966</v>
      </c>
      <c r="AE20" s="496">
        <v>0.53300000000000003</v>
      </c>
      <c r="AF20" s="496">
        <v>0.53300000000000003</v>
      </c>
      <c r="AG20" s="490" t="s">
        <v>1483</v>
      </c>
      <c r="AH20" s="496">
        <v>0.6462</v>
      </c>
      <c r="AI20" s="496">
        <v>0.6462</v>
      </c>
      <c r="AJ20" s="490" t="s">
        <v>1484</v>
      </c>
      <c r="AK20" s="496">
        <v>0.70730000000000004</v>
      </c>
      <c r="AL20" s="496">
        <v>0.70730000000000004</v>
      </c>
      <c r="AM20" s="491" t="s">
        <v>1485</v>
      </c>
      <c r="AN20" s="496">
        <v>0.77249999999999996</v>
      </c>
      <c r="AO20" s="496">
        <v>0.77249999999999996</v>
      </c>
      <c r="AP20" s="490" t="s">
        <v>1880</v>
      </c>
      <c r="AQ20" s="496">
        <v>0.85440000000000005</v>
      </c>
      <c r="AR20" s="496">
        <v>0.85440000000000005</v>
      </c>
      <c r="AS20" s="490" t="s">
        <v>1881</v>
      </c>
      <c r="AT20" s="496">
        <v>0.99590000000000001</v>
      </c>
      <c r="AU20" s="496">
        <v>0.99590000000000001</v>
      </c>
      <c r="AV20" s="491" t="s">
        <v>1882</v>
      </c>
      <c r="AW20" s="234" t="s">
        <v>681</v>
      </c>
      <c r="AX20" s="234" t="s">
        <v>682</v>
      </c>
      <c r="AY20" s="96">
        <v>1</v>
      </c>
      <c r="AZ20" s="135">
        <v>7.0000000000000007E-2</v>
      </c>
      <c r="BA20" s="135">
        <v>7.0000000000000007E-2</v>
      </c>
      <c r="BB20" s="234" t="s">
        <v>683</v>
      </c>
      <c r="BC20" s="135">
        <v>0.16</v>
      </c>
      <c r="BD20" s="135">
        <v>0.16</v>
      </c>
      <c r="BE20" s="234" t="s">
        <v>684</v>
      </c>
      <c r="BF20" s="135">
        <v>0.22</v>
      </c>
      <c r="BG20" s="135">
        <v>0.22</v>
      </c>
      <c r="BH20" s="234" t="s">
        <v>685</v>
      </c>
      <c r="BI20" s="135">
        <v>0.27129999999999999</v>
      </c>
      <c r="BJ20" s="135">
        <v>0.27129999999999999</v>
      </c>
      <c r="BK20" s="234" t="s">
        <v>932</v>
      </c>
      <c r="BL20" s="135">
        <v>0.32379999999999998</v>
      </c>
      <c r="BM20" s="135">
        <v>0.32379999999999998</v>
      </c>
      <c r="BN20" s="234" t="s">
        <v>955</v>
      </c>
      <c r="BO20" s="135">
        <v>0.38850000000000001</v>
      </c>
      <c r="BP20" s="135">
        <v>0.38850000000000001</v>
      </c>
      <c r="BQ20" s="234" t="s">
        <v>981</v>
      </c>
      <c r="BR20" s="135">
        <v>0.4713</v>
      </c>
      <c r="BS20" s="135">
        <v>0.4713</v>
      </c>
      <c r="BT20" s="234"/>
      <c r="BU20" s="135">
        <v>0.5837</v>
      </c>
      <c r="BV20" s="135">
        <v>0.5837</v>
      </c>
      <c r="BW20" s="234" t="s">
        <v>1486</v>
      </c>
      <c r="BX20" s="135">
        <v>0.68569999999999998</v>
      </c>
      <c r="BY20" s="135">
        <v>0.68569999999999998</v>
      </c>
      <c r="BZ20" s="234" t="s">
        <v>1487</v>
      </c>
      <c r="CA20" s="135">
        <v>0.80769999999999997</v>
      </c>
      <c r="CB20" s="135">
        <v>0.80769999999999997</v>
      </c>
      <c r="CC20" s="234" t="s">
        <v>1883</v>
      </c>
      <c r="CD20" s="135">
        <v>0.93969999999999998</v>
      </c>
      <c r="CE20" s="135">
        <v>0.93969999999999998</v>
      </c>
      <c r="CF20" s="234" t="s">
        <v>1884</v>
      </c>
      <c r="CG20" s="135">
        <v>1</v>
      </c>
      <c r="CH20" s="135">
        <v>1</v>
      </c>
      <c r="CI20" s="234" t="s">
        <v>1885</v>
      </c>
      <c r="CJ20" s="234" t="s">
        <v>668</v>
      </c>
      <c r="CK20" s="234" t="s">
        <v>669</v>
      </c>
      <c r="CL20" s="277" t="s">
        <v>586</v>
      </c>
      <c r="CM20" s="277" t="s">
        <v>586</v>
      </c>
      <c r="CN20" s="277" t="s">
        <v>586</v>
      </c>
      <c r="CO20" s="277" t="s">
        <v>586</v>
      </c>
      <c r="CP20" s="277" t="s">
        <v>586</v>
      </c>
      <c r="CQ20" s="277" t="s">
        <v>586</v>
      </c>
      <c r="CR20" s="277" t="s">
        <v>586</v>
      </c>
      <c r="CS20" s="277" t="s">
        <v>586</v>
      </c>
      <c r="CT20" s="277" t="s">
        <v>586</v>
      </c>
      <c r="CU20" s="277" t="s">
        <v>586</v>
      </c>
      <c r="CV20" s="277" t="s">
        <v>586</v>
      </c>
      <c r="CW20" s="277" t="s">
        <v>586</v>
      </c>
      <c r="CX20" s="277" t="s">
        <v>586</v>
      </c>
      <c r="CY20" s="277" t="s">
        <v>586</v>
      </c>
      <c r="CZ20" s="277" t="s">
        <v>586</v>
      </c>
      <c r="DA20" s="277" t="s">
        <v>586</v>
      </c>
      <c r="DB20" s="277" t="s">
        <v>586</v>
      </c>
      <c r="DC20" s="277" t="s">
        <v>586</v>
      </c>
      <c r="DD20" s="277" t="s">
        <v>586</v>
      </c>
      <c r="DE20" s="277" t="s">
        <v>586</v>
      </c>
      <c r="DF20" s="277" t="s">
        <v>586</v>
      </c>
      <c r="DG20" s="277" t="s">
        <v>586</v>
      </c>
      <c r="DH20" s="277" t="s">
        <v>586</v>
      </c>
      <c r="DI20" s="277" t="s">
        <v>586</v>
      </c>
      <c r="DJ20" s="277" t="s">
        <v>586</v>
      </c>
      <c r="DK20" s="277" t="s">
        <v>586</v>
      </c>
      <c r="DL20" s="277" t="s">
        <v>586</v>
      </c>
      <c r="DM20" s="277" t="s">
        <v>586</v>
      </c>
      <c r="DN20" s="277" t="s">
        <v>586</v>
      </c>
      <c r="DO20" s="277" t="s">
        <v>586</v>
      </c>
      <c r="DP20" s="277" t="s">
        <v>586</v>
      </c>
      <c r="DQ20" s="277" t="s">
        <v>586</v>
      </c>
      <c r="DR20" s="277" t="s">
        <v>586</v>
      </c>
      <c r="DS20" s="277" t="s">
        <v>586</v>
      </c>
      <c r="DT20" s="277" t="s">
        <v>586</v>
      </c>
      <c r="DU20" s="277" t="s">
        <v>586</v>
      </c>
      <c r="DV20" s="277" t="s">
        <v>586</v>
      </c>
      <c r="DW20" s="277" t="s">
        <v>586</v>
      </c>
      <c r="DX20" s="277" t="s">
        <v>586</v>
      </c>
      <c r="DY20" s="277" t="s">
        <v>586</v>
      </c>
      <c r="DZ20" s="277" t="s">
        <v>586</v>
      </c>
      <c r="EA20" s="277" t="s">
        <v>586</v>
      </c>
      <c r="EB20" s="277" t="s">
        <v>586</v>
      </c>
      <c r="EC20" s="277" t="s">
        <v>586</v>
      </c>
      <c r="ED20" s="277" t="s">
        <v>586</v>
      </c>
      <c r="EE20" s="277" t="s">
        <v>586</v>
      </c>
      <c r="EF20" s="277" t="s">
        <v>586</v>
      </c>
      <c r="EG20" s="277" t="s">
        <v>586</v>
      </c>
      <c r="EH20" s="277" t="s">
        <v>586</v>
      </c>
      <c r="EI20" s="277" t="s">
        <v>586</v>
      </c>
      <c r="EJ20" s="277" t="s">
        <v>586</v>
      </c>
      <c r="EK20" s="277" t="s">
        <v>586</v>
      </c>
      <c r="EL20" s="277" t="s">
        <v>586</v>
      </c>
      <c r="EM20" s="277" t="s">
        <v>586</v>
      </c>
      <c r="EN20" s="277" t="s">
        <v>586</v>
      </c>
      <c r="EO20" s="277" t="s">
        <v>586</v>
      </c>
      <c r="EP20" s="277" t="s">
        <v>586</v>
      </c>
      <c r="EQ20" s="277" t="s">
        <v>586</v>
      </c>
      <c r="ER20" s="277" t="s">
        <v>586</v>
      </c>
      <c r="ES20" s="277" t="s">
        <v>586</v>
      </c>
      <c r="ET20" s="277" t="s">
        <v>586</v>
      </c>
      <c r="EU20" s="277" t="s">
        <v>586</v>
      </c>
      <c r="EV20" s="277" t="s">
        <v>586</v>
      </c>
      <c r="EW20" s="277" t="s">
        <v>586</v>
      </c>
      <c r="EX20" s="277" t="s">
        <v>586</v>
      </c>
      <c r="EY20" s="277" t="s">
        <v>586</v>
      </c>
      <c r="EZ20" s="277" t="s">
        <v>586</v>
      </c>
      <c r="FA20" s="277" t="s">
        <v>586</v>
      </c>
      <c r="FB20" s="277" t="s">
        <v>586</v>
      </c>
      <c r="FC20" s="277" t="s">
        <v>586</v>
      </c>
      <c r="FD20" s="277" t="s">
        <v>586</v>
      </c>
      <c r="FE20" s="277" t="s">
        <v>586</v>
      </c>
      <c r="FF20" s="277" t="s">
        <v>586</v>
      </c>
      <c r="FG20" s="277" t="s">
        <v>586</v>
      </c>
      <c r="FH20" s="277" t="s">
        <v>586</v>
      </c>
      <c r="FI20" s="277" t="s">
        <v>586</v>
      </c>
      <c r="FJ20" s="277" t="s">
        <v>586</v>
      </c>
      <c r="FK20" s="277" t="s">
        <v>586</v>
      </c>
      <c r="FL20" s="277" t="s">
        <v>586</v>
      </c>
      <c r="FM20" s="277" t="s">
        <v>586</v>
      </c>
      <c r="FN20" s="277" t="s">
        <v>586</v>
      </c>
      <c r="FO20" s="277" t="s">
        <v>586</v>
      </c>
      <c r="FP20" s="277" t="s">
        <v>586</v>
      </c>
      <c r="FQ20" s="277" t="s">
        <v>586</v>
      </c>
      <c r="FR20" s="277" t="s">
        <v>586</v>
      </c>
    </row>
    <row r="21" spans="1:174" s="89" customFormat="1" ht="73.5" customHeight="1" x14ac:dyDescent="0.25">
      <c r="A21" s="492"/>
      <c r="B21" s="492"/>
      <c r="C21" s="492"/>
      <c r="D21" s="492"/>
      <c r="E21" s="495"/>
      <c r="F21" s="234" t="s">
        <v>88</v>
      </c>
      <c r="G21" s="234" t="s">
        <v>89</v>
      </c>
      <c r="H21" s="512"/>
      <c r="I21" s="274" t="s">
        <v>686</v>
      </c>
      <c r="J21" s="492"/>
      <c r="K21" s="492"/>
      <c r="L21" s="499"/>
      <c r="M21" s="497"/>
      <c r="N21" s="497"/>
      <c r="O21" s="492"/>
      <c r="P21" s="497"/>
      <c r="Q21" s="497"/>
      <c r="R21" s="492"/>
      <c r="S21" s="497"/>
      <c r="T21" s="497"/>
      <c r="U21" s="492"/>
      <c r="V21" s="497"/>
      <c r="W21" s="497"/>
      <c r="X21" s="492"/>
      <c r="Y21" s="497"/>
      <c r="Z21" s="497"/>
      <c r="AA21" s="492"/>
      <c r="AB21" s="497"/>
      <c r="AC21" s="497"/>
      <c r="AD21" s="492"/>
      <c r="AE21" s="497"/>
      <c r="AF21" s="497"/>
      <c r="AG21" s="492"/>
      <c r="AH21" s="497"/>
      <c r="AI21" s="497"/>
      <c r="AJ21" s="492"/>
      <c r="AK21" s="497"/>
      <c r="AL21" s="497"/>
      <c r="AM21" s="492"/>
      <c r="AN21" s="497"/>
      <c r="AO21" s="497"/>
      <c r="AP21" s="492"/>
      <c r="AQ21" s="497"/>
      <c r="AR21" s="497"/>
      <c r="AS21" s="492"/>
      <c r="AT21" s="497"/>
      <c r="AU21" s="497"/>
      <c r="AV21" s="492"/>
      <c r="AW21" s="234" t="s">
        <v>687</v>
      </c>
      <c r="AX21" s="234" t="s">
        <v>688</v>
      </c>
      <c r="AY21" s="96">
        <v>1</v>
      </c>
      <c r="AZ21" s="135">
        <v>0.05</v>
      </c>
      <c r="BA21" s="135">
        <v>0.05</v>
      </c>
      <c r="BB21" s="234" t="s">
        <v>666</v>
      </c>
      <c r="BC21" s="240" t="s">
        <v>643</v>
      </c>
      <c r="BD21" s="240" t="s">
        <v>643</v>
      </c>
      <c r="BE21" s="234" t="s">
        <v>689</v>
      </c>
      <c r="BF21" s="240" t="s">
        <v>643</v>
      </c>
      <c r="BG21" s="240" t="s">
        <v>643</v>
      </c>
      <c r="BH21" s="234" t="s">
        <v>690</v>
      </c>
      <c r="BI21" s="235" t="s">
        <v>643</v>
      </c>
      <c r="BJ21" s="235" t="s">
        <v>643</v>
      </c>
      <c r="BK21" s="239" t="s">
        <v>689</v>
      </c>
      <c r="BL21" s="235" t="s">
        <v>643</v>
      </c>
      <c r="BM21" s="235" t="s">
        <v>643</v>
      </c>
      <c r="BN21" s="239" t="s">
        <v>690</v>
      </c>
      <c r="BO21" s="235" t="s">
        <v>643</v>
      </c>
      <c r="BP21" s="235" t="s">
        <v>643</v>
      </c>
      <c r="BQ21" s="239" t="s">
        <v>690</v>
      </c>
      <c r="BR21" s="235" t="s">
        <v>643</v>
      </c>
      <c r="BS21" s="235" t="s">
        <v>643</v>
      </c>
      <c r="BT21" s="239" t="s">
        <v>689</v>
      </c>
      <c r="BU21" s="235" t="s">
        <v>643</v>
      </c>
      <c r="BV21" s="235" t="s">
        <v>643</v>
      </c>
      <c r="BW21" s="239" t="s">
        <v>690</v>
      </c>
      <c r="BX21" s="235" t="s">
        <v>643</v>
      </c>
      <c r="BY21" s="235" t="s">
        <v>643</v>
      </c>
      <c r="BZ21" s="239" t="s">
        <v>690</v>
      </c>
      <c r="CA21" s="235" t="s">
        <v>643</v>
      </c>
      <c r="CB21" s="235" t="s">
        <v>643</v>
      </c>
      <c r="CC21" s="239" t="s">
        <v>689</v>
      </c>
      <c r="CD21" s="235" t="s">
        <v>643</v>
      </c>
      <c r="CE21" s="235" t="s">
        <v>643</v>
      </c>
      <c r="CF21" s="239" t="s">
        <v>690</v>
      </c>
      <c r="CG21" s="235" t="s">
        <v>643</v>
      </c>
      <c r="CH21" s="235" t="s">
        <v>643</v>
      </c>
      <c r="CI21" s="239" t="s">
        <v>690</v>
      </c>
      <c r="CJ21" s="234" t="s">
        <v>668</v>
      </c>
      <c r="CK21" s="234" t="s">
        <v>669</v>
      </c>
      <c r="CL21" s="277" t="s">
        <v>586</v>
      </c>
      <c r="CM21" s="277" t="s">
        <v>586</v>
      </c>
      <c r="CN21" s="277" t="s">
        <v>586</v>
      </c>
      <c r="CO21" s="277" t="s">
        <v>586</v>
      </c>
      <c r="CP21" s="277" t="s">
        <v>586</v>
      </c>
      <c r="CQ21" s="277" t="s">
        <v>586</v>
      </c>
      <c r="CR21" s="277" t="s">
        <v>586</v>
      </c>
      <c r="CS21" s="277" t="s">
        <v>586</v>
      </c>
      <c r="CT21" s="277" t="s">
        <v>586</v>
      </c>
      <c r="CU21" s="277" t="s">
        <v>586</v>
      </c>
      <c r="CV21" s="277" t="s">
        <v>586</v>
      </c>
      <c r="CW21" s="277" t="s">
        <v>586</v>
      </c>
      <c r="CX21" s="277" t="s">
        <v>586</v>
      </c>
      <c r="CY21" s="277" t="s">
        <v>586</v>
      </c>
      <c r="CZ21" s="277" t="s">
        <v>586</v>
      </c>
      <c r="DA21" s="277" t="s">
        <v>586</v>
      </c>
      <c r="DB21" s="277" t="s">
        <v>586</v>
      </c>
      <c r="DC21" s="277" t="s">
        <v>586</v>
      </c>
      <c r="DD21" s="277" t="s">
        <v>586</v>
      </c>
      <c r="DE21" s="277" t="s">
        <v>586</v>
      </c>
      <c r="DF21" s="277" t="s">
        <v>586</v>
      </c>
      <c r="DG21" s="277" t="s">
        <v>586</v>
      </c>
      <c r="DH21" s="277" t="s">
        <v>586</v>
      </c>
      <c r="DI21" s="277" t="s">
        <v>586</v>
      </c>
      <c r="DJ21" s="277" t="s">
        <v>586</v>
      </c>
      <c r="DK21" s="277" t="s">
        <v>586</v>
      </c>
      <c r="DL21" s="277" t="s">
        <v>586</v>
      </c>
      <c r="DM21" s="277" t="s">
        <v>586</v>
      </c>
      <c r="DN21" s="277" t="s">
        <v>586</v>
      </c>
      <c r="DO21" s="277" t="s">
        <v>586</v>
      </c>
      <c r="DP21" s="277" t="s">
        <v>586</v>
      </c>
      <c r="DQ21" s="277" t="s">
        <v>586</v>
      </c>
      <c r="DR21" s="277" t="s">
        <v>586</v>
      </c>
      <c r="DS21" s="277" t="s">
        <v>586</v>
      </c>
      <c r="DT21" s="277" t="s">
        <v>586</v>
      </c>
      <c r="DU21" s="277" t="s">
        <v>586</v>
      </c>
      <c r="DV21" s="277" t="s">
        <v>586</v>
      </c>
      <c r="DW21" s="277" t="s">
        <v>586</v>
      </c>
      <c r="DX21" s="277" t="s">
        <v>586</v>
      </c>
      <c r="DY21" s="277" t="s">
        <v>586</v>
      </c>
      <c r="DZ21" s="277" t="s">
        <v>586</v>
      </c>
      <c r="EA21" s="277" t="s">
        <v>586</v>
      </c>
      <c r="EB21" s="277" t="s">
        <v>586</v>
      </c>
      <c r="EC21" s="277" t="s">
        <v>586</v>
      </c>
      <c r="ED21" s="277" t="s">
        <v>586</v>
      </c>
      <c r="EE21" s="277" t="s">
        <v>586</v>
      </c>
      <c r="EF21" s="277" t="s">
        <v>586</v>
      </c>
      <c r="EG21" s="277" t="s">
        <v>586</v>
      </c>
      <c r="EH21" s="277" t="s">
        <v>586</v>
      </c>
      <c r="EI21" s="277" t="s">
        <v>586</v>
      </c>
      <c r="EJ21" s="277" t="s">
        <v>586</v>
      </c>
      <c r="EK21" s="277" t="s">
        <v>586</v>
      </c>
      <c r="EL21" s="277" t="s">
        <v>586</v>
      </c>
      <c r="EM21" s="277" t="s">
        <v>586</v>
      </c>
      <c r="EN21" s="277" t="s">
        <v>586</v>
      </c>
      <c r="EO21" s="277" t="s">
        <v>586</v>
      </c>
      <c r="EP21" s="277" t="s">
        <v>586</v>
      </c>
      <c r="EQ21" s="277" t="s">
        <v>586</v>
      </c>
      <c r="ER21" s="277" t="s">
        <v>586</v>
      </c>
      <c r="ES21" s="277" t="s">
        <v>586</v>
      </c>
      <c r="ET21" s="277" t="s">
        <v>586</v>
      </c>
      <c r="EU21" s="277" t="s">
        <v>586</v>
      </c>
      <c r="EV21" s="277" t="s">
        <v>586</v>
      </c>
      <c r="EW21" s="277" t="s">
        <v>586</v>
      </c>
      <c r="EX21" s="277" t="s">
        <v>586</v>
      </c>
      <c r="EY21" s="277" t="s">
        <v>586</v>
      </c>
      <c r="EZ21" s="277" t="s">
        <v>586</v>
      </c>
      <c r="FA21" s="277" t="s">
        <v>586</v>
      </c>
      <c r="FB21" s="277" t="s">
        <v>586</v>
      </c>
      <c r="FC21" s="277" t="s">
        <v>586</v>
      </c>
      <c r="FD21" s="277" t="s">
        <v>586</v>
      </c>
      <c r="FE21" s="277" t="s">
        <v>586</v>
      </c>
      <c r="FF21" s="277" t="s">
        <v>586</v>
      </c>
      <c r="FG21" s="277" t="s">
        <v>586</v>
      </c>
      <c r="FH21" s="277" t="s">
        <v>586</v>
      </c>
      <c r="FI21" s="277" t="s">
        <v>586</v>
      </c>
      <c r="FJ21" s="277" t="s">
        <v>586</v>
      </c>
      <c r="FK21" s="277" t="s">
        <v>586</v>
      </c>
      <c r="FL21" s="277" t="s">
        <v>586</v>
      </c>
      <c r="FM21" s="277" t="s">
        <v>586</v>
      </c>
      <c r="FN21" s="277" t="s">
        <v>586</v>
      </c>
      <c r="FO21" s="277" t="s">
        <v>586</v>
      </c>
      <c r="FP21" s="277" t="s">
        <v>586</v>
      </c>
      <c r="FQ21" s="277" t="s">
        <v>586</v>
      </c>
      <c r="FR21" s="277" t="s">
        <v>586</v>
      </c>
    </row>
    <row r="22" spans="1:174" s="2" customFormat="1" ht="75" customHeight="1" x14ac:dyDescent="0.25">
      <c r="A22" s="237"/>
      <c r="B22" s="237"/>
      <c r="C22" s="237"/>
      <c r="D22" s="237"/>
      <c r="E22" s="237"/>
      <c r="F22" s="237"/>
      <c r="G22" s="237"/>
      <c r="H22" s="512"/>
      <c r="I22" s="237"/>
      <c r="J22" s="237"/>
      <c r="K22" s="237"/>
      <c r="L22" s="97"/>
      <c r="M22" s="98" t="s">
        <v>161</v>
      </c>
      <c r="N22" s="99" t="s">
        <v>691</v>
      </c>
      <c r="O22" s="91"/>
      <c r="P22" s="98" t="s">
        <v>161</v>
      </c>
      <c r="Q22" s="99" t="s">
        <v>692</v>
      </c>
      <c r="R22" s="91"/>
      <c r="S22" s="98" t="s">
        <v>161</v>
      </c>
      <c r="T22" s="99" t="s">
        <v>693</v>
      </c>
      <c r="U22" s="91"/>
      <c r="V22" s="98" t="s">
        <v>161</v>
      </c>
      <c r="W22" s="136">
        <f>+AVERAGE(W18:W21)</f>
        <v>0.32140000000000002</v>
      </c>
      <c r="X22" s="91"/>
      <c r="Y22" s="98" t="s">
        <v>161</v>
      </c>
      <c r="Z22" s="136">
        <f>+AVERAGE(Z18:Z21)</f>
        <v>0.20354999999999998</v>
      </c>
      <c r="AA22" s="91"/>
      <c r="AB22" s="98" t="s">
        <v>161</v>
      </c>
      <c r="AC22" s="136">
        <f>+AVERAGE(AC18:AC21)</f>
        <v>0.21995000000000001</v>
      </c>
      <c r="AD22" s="91"/>
      <c r="AE22" s="98" t="s">
        <v>161</v>
      </c>
      <c r="AF22" s="136">
        <f>+AVERAGE(AF18:AF21)</f>
        <v>0.32650000000000001</v>
      </c>
      <c r="AG22" s="91"/>
      <c r="AH22" s="98" t="s">
        <v>161</v>
      </c>
      <c r="AI22" s="136">
        <f>+AVERAGE(AI18:AI21)</f>
        <v>0.40110000000000001</v>
      </c>
      <c r="AJ22" s="91"/>
      <c r="AK22" s="98" t="s">
        <v>161</v>
      </c>
      <c r="AL22" s="136">
        <f>+AVERAGE(AL18:AL21)</f>
        <v>0.55115000000000003</v>
      </c>
      <c r="AM22" s="91"/>
      <c r="AN22" s="98" t="s">
        <v>161</v>
      </c>
      <c r="AO22" s="136">
        <f>+AVERAGE(AO18:AO21)</f>
        <v>0.65449999999999997</v>
      </c>
      <c r="AP22" s="91"/>
      <c r="AQ22" s="98" t="s">
        <v>161</v>
      </c>
      <c r="AR22" s="136">
        <f>+AVERAGE(AR18:AR21)</f>
        <v>0.87719999999999998</v>
      </c>
      <c r="AS22" s="91"/>
      <c r="AT22" s="98" t="s">
        <v>161</v>
      </c>
      <c r="AU22" s="136">
        <f>+AVERAGE(AU18:AU21)</f>
        <v>0.99795</v>
      </c>
      <c r="AV22" s="91"/>
      <c r="AW22" s="237"/>
      <c r="AX22" s="237"/>
      <c r="AY22" s="97"/>
      <c r="AZ22" s="98" t="s">
        <v>162</v>
      </c>
      <c r="BA22" s="99" t="s">
        <v>694</v>
      </c>
      <c r="BB22" s="91"/>
      <c r="BC22" s="98" t="s">
        <v>162</v>
      </c>
      <c r="BD22" s="99" t="s">
        <v>695</v>
      </c>
      <c r="BE22" s="91"/>
      <c r="BF22" s="98" t="s">
        <v>162</v>
      </c>
      <c r="BG22" s="134">
        <v>0.33700000000000002</v>
      </c>
      <c r="BH22" s="238" t="s">
        <v>586</v>
      </c>
      <c r="BI22" s="98" t="s">
        <v>162</v>
      </c>
      <c r="BJ22" s="134">
        <f>+AVERAGE(BJ18:BJ20)</f>
        <v>0.36065000000000003</v>
      </c>
      <c r="BK22" s="91"/>
      <c r="BL22" s="98" t="s">
        <v>162</v>
      </c>
      <c r="BM22" s="134">
        <f>+AVERAGE(BM18:BM20)</f>
        <v>0.18689999999999998</v>
      </c>
      <c r="BN22" s="91"/>
      <c r="BO22" s="98" t="s">
        <v>162</v>
      </c>
      <c r="BP22" s="134">
        <f>+AVERAGE(BP18:BP20)</f>
        <v>0.30854999999999999</v>
      </c>
      <c r="BQ22" s="238" t="s">
        <v>586</v>
      </c>
      <c r="BR22" s="98" t="s">
        <v>162</v>
      </c>
      <c r="BS22" s="134">
        <f>+AVERAGE(BS18:BS20)</f>
        <v>0.41005000000000003</v>
      </c>
      <c r="BT22" s="91"/>
      <c r="BU22" s="98" t="s">
        <v>162</v>
      </c>
      <c r="BV22" s="134">
        <f>+AVERAGE(BV18:BV20)</f>
        <v>0.35980476190476191</v>
      </c>
      <c r="BW22" s="91"/>
      <c r="BX22" s="98" t="s">
        <v>162</v>
      </c>
      <c r="BY22" s="134">
        <f>+AVERAGE(BY18:BY20)</f>
        <v>0.67699523809523809</v>
      </c>
      <c r="BZ22" s="238" t="s">
        <v>586</v>
      </c>
      <c r="CA22" s="98" t="s">
        <v>162</v>
      </c>
      <c r="CB22" s="134">
        <f>+AVERAGE(CB18:CB20)</f>
        <v>0.84192380952380963</v>
      </c>
      <c r="CC22" s="91"/>
      <c r="CD22" s="98" t="s">
        <v>162</v>
      </c>
      <c r="CE22" s="134">
        <f>+AVERAGE(CE18:CE20)</f>
        <v>0.96323333333333327</v>
      </c>
      <c r="CF22" s="91"/>
      <c r="CG22" s="98" t="s">
        <v>162</v>
      </c>
      <c r="CH22" s="134">
        <f>+AVERAGE(CH18:CH20)</f>
        <v>1</v>
      </c>
      <c r="CI22" s="238" t="s">
        <v>586</v>
      </c>
      <c r="CJ22" s="238" t="s">
        <v>586</v>
      </c>
      <c r="CK22" s="238" t="s">
        <v>586</v>
      </c>
      <c r="CL22" s="238" t="s">
        <v>586</v>
      </c>
      <c r="CM22" s="238" t="s">
        <v>586</v>
      </c>
      <c r="CN22" s="238" t="s">
        <v>586</v>
      </c>
      <c r="CO22" s="238" t="s">
        <v>586</v>
      </c>
      <c r="CP22" s="238" t="s">
        <v>586</v>
      </c>
      <c r="CQ22" s="238" t="s">
        <v>586</v>
      </c>
      <c r="CR22" s="238" t="s">
        <v>586</v>
      </c>
      <c r="CS22" s="238" t="s">
        <v>586</v>
      </c>
      <c r="CT22" s="238" t="s">
        <v>586</v>
      </c>
      <c r="CU22" s="238" t="s">
        <v>586</v>
      </c>
      <c r="CV22" s="238" t="s">
        <v>586</v>
      </c>
      <c r="CW22" s="238" t="s">
        <v>586</v>
      </c>
      <c r="CX22" s="238" t="s">
        <v>586</v>
      </c>
      <c r="CY22" s="238" t="s">
        <v>586</v>
      </c>
      <c r="CZ22" s="238" t="s">
        <v>586</v>
      </c>
      <c r="DA22" s="238" t="s">
        <v>586</v>
      </c>
      <c r="DB22" s="238" t="s">
        <v>586</v>
      </c>
      <c r="DC22" s="238" t="s">
        <v>586</v>
      </c>
      <c r="DD22" s="238" t="s">
        <v>586</v>
      </c>
      <c r="DE22" s="238" t="s">
        <v>586</v>
      </c>
      <c r="DF22" s="238" t="s">
        <v>586</v>
      </c>
      <c r="DG22" s="238" t="s">
        <v>586</v>
      </c>
      <c r="DH22" s="238" t="s">
        <v>586</v>
      </c>
      <c r="DI22" s="238" t="s">
        <v>586</v>
      </c>
      <c r="DJ22" s="238" t="s">
        <v>586</v>
      </c>
      <c r="DK22" s="238" t="s">
        <v>586</v>
      </c>
      <c r="DL22" s="238" t="s">
        <v>586</v>
      </c>
      <c r="DM22" s="238" t="s">
        <v>586</v>
      </c>
      <c r="DN22" s="238" t="s">
        <v>586</v>
      </c>
      <c r="DO22" s="238" t="s">
        <v>586</v>
      </c>
      <c r="DP22" s="238" t="s">
        <v>586</v>
      </c>
      <c r="DQ22" s="238" t="s">
        <v>586</v>
      </c>
      <c r="DR22" s="238" t="s">
        <v>586</v>
      </c>
      <c r="DS22" s="238" t="s">
        <v>586</v>
      </c>
      <c r="DT22" s="238" t="s">
        <v>586</v>
      </c>
      <c r="DU22" s="238" t="s">
        <v>586</v>
      </c>
      <c r="DV22" s="238" t="s">
        <v>586</v>
      </c>
      <c r="DW22" s="238" t="s">
        <v>586</v>
      </c>
      <c r="DX22" s="238" t="s">
        <v>586</v>
      </c>
      <c r="DY22" s="238" t="s">
        <v>586</v>
      </c>
      <c r="DZ22" s="238" t="s">
        <v>586</v>
      </c>
      <c r="EA22" s="238" t="s">
        <v>586</v>
      </c>
      <c r="EB22" s="238" t="s">
        <v>586</v>
      </c>
      <c r="EC22" s="238" t="s">
        <v>586</v>
      </c>
      <c r="ED22" s="238" t="s">
        <v>586</v>
      </c>
      <c r="EE22" s="238" t="s">
        <v>586</v>
      </c>
      <c r="EF22" s="238" t="s">
        <v>586</v>
      </c>
      <c r="EG22" s="238" t="s">
        <v>586</v>
      </c>
      <c r="EH22" s="238" t="s">
        <v>586</v>
      </c>
      <c r="EI22" s="238" t="s">
        <v>586</v>
      </c>
      <c r="EJ22" s="238" t="s">
        <v>586</v>
      </c>
      <c r="EK22" s="238" t="s">
        <v>586</v>
      </c>
      <c r="EL22" s="238" t="s">
        <v>586</v>
      </c>
      <c r="EM22" s="238" t="s">
        <v>586</v>
      </c>
      <c r="EN22" s="238" t="s">
        <v>586</v>
      </c>
      <c r="EO22" s="238" t="s">
        <v>586</v>
      </c>
      <c r="EP22" s="238" t="s">
        <v>586</v>
      </c>
      <c r="EQ22" s="238" t="s">
        <v>586</v>
      </c>
      <c r="ER22" s="238" t="s">
        <v>586</v>
      </c>
      <c r="ES22" s="238" t="s">
        <v>586</v>
      </c>
      <c r="ET22" s="238" t="s">
        <v>586</v>
      </c>
      <c r="EU22" s="238" t="s">
        <v>586</v>
      </c>
      <c r="EV22" s="238" t="s">
        <v>586</v>
      </c>
      <c r="EW22" s="238" t="s">
        <v>586</v>
      </c>
      <c r="EX22" s="238" t="s">
        <v>586</v>
      </c>
      <c r="EY22" s="238" t="s">
        <v>586</v>
      </c>
      <c r="EZ22" s="238" t="s">
        <v>586</v>
      </c>
      <c r="FA22" s="238" t="s">
        <v>586</v>
      </c>
      <c r="FB22" s="238" t="s">
        <v>586</v>
      </c>
      <c r="FC22" s="238" t="s">
        <v>586</v>
      </c>
      <c r="FD22" s="238" t="s">
        <v>586</v>
      </c>
      <c r="FE22" s="238" t="s">
        <v>586</v>
      </c>
      <c r="FF22" s="238" t="s">
        <v>586</v>
      </c>
      <c r="FG22" s="238" t="s">
        <v>586</v>
      </c>
      <c r="FH22" s="238" t="s">
        <v>586</v>
      </c>
      <c r="FI22" s="238" t="s">
        <v>586</v>
      </c>
      <c r="FJ22" s="238" t="s">
        <v>586</v>
      </c>
      <c r="FK22" s="238" t="s">
        <v>586</v>
      </c>
      <c r="FL22" s="238" t="s">
        <v>586</v>
      </c>
      <c r="FM22" s="238" t="s">
        <v>586</v>
      </c>
      <c r="FN22" s="238" t="s">
        <v>586</v>
      </c>
      <c r="FO22" s="237"/>
      <c r="FP22" s="237"/>
      <c r="FQ22" s="237"/>
      <c r="FR22" s="237"/>
    </row>
    <row r="23" spans="1:174" s="89" customFormat="1" ht="68.45" customHeight="1" x14ac:dyDescent="0.25">
      <c r="A23" s="490" t="s">
        <v>84</v>
      </c>
      <c r="B23" s="490" t="s">
        <v>85</v>
      </c>
      <c r="C23" s="490" t="s">
        <v>2722</v>
      </c>
      <c r="D23" s="490" t="s">
        <v>22</v>
      </c>
      <c r="E23" s="493" t="s">
        <v>696</v>
      </c>
      <c r="F23" s="490" t="s">
        <v>88</v>
      </c>
      <c r="G23" s="490" t="s">
        <v>89</v>
      </c>
      <c r="H23" s="512"/>
      <c r="I23" s="230" t="s">
        <v>697</v>
      </c>
      <c r="J23" s="275" t="s">
        <v>698</v>
      </c>
      <c r="K23" s="275" t="s">
        <v>145</v>
      </c>
      <c r="L23" s="95">
        <v>1</v>
      </c>
      <c r="M23" s="244" t="s">
        <v>643</v>
      </c>
      <c r="N23" s="244" t="s">
        <v>643</v>
      </c>
      <c r="O23" s="275" t="s">
        <v>699</v>
      </c>
      <c r="P23" s="232">
        <v>0.11</v>
      </c>
      <c r="Q23" s="232">
        <v>0.11</v>
      </c>
      <c r="R23" s="275" t="s">
        <v>700</v>
      </c>
      <c r="S23" s="232">
        <v>0.18</v>
      </c>
      <c r="T23" s="232">
        <v>0.18</v>
      </c>
      <c r="U23" s="275" t="s">
        <v>701</v>
      </c>
      <c r="V23" s="245">
        <v>0.28000000000000003</v>
      </c>
      <c r="W23" s="245">
        <v>0.28000000000000003</v>
      </c>
      <c r="X23" s="275" t="s">
        <v>922</v>
      </c>
      <c r="Y23" s="232">
        <v>0.34200000000000003</v>
      </c>
      <c r="Z23" s="232">
        <v>0.34200000000000003</v>
      </c>
      <c r="AA23" s="275" t="s">
        <v>943</v>
      </c>
      <c r="AB23" s="232">
        <v>0.45569620253164561</v>
      </c>
      <c r="AC23" s="232">
        <v>0.45569620253164561</v>
      </c>
      <c r="AD23" s="275" t="s">
        <v>967</v>
      </c>
      <c r="AE23" s="245">
        <v>0.51898734177215189</v>
      </c>
      <c r="AF23" s="245">
        <v>0.51898734177215189</v>
      </c>
      <c r="AG23" s="275" t="s">
        <v>1488</v>
      </c>
      <c r="AH23" s="232">
        <v>0.60759493670886078</v>
      </c>
      <c r="AI23" s="232">
        <v>0.60759493670886078</v>
      </c>
      <c r="AJ23" s="275" t="s">
        <v>1489</v>
      </c>
      <c r="AK23" s="232">
        <v>0.69620000000000004</v>
      </c>
      <c r="AL23" s="232">
        <v>0.69620000000000004</v>
      </c>
      <c r="AM23" s="275" t="s">
        <v>1490</v>
      </c>
      <c r="AN23" s="245">
        <v>0.77</v>
      </c>
      <c r="AO23" s="245">
        <v>0.77</v>
      </c>
      <c r="AP23" s="275" t="s">
        <v>1886</v>
      </c>
      <c r="AQ23" s="232">
        <v>0.83544303797468356</v>
      </c>
      <c r="AR23" s="232">
        <v>0.83544303797468356</v>
      </c>
      <c r="AS23" s="275" t="s">
        <v>1887</v>
      </c>
      <c r="AT23" s="232">
        <v>0.949367088607595</v>
      </c>
      <c r="AU23" s="232">
        <v>0.949367088607595</v>
      </c>
      <c r="AV23" s="275" t="s">
        <v>1888</v>
      </c>
      <c r="AW23" s="275" t="s">
        <v>702</v>
      </c>
      <c r="AX23" s="275" t="s">
        <v>650</v>
      </c>
      <c r="AY23" s="232">
        <v>0.35</v>
      </c>
      <c r="AZ23" s="232">
        <v>0.35</v>
      </c>
      <c r="BA23" s="232">
        <v>1</v>
      </c>
      <c r="BB23" s="275" t="s">
        <v>703</v>
      </c>
      <c r="BC23" s="232">
        <v>0.4</v>
      </c>
      <c r="BD23" s="232">
        <v>1.1399999999999999</v>
      </c>
      <c r="BE23" s="275" t="s">
        <v>704</v>
      </c>
      <c r="BF23" s="232">
        <v>0.4</v>
      </c>
      <c r="BG23" s="232">
        <v>1.1299999999999999</v>
      </c>
      <c r="BH23" s="275" t="s">
        <v>705</v>
      </c>
      <c r="BI23" s="232">
        <v>0.37319999999999998</v>
      </c>
      <c r="BJ23" s="232">
        <v>1.0662857142857143</v>
      </c>
      <c r="BK23" s="275" t="s">
        <v>933</v>
      </c>
      <c r="BL23" s="232">
        <v>0.36899999999999999</v>
      </c>
      <c r="BM23" s="232">
        <v>1.0542857142857143</v>
      </c>
      <c r="BN23" s="275" t="s">
        <v>956</v>
      </c>
      <c r="BO23" s="232">
        <v>0.33</v>
      </c>
      <c r="BP23" s="232">
        <v>0.94285714285714295</v>
      </c>
      <c r="BQ23" s="275" t="s">
        <v>984</v>
      </c>
      <c r="BR23" s="232">
        <v>0.28999999999999998</v>
      </c>
      <c r="BS23" s="232">
        <v>0.82857142857142851</v>
      </c>
      <c r="BT23" s="275" t="s">
        <v>1491</v>
      </c>
      <c r="BU23" s="232">
        <v>0.32</v>
      </c>
      <c r="BV23" s="232">
        <v>0.91428571428571437</v>
      </c>
      <c r="BW23" s="275" t="s">
        <v>1492</v>
      </c>
      <c r="BX23" s="232">
        <v>0.33</v>
      </c>
      <c r="BY23" s="232">
        <v>0.94285714285714295</v>
      </c>
      <c r="BZ23" s="275" t="s">
        <v>1493</v>
      </c>
      <c r="CA23" s="232">
        <v>0.32691464734358278</v>
      </c>
      <c r="CB23" s="232">
        <v>0.93404184955309366</v>
      </c>
      <c r="CC23" s="275" t="s">
        <v>1889</v>
      </c>
      <c r="CD23" s="232">
        <v>0.33315281639150968</v>
      </c>
      <c r="CE23" s="232">
        <v>0.95186518969002776</v>
      </c>
      <c r="CF23" s="275" t="s">
        <v>1890</v>
      </c>
      <c r="CG23" s="232">
        <v>0.33912623311528928</v>
      </c>
      <c r="CH23" s="232">
        <v>0.96893209461511232</v>
      </c>
      <c r="CI23" s="275" t="s">
        <v>1891</v>
      </c>
      <c r="CJ23" s="275" t="s">
        <v>159</v>
      </c>
      <c r="CK23" s="275" t="s">
        <v>596</v>
      </c>
      <c r="CL23" s="92" t="s">
        <v>586</v>
      </c>
      <c r="CM23" s="277" t="s">
        <v>586</v>
      </c>
      <c r="CN23" s="277" t="s">
        <v>586</v>
      </c>
      <c r="CO23" s="277" t="s">
        <v>586</v>
      </c>
      <c r="CP23" s="277" t="s">
        <v>586</v>
      </c>
      <c r="CQ23" s="277" t="s">
        <v>586</v>
      </c>
      <c r="CR23" s="277" t="s">
        <v>586</v>
      </c>
      <c r="CS23" s="277" t="s">
        <v>586</v>
      </c>
      <c r="CT23" s="277" t="s">
        <v>586</v>
      </c>
      <c r="CU23" s="277" t="s">
        <v>586</v>
      </c>
      <c r="CV23" s="277" t="s">
        <v>586</v>
      </c>
      <c r="CW23" s="277" t="s">
        <v>586</v>
      </c>
      <c r="CX23" s="277" t="s">
        <v>586</v>
      </c>
      <c r="CY23" s="277" t="s">
        <v>586</v>
      </c>
      <c r="CZ23" s="277" t="s">
        <v>586</v>
      </c>
      <c r="DA23" s="277" t="s">
        <v>586</v>
      </c>
      <c r="DB23" s="277" t="s">
        <v>586</v>
      </c>
      <c r="DC23" s="277" t="s">
        <v>586</v>
      </c>
      <c r="DD23" s="277" t="s">
        <v>586</v>
      </c>
      <c r="DE23" s="277" t="s">
        <v>586</v>
      </c>
      <c r="DF23" s="277" t="s">
        <v>586</v>
      </c>
      <c r="DG23" s="277" t="s">
        <v>586</v>
      </c>
      <c r="DH23" s="277" t="s">
        <v>586</v>
      </c>
      <c r="DI23" s="277" t="s">
        <v>586</v>
      </c>
      <c r="DJ23" s="277" t="s">
        <v>586</v>
      </c>
      <c r="DK23" s="277" t="s">
        <v>586</v>
      </c>
      <c r="DL23" s="277" t="s">
        <v>586</v>
      </c>
      <c r="DM23" s="277" t="s">
        <v>586</v>
      </c>
      <c r="DN23" s="277" t="s">
        <v>586</v>
      </c>
      <c r="DO23" s="277" t="s">
        <v>586</v>
      </c>
      <c r="DP23" s="277" t="s">
        <v>586</v>
      </c>
      <c r="DQ23" s="277" t="s">
        <v>586</v>
      </c>
      <c r="DR23" s="277" t="s">
        <v>586</v>
      </c>
      <c r="DS23" s="277" t="s">
        <v>586</v>
      </c>
      <c r="DT23" s="277" t="s">
        <v>586</v>
      </c>
      <c r="DU23" s="277" t="s">
        <v>586</v>
      </c>
      <c r="DV23" s="277" t="s">
        <v>586</v>
      </c>
      <c r="DW23" s="277" t="s">
        <v>586</v>
      </c>
      <c r="DX23" s="277" t="s">
        <v>586</v>
      </c>
      <c r="DY23" s="277" t="s">
        <v>586</v>
      </c>
      <c r="DZ23" s="277" t="s">
        <v>586</v>
      </c>
      <c r="EA23" s="277" t="s">
        <v>586</v>
      </c>
      <c r="EB23" s="277" t="s">
        <v>586</v>
      </c>
      <c r="EC23" s="277" t="s">
        <v>586</v>
      </c>
      <c r="ED23" s="277" t="s">
        <v>586</v>
      </c>
      <c r="EE23" s="277" t="s">
        <v>586</v>
      </c>
      <c r="EF23" s="277" t="s">
        <v>586</v>
      </c>
      <c r="EG23" s="277" t="s">
        <v>586</v>
      </c>
      <c r="EH23" s="277" t="s">
        <v>586</v>
      </c>
      <c r="EI23" s="277" t="s">
        <v>586</v>
      </c>
      <c r="EJ23" s="277" t="s">
        <v>586</v>
      </c>
      <c r="EK23" s="277" t="s">
        <v>586</v>
      </c>
      <c r="EL23" s="277" t="s">
        <v>586</v>
      </c>
      <c r="EM23" s="277" t="s">
        <v>586</v>
      </c>
      <c r="EN23" s="277" t="s">
        <v>586</v>
      </c>
      <c r="EO23" s="277" t="s">
        <v>586</v>
      </c>
      <c r="EP23" s="277" t="s">
        <v>586</v>
      </c>
      <c r="EQ23" s="277" t="s">
        <v>586</v>
      </c>
      <c r="ER23" s="277" t="s">
        <v>586</v>
      </c>
      <c r="ES23" s="277" t="s">
        <v>586</v>
      </c>
      <c r="ET23" s="277" t="s">
        <v>586</v>
      </c>
      <c r="EU23" s="277" t="s">
        <v>586</v>
      </c>
      <c r="EV23" s="277" t="s">
        <v>586</v>
      </c>
      <c r="EW23" s="277" t="s">
        <v>586</v>
      </c>
      <c r="EX23" s="277" t="s">
        <v>586</v>
      </c>
      <c r="EY23" s="277" t="s">
        <v>586</v>
      </c>
      <c r="EZ23" s="277" t="s">
        <v>586</v>
      </c>
      <c r="FA23" s="277" t="s">
        <v>586</v>
      </c>
      <c r="FB23" s="277" t="s">
        <v>586</v>
      </c>
      <c r="FC23" s="277" t="s">
        <v>586</v>
      </c>
      <c r="FD23" s="277" t="s">
        <v>586</v>
      </c>
      <c r="FE23" s="277" t="s">
        <v>586</v>
      </c>
      <c r="FF23" s="277" t="s">
        <v>586</v>
      </c>
      <c r="FG23" s="277" t="s">
        <v>586</v>
      </c>
      <c r="FH23" s="277" t="s">
        <v>586</v>
      </c>
      <c r="FI23" s="277" t="s">
        <v>586</v>
      </c>
      <c r="FJ23" s="277" t="s">
        <v>586</v>
      </c>
      <c r="FK23" s="277" t="s">
        <v>586</v>
      </c>
      <c r="FL23" s="277" t="s">
        <v>586</v>
      </c>
      <c r="FM23" s="277" t="s">
        <v>586</v>
      </c>
      <c r="FN23" s="277" t="s">
        <v>586</v>
      </c>
      <c r="FO23" s="277" t="s">
        <v>586</v>
      </c>
      <c r="FP23" s="277" t="s">
        <v>586</v>
      </c>
      <c r="FQ23" s="277" t="s">
        <v>586</v>
      </c>
      <c r="FR23" s="277" t="s">
        <v>586</v>
      </c>
    </row>
    <row r="24" spans="1:174" s="89" customFormat="1" ht="69" customHeight="1" x14ac:dyDescent="0.25">
      <c r="A24" s="492"/>
      <c r="B24" s="492"/>
      <c r="C24" s="492"/>
      <c r="D24" s="492"/>
      <c r="E24" s="495"/>
      <c r="F24" s="492"/>
      <c r="G24" s="492"/>
      <c r="H24" s="512"/>
      <c r="I24" s="274" t="s">
        <v>706</v>
      </c>
      <c r="J24" s="234" t="s">
        <v>707</v>
      </c>
      <c r="K24" s="234" t="s">
        <v>708</v>
      </c>
      <c r="L24" s="96">
        <v>0.9</v>
      </c>
      <c r="M24" s="135">
        <v>0.85</v>
      </c>
      <c r="N24" s="135">
        <v>0.94</v>
      </c>
      <c r="O24" s="234" t="s">
        <v>709</v>
      </c>
      <c r="P24" s="135">
        <v>0.82</v>
      </c>
      <c r="Q24" s="135">
        <v>0.91</v>
      </c>
      <c r="R24" s="234" t="s">
        <v>710</v>
      </c>
      <c r="S24" s="135">
        <v>0.83</v>
      </c>
      <c r="T24" s="135">
        <v>0.92</v>
      </c>
      <c r="U24" s="234" t="s">
        <v>711</v>
      </c>
      <c r="V24" s="135">
        <v>0.88570000000000004</v>
      </c>
      <c r="W24" s="135">
        <v>0.98411111111111116</v>
      </c>
      <c r="X24" s="234" t="s">
        <v>923</v>
      </c>
      <c r="Y24" s="135">
        <v>0.97230000000000005</v>
      </c>
      <c r="Z24" s="135">
        <v>1.0803333333333334</v>
      </c>
      <c r="AA24" s="234" t="s">
        <v>944</v>
      </c>
      <c r="AB24" s="135">
        <v>0.98150000000000004</v>
      </c>
      <c r="AC24" s="135">
        <v>1.0905555555555555</v>
      </c>
      <c r="AD24" s="234" t="s">
        <v>968</v>
      </c>
      <c r="AE24" s="135">
        <v>0.98876080691642654</v>
      </c>
      <c r="AF24" s="135">
        <v>1.0986231187960294</v>
      </c>
      <c r="AG24" s="234" t="s">
        <v>1494</v>
      </c>
      <c r="AH24" s="135">
        <v>0.99180000000000001</v>
      </c>
      <c r="AI24" s="135">
        <v>1.1020000000000001</v>
      </c>
      <c r="AJ24" s="234" t="s">
        <v>1495</v>
      </c>
      <c r="AK24" s="135">
        <v>0.99260000000000004</v>
      </c>
      <c r="AL24" s="135">
        <v>1.1028888888888888</v>
      </c>
      <c r="AM24" s="234" t="s">
        <v>1496</v>
      </c>
      <c r="AN24" s="135">
        <v>0.99260000000000004</v>
      </c>
      <c r="AO24" s="135">
        <v>1.1028888888888888</v>
      </c>
      <c r="AP24" s="234" t="s">
        <v>1892</v>
      </c>
      <c r="AQ24" s="135">
        <v>0.99239999999999995</v>
      </c>
      <c r="AR24" s="135">
        <v>1.0126530612244897</v>
      </c>
      <c r="AS24" s="234" t="s">
        <v>1893</v>
      </c>
      <c r="AT24" s="135">
        <v>0.99270000000000003</v>
      </c>
      <c r="AU24" s="135">
        <v>1.0129591836734695</v>
      </c>
      <c r="AV24" s="234" t="s">
        <v>1894</v>
      </c>
      <c r="AW24" s="488" t="s">
        <v>93</v>
      </c>
      <c r="AX24" s="488"/>
      <c r="AY24" s="489"/>
      <c r="AZ24" s="235" t="s">
        <v>586</v>
      </c>
      <c r="BA24" s="235" t="s">
        <v>586</v>
      </c>
      <c r="BB24" s="239" t="s">
        <v>586</v>
      </c>
      <c r="BC24" s="235" t="s">
        <v>586</v>
      </c>
      <c r="BD24" s="235" t="s">
        <v>586</v>
      </c>
      <c r="BE24" s="239" t="s">
        <v>586</v>
      </c>
      <c r="BF24" s="235" t="s">
        <v>586</v>
      </c>
      <c r="BG24" s="235" t="s">
        <v>586</v>
      </c>
      <c r="BH24" s="239" t="s">
        <v>586</v>
      </c>
      <c r="BI24" s="235" t="s">
        <v>586</v>
      </c>
      <c r="BJ24" s="235" t="s">
        <v>586</v>
      </c>
      <c r="BK24" s="239" t="s">
        <v>586</v>
      </c>
      <c r="BL24" s="235" t="s">
        <v>586</v>
      </c>
      <c r="BM24" s="235" t="s">
        <v>586</v>
      </c>
      <c r="BN24" s="239" t="s">
        <v>586</v>
      </c>
      <c r="BO24" s="235" t="s">
        <v>586</v>
      </c>
      <c r="BP24" s="235" t="s">
        <v>586</v>
      </c>
      <c r="BQ24" s="239" t="s">
        <v>586</v>
      </c>
      <c r="BR24" s="235" t="s">
        <v>586</v>
      </c>
      <c r="BS24" s="235" t="s">
        <v>586</v>
      </c>
      <c r="BT24" s="239" t="s">
        <v>586</v>
      </c>
      <c r="BU24" s="235" t="s">
        <v>586</v>
      </c>
      <c r="BV24" s="235" t="s">
        <v>586</v>
      </c>
      <c r="BW24" s="239" t="s">
        <v>586</v>
      </c>
      <c r="BX24" s="235" t="s">
        <v>586</v>
      </c>
      <c r="BY24" s="235" t="s">
        <v>586</v>
      </c>
      <c r="BZ24" s="239" t="s">
        <v>586</v>
      </c>
      <c r="CA24" s="235" t="s">
        <v>586</v>
      </c>
      <c r="CB24" s="235" t="s">
        <v>586</v>
      </c>
      <c r="CC24" s="239" t="s">
        <v>586</v>
      </c>
      <c r="CD24" s="235" t="s">
        <v>586</v>
      </c>
      <c r="CE24" s="235" t="s">
        <v>586</v>
      </c>
      <c r="CF24" s="239" t="s">
        <v>586</v>
      </c>
      <c r="CG24" s="235" t="s">
        <v>586</v>
      </c>
      <c r="CH24" s="235" t="s">
        <v>586</v>
      </c>
      <c r="CI24" s="239" t="s">
        <v>586</v>
      </c>
      <c r="CJ24" s="234" t="s">
        <v>159</v>
      </c>
      <c r="CK24" s="234" t="s">
        <v>596</v>
      </c>
      <c r="CL24" s="92" t="s">
        <v>586</v>
      </c>
      <c r="CM24" s="277" t="s">
        <v>586</v>
      </c>
      <c r="CN24" s="277" t="s">
        <v>586</v>
      </c>
      <c r="CO24" s="277" t="s">
        <v>586</v>
      </c>
      <c r="CP24" s="277" t="s">
        <v>586</v>
      </c>
      <c r="CQ24" s="277" t="s">
        <v>586</v>
      </c>
      <c r="CR24" s="277" t="s">
        <v>586</v>
      </c>
      <c r="CS24" s="277" t="s">
        <v>586</v>
      </c>
      <c r="CT24" s="277" t="s">
        <v>586</v>
      </c>
      <c r="CU24" s="277" t="s">
        <v>586</v>
      </c>
      <c r="CV24" s="277" t="s">
        <v>586</v>
      </c>
      <c r="CW24" s="277" t="s">
        <v>586</v>
      </c>
      <c r="CX24" s="277" t="s">
        <v>586</v>
      </c>
      <c r="CY24" s="277" t="s">
        <v>586</v>
      </c>
      <c r="CZ24" s="277" t="s">
        <v>586</v>
      </c>
      <c r="DA24" s="277" t="s">
        <v>586</v>
      </c>
      <c r="DB24" s="277" t="s">
        <v>586</v>
      </c>
      <c r="DC24" s="277" t="s">
        <v>586</v>
      </c>
      <c r="DD24" s="277" t="s">
        <v>586</v>
      </c>
      <c r="DE24" s="277" t="s">
        <v>586</v>
      </c>
      <c r="DF24" s="277" t="s">
        <v>586</v>
      </c>
      <c r="DG24" s="277" t="s">
        <v>586</v>
      </c>
      <c r="DH24" s="277" t="s">
        <v>586</v>
      </c>
      <c r="DI24" s="277" t="s">
        <v>586</v>
      </c>
      <c r="DJ24" s="277" t="s">
        <v>586</v>
      </c>
      <c r="DK24" s="277" t="s">
        <v>586</v>
      </c>
      <c r="DL24" s="277" t="s">
        <v>586</v>
      </c>
      <c r="DM24" s="277" t="s">
        <v>586</v>
      </c>
      <c r="DN24" s="277" t="s">
        <v>586</v>
      </c>
      <c r="DO24" s="277" t="s">
        <v>586</v>
      </c>
      <c r="DP24" s="277" t="s">
        <v>586</v>
      </c>
      <c r="DQ24" s="277" t="s">
        <v>586</v>
      </c>
      <c r="DR24" s="277" t="s">
        <v>586</v>
      </c>
      <c r="DS24" s="277" t="s">
        <v>586</v>
      </c>
      <c r="DT24" s="277" t="s">
        <v>586</v>
      </c>
      <c r="DU24" s="277" t="s">
        <v>586</v>
      </c>
      <c r="DV24" s="277" t="s">
        <v>586</v>
      </c>
      <c r="DW24" s="277" t="s">
        <v>586</v>
      </c>
      <c r="DX24" s="277" t="s">
        <v>586</v>
      </c>
      <c r="DY24" s="277" t="s">
        <v>586</v>
      </c>
      <c r="DZ24" s="277" t="s">
        <v>586</v>
      </c>
      <c r="EA24" s="277" t="s">
        <v>586</v>
      </c>
      <c r="EB24" s="277" t="s">
        <v>586</v>
      </c>
      <c r="EC24" s="277" t="s">
        <v>586</v>
      </c>
      <c r="ED24" s="277" t="s">
        <v>586</v>
      </c>
      <c r="EE24" s="277" t="s">
        <v>586</v>
      </c>
      <c r="EF24" s="277" t="s">
        <v>586</v>
      </c>
      <c r="EG24" s="277" t="s">
        <v>586</v>
      </c>
      <c r="EH24" s="277" t="s">
        <v>586</v>
      </c>
      <c r="EI24" s="277" t="s">
        <v>586</v>
      </c>
      <c r="EJ24" s="277" t="s">
        <v>586</v>
      </c>
      <c r="EK24" s="277" t="s">
        <v>586</v>
      </c>
      <c r="EL24" s="277" t="s">
        <v>586</v>
      </c>
      <c r="EM24" s="277" t="s">
        <v>586</v>
      </c>
      <c r="EN24" s="277" t="s">
        <v>586</v>
      </c>
      <c r="EO24" s="277" t="s">
        <v>586</v>
      </c>
      <c r="EP24" s="277" t="s">
        <v>586</v>
      </c>
      <c r="EQ24" s="277" t="s">
        <v>586</v>
      </c>
      <c r="ER24" s="277" t="s">
        <v>586</v>
      </c>
      <c r="ES24" s="277" t="s">
        <v>586</v>
      </c>
      <c r="ET24" s="277" t="s">
        <v>586</v>
      </c>
      <c r="EU24" s="277" t="s">
        <v>586</v>
      </c>
      <c r="EV24" s="277" t="s">
        <v>586</v>
      </c>
      <c r="EW24" s="277" t="s">
        <v>586</v>
      </c>
      <c r="EX24" s="277" t="s">
        <v>586</v>
      </c>
      <c r="EY24" s="277" t="s">
        <v>586</v>
      </c>
      <c r="EZ24" s="277" t="s">
        <v>586</v>
      </c>
      <c r="FA24" s="277" t="s">
        <v>586</v>
      </c>
      <c r="FB24" s="277" t="s">
        <v>586</v>
      </c>
      <c r="FC24" s="277" t="s">
        <v>586</v>
      </c>
      <c r="FD24" s="277" t="s">
        <v>586</v>
      </c>
      <c r="FE24" s="277" t="s">
        <v>586</v>
      </c>
      <c r="FF24" s="277" t="s">
        <v>586</v>
      </c>
      <c r="FG24" s="277" t="s">
        <v>586</v>
      </c>
      <c r="FH24" s="277" t="s">
        <v>586</v>
      </c>
      <c r="FI24" s="277" t="s">
        <v>586</v>
      </c>
      <c r="FJ24" s="277" t="s">
        <v>586</v>
      </c>
      <c r="FK24" s="277" t="s">
        <v>586</v>
      </c>
      <c r="FL24" s="277" t="s">
        <v>586</v>
      </c>
      <c r="FM24" s="277" t="s">
        <v>586</v>
      </c>
      <c r="FN24" s="277" t="s">
        <v>586</v>
      </c>
      <c r="FO24" s="277" t="s">
        <v>586</v>
      </c>
      <c r="FP24" s="277" t="s">
        <v>586</v>
      </c>
      <c r="FQ24" s="277" t="s">
        <v>586</v>
      </c>
      <c r="FR24" s="277" t="s">
        <v>586</v>
      </c>
    </row>
    <row r="25" spans="1:174" s="89" customFormat="1" ht="51.75" customHeight="1" x14ac:dyDescent="0.25">
      <c r="A25" s="237"/>
      <c r="B25" s="237"/>
      <c r="C25" s="237"/>
      <c r="D25" s="237"/>
      <c r="E25" s="237"/>
      <c r="F25" s="237"/>
      <c r="G25" s="237"/>
      <c r="H25" s="512"/>
      <c r="I25" s="237"/>
      <c r="J25" s="237"/>
      <c r="K25" s="237"/>
      <c r="L25" s="97"/>
      <c r="M25" s="98" t="s">
        <v>161</v>
      </c>
      <c r="N25" s="99" t="s">
        <v>712</v>
      </c>
      <c r="O25" s="91"/>
      <c r="P25" s="98" t="s">
        <v>161</v>
      </c>
      <c r="Q25" s="99" t="s">
        <v>713</v>
      </c>
      <c r="R25" s="91"/>
      <c r="S25" s="98" t="s">
        <v>161</v>
      </c>
      <c r="T25" s="99" t="s">
        <v>714</v>
      </c>
      <c r="U25" s="91"/>
      <c r="V25" s="98" t="s">
        <v>161</v>
      </c>
      <c r="W25" s="134">
        <f>+AVERAGE(W23:W24)</f>
        <v>0.63205555555555559</v>
      </c>
      <c r="X25" s="138"/>
      <c r="Y25" s="139" t="s">
        <v>161</v>
      </c>
      <c r="Z25" s="134">
        <f>+AVERAGE(Z23:Z24)</f>
        <v>0.71116666666666672</v>
      </c>
      <c r="AA25" s="138"/>
      <c r="AB25" s="139" t="s">
        <v>161</v>
      </c>
      <c r="AC25" s="134">
        <f>+AVERAGE(AC23:AC24)</f>
        <v>0.77312587904360053</v>
      </c>
      <c r="AD25" s="91"/>
      <c r="AE25" s="98" t="s">
        <v>161</v>
      </c>
      <c r="AF25" s="134">
        <f>+AVERAGE(AF23:AF24)</f>
        <v>0.80880523028409068</v>
      </c>
      <c r="AG25" s="138"/>
      <c r="AH25" s="139" t="s">
        <v>161</v>
      </c>
      <c r="AI25" s="134">
        <f>+AVERAGE(AI23:AI24)</f>
        <v>0.85479746835443038</v>
      </c>
      <c r="AJ25" s="138"/>
      <c r="AK25" s="139" t="s">
        <v>161</v>
      </c>
      <c r="AL25" s="134">
        <f>+AVERAGE(AL23:AL24)</f>
        <v>0.89954444444444448</v>
      </c>
      <c r="AM25" s="91"/>
      <c r="AN25" s="98" t="s">
        <v>161</v>
      </c>
      <c r="AO25" s="134">
        <f>+AVERAGE(AO23:AO24)</f>
        <v>0.93644444444444441</v>
      </c>
      <c r="AP25" s="138"/>
      <c r="AQ25" s="139" t="s">
        <v>161</v>
      </c>
      <c r="AR25" s="134">
        <f>+AVERAGE(AR23:AR24)</f>
        <v>0.92404804959958664</v>
      </c>
      <c r="AS25" s="138"/>
      <c r="AT25" s="139" t="s">
        <v>161</v>
      </c>
      <c r="AU25" s="134">
        <f>+AVERAGE(AU23:AU24)</f>
        <v>0.98116313614053219</v>
      </c>
      <c r="AV25" s="91"/>
      <c r="AW25" s="237"/>
      <c r="AX25" s="237"/>
      <c r="AY25" s="97"/>
      <c r="AZ25" s="98" t="s">
        <v>162</v>
      </c>
      <c r="BA25" s="99" t="s">
        <v>607</v>
      </c>
      <c r="BB25" s="91"/>
      <c r="BC25" s="98" t="s">
        <v>162</v>
      </c>
      <c r="BD25" s="99" t="s">
        <v>715</v>
      </c>
      <c r="BE25" s="91"/>
      <c r="BF25" s="98" t="s">
        <v>162</v>
      </c>
      <c r="BG25" s="134">
        <v>1.135</v>
      </c>
      <c r="BH25" s="238" t="s">
        <v>586</v>
      </c>
      <c r="BI25" s="98" t="s">
        <v>162</v>
      </c>
      <c r="BJ25" s="134">
        <f>+BJ23</f>
        <v>1.0662857142857143</v>
      </c>
      <c r="BK25" s="91"/>
      <c r="BL25" s="98" t="s">
        <v>162</v>
      </c>
      <c r="BM25" s="134">
        <f>+BM23</f>
        <v>1.0542857142857143</v>
      </c>
      <c r="BN25" s="91"/>
      <c r="BO25" s="98" t="s">
        <v>162</v>
      </c>
      <c r="BP25" s="134">
        <f>+BP23</f>
        <v>0.94285714285714295</v>
      </c>
      <c r="BQ25" s="238" t="s">
        <v>586</v>
      </c>
      <c r="BR25" s="98" t="s">
        <v>162</v>
      </c>
      <c r="BS25" s="134">
        <f>+BS23</f>
        <v>0.82857142857142851</v>
      </c>
      <c r="BT25" s="91"/>
      <c r="BU25" s="98" t="s">
        <v>162</v>
      </c>
      <c r="BV25" s="134">
        <f>+BV23</f>
        <v>0.91428571428571437</v>
      </c>
      <c r="BW25" s="91"/>
      <c r="BX25" s="98" t="s">
        <v>162</v>
      </c>
      <c r="BY25" s="134">
        <f>+BY23</f>
        <v>0.94285714285714295</v>
      </c>
      <c r="BZ25" s="238" t="s">
        <v>586</v>
      </c>
      <c r="CA25" s="98" t="s">
        <v>162</v>
      </c>
      <c r="CB25" s="134">
        <f>+CB23</f>
        <v>0.93404184955309366</v>
      </c>
      <c r="CC25" s="91"/>
      <c r="CD25" s="98" t="s">
        <v>162</v>
      </c>
      <c r="CE25" s="134">
        <f>+CE23</f>
        <v>0.95186518969002776</v>
      </c>
      <c r="CF25" s="91"/>
      <c r="CG25" s="98" t="s">
        <v>162</v>
      </c>
      <c r="CH25" s="134">
        <f>+CH23</f>
        <v>0.96893209461511232</v>
      </c>
      <c r="CI25" s="238" t="s">
        <v>586</v>
      </c>
      <c r="CJ25" s="238" t="s">
        <v>586</v>
      </c>
      <c r="CK25" s="238" t="s">
        <v>586</v>
      </c>
      <c r="CL25" s="238" t="s">
        <v>586</v>
      </c>
      <c r="CM25" s="238" t="s">
        <v>586</v>
      </c>
      <c r="CN25" s="238" t="s">
        <v>586</v>
      </c>
      <c r="CO25" s="238" t="s">
        <v>586</v>
      </c>
      <c r="CP25" s="238" t="s">
        <v>586</v>
      </c>
      <c r="CQ25" s="238" t="s">
        <v>586</v>
      </c>
      <c r="CR25" s="238" t="s">
        <v>586</v>
      </c>
      <c r="CS25" s="238" t="s">
        <v>586</v>
      </c>
      <c r="CT25" s="238" t="s">
        <v>586</v>
      </c>
      <c r="CU25" s="238" t="s">
        <v>586</v>
      </c>
      <c r="CV25" s="238" t="s">
        <v>586</v>
      </c>
      <c r="CW25" s="238" t="s">
        <v>586</v>
      </c>
      <c r="CX25" s="238" t="s">
        <v>586</v>
      </c>
      <c r="CY25" s="238" t="s">
        <v>586</v>
      </c>
      <c r="CZ25" s="238" t="s">
        <v>586</v>
      </c>
      <c r="DA25" s="238" t="s">
        <v>586</v>
      </c>
      <c r="DB25" s="238" t="s">
        <v>586</v>
      </c>
      <c r="DC25" s="238" t="s">
        <v>586</v>
      </c>
      <c r="DD25" s="238" t="s">
        <v>586</v>
      </c>
      <c r="DE25" s="238" t="s">
        <v>586</v>
      </c>
      <c r="DF25" s="238" t="s">
        <v>586</v>
      </c>
      <c r="DG25" s="238" t="s">
        <v>586</v>
      </c>
      <c r="DH25" s="238" t="s">
        <v>586</v>
      </c>
      <c r="DI25" s="238" t="s">
        <v>586</v>
      </c>
      <c r="DJ25" s="238" t="s">
        <v>586</v>
      </c>
      <c r="DK25" s="238" t="s">
        <v>586</v>
      </c>
      <c r="DL25" s="238" t="s">
        <v>586</v>
      </c>
      <c r="DM25" s="238" t="s">
        <v>586</v>
      </c>
      <c r="DN25" s="238" t="s">
        <v>586</v>
      </c>
      <c r="DO25" s="238" t="s">
        <v>586</v>
      </c>
      <c r="DP25" s="238" t="s">
        <v>586</v>
      </c>
      <c r="DQ25" s="238" t="s">
        <v>586</v>
      </c>
      <c r="DR25" s="238" t="s">
        <v>586</v>
      </c>
      <c r="DS25" s="238" t="s">
        <v>586</v>
      </c>
      <c r="DT25" s="238" t="s">
        <v>586</v>
      </c>
      <c r="DU25" s="238" t="s">
        <v>586</v>
      </c>
      <c r="DV25" s="238" t="s">
        <v>586</v>
      </c>
      <c r="DW25" s="238" t="s">
        <v>586</v>
      </c>
      <c r="DX25" s="238" t="s">
        <v>586</v>
      </c>
      <c r="DY25" s="238" t="s">
        <v>586</v>
      </c>
      <c r="DZ25" s="238" t="s">
        <v>586</v>
      </c>
      <c r="EA25" s="238" t="s">
        <v>586</v>
      </c>
      <c r="EB25" s="238" t="s">
        <v>586</v>
      </c>
      <c r="EC25" s="238" t="s">
        <v>586</v>
      </c>
      <c r="ED25" s="238" t="s">
        <v>586</v>
      </c>
      <c r="EE25" s="238" t="s">
        <v>586</v>
      </c>
      <c r="EF25" s="238" t="s">
        <v>586</v>
      </c>
      <c r="EG25" s="238" t="s">
        <v>586</v>
      </c>
      <c r="EH25" s="238" t="s">
        <v>586</v>
      </c>
      <c r="EI25" s="238" t="s">
        <v>586</v>
      </c>
      <c r="EJ25" s="238" t="s">
        <v>586</v>
      </c>
      <c r="EK25" s="238" t="s">
        <v>586</v>
      </c>
      <c r="EL25" s="238" t="s">
        <v>586</v>
      </c>
      <c r="EM25" s="238" t="s">
        <v>586</v>
      </c>
      <c r="EN25" s="238" t="s">
        <v>586</v>
      </c>
      <c r="EO25" s="238" t="s">
        <v>586</v>
      </c>
      <c r="EP25" s="238" t="s">
        <v>586</v>
      </c>
      <c r="EQ25" s="238" t="s">
        <v>586</v>
      </c>
      <c r="ER25" s="238" t="s">
        <v>586</v>
      </c>
      <c r="ES25" s="238" t="s">
        <v>586</v>
      </c>
      <c r="ET25" s="238" t="s">
        <v>586</v>
      </c>
      <c r="EU25" s="238" t="s">
        <v>586</v>
      </c>
      <c r="EV25" s="238" t="s">
        <v>586</v>
      </c>
      <c r="EW25" s="238" t="s">
        <v>586</v>
      </c>
      <c r="EX25" s="238" t="s">
        <v>586</v>
      </c>
      <c r="EY25" s="238" t="s">
        <v>586</v>
      </c>
      <c r="EZ25" s="238" t="s">
        <v>586</v>
      </c>
      <c r="FA25" s="238" t="s">
        <v>586</v>
      </c>
      <c r="FB25" s="238" t="s">
        <v>586</v>
      </c>
      <c r="FC25" s="238" t="s">
        <v>586</v>
      </c>
      <c r="FD25" s="238" t="s">
        <v>586</v>
      </c>
      <c r="FE25" s="238" t="s">
        <v>586</v>
      </c>
      <c r="FF25" s="238" t="s">
        <v>586</v>
      </c>
      <c r="FG25" s="238" t="s">
        <v>586</v>
      </c>
      <c r="FH25" s="238" t="s">
        <v>586</v>
      </c>
      <c r="FI25" s="238" t="s">
        <v>586</v>
      </c>
      <c r="FJ25" s="238" t="s">
        <v>586</v>
      </c>
      <c r="FK25" s="238" t="s">
        <v>586</v>
      </c>
      <c r="FL25" s="238" t="s">
        <v>586</v>
      </c>
      <c r="FM25" s="238" t="s">
        <v>586</v>
      </c>
      <c r="FN25" s="238" t="s">
        <v>586</v>
      </c>
      <c r="FO25" s="237"/>
      <c r="FP25" s="237"/>
      <c r="FQ25" s="237"/>
      <c r="FR25" s="237"/>
    </row>
    <row r="26" spans="1:174" s="89" customFormat="1" ht="48" customHeight="1" x14ac:dyDescent="0.25">
      <c r="A26" s="490" t="s">
        <v>84</v>
      </c>
      <c r="B26" s="490" t="s">
        <v>85</v>
      </c>
      <c r="C26" s="490" t="s">
        <v>2730</v>
      </c>
      <c r="D26" s="490" t="s">
        <v>22</v>
      </c>
      <c r="E26" s="493" t="s">
        <v>716</v>
      </c>
      <c r="F26" s="490" t="s">
        <v>610</v>
      </c>
      <c r="G26" s="490" t="s">
        <v>611</v>
      </c>
      <c r="H26" s="512"/>
      <c r="I26" s="230" t="s">
        <v>717</v>
      </c>
      <c r="J26" s="275" t="s">
        <v>718</v>
      </c>
      <c r="K26" s="275" t="s">
        <v>719</v>
      </c>
      <c r="L26" s="95">
        <v>0.93</v>
      </c>
      <c r="M26" s="244" t="s">
        <v>643</v>
      </c>
      <c r="N26" s="244" t="s">
        <v>643</v>
      </c>
      <c r="O26" s="275" t="s">
        <v>720</v>
      </c>
      <c r="P26" s="232">
        <v>0.9</v>
      </c>
      <c r="Q26" s="232">
        <v>0.97</v>
      </c>
      <c r="R26" s="275" t="s">
        <v>721</v>
      </c>
      <c r="S26" s="232">
        <v>0.9</v>
      </c>
      <c r="T26" s="232">
        <v>0.97</v>
      </c>
      <c r="U26" s="275" t="s">
        <v>722</v>
      </c>
      <c r="V26" s="245">
        <v>0.90620000000000001</v>
      </c>
      <c r="W26" s="245">
        <v>0.97440860215053759</v>
      </c>
      <c r="X26" s="275" t="s">
        <v>924</v>
      </c>
      <c r="Y26" s="232">
        <v>0.91216666599999996</v>
      </c>
      <c r="Z26" s="232">
        <v>0.98082437204301065</v>
      </c>
      <c r="AA26" s="275" t="s">
        <v>945</v>
      </c>
      <c r="AB26" s="232">
        <v>0.91662222000000004</v>
      </c>
      <c r="AC26" s="232">
        <v>0.98561529032258066</v>
      </c>
      <c r="AD26" s="275" t="s">
        <v>969</v>
      </c>
      <c r="AE26" s="245">
        <v>0.92024074074074103</v>
      </c>
      <c r="AF26" s="245">
        <v>0.98950617283950648</v>
      </c>
      <c r="AG26" s="275" t="s">
        <v>1497</v>
      </c>
      <c r="AH26" s="232">
        <v>0.9261803751803751</v>
      </c>
      <c r="AI26" s="232">
        <v>0.99589287653803771</v>
      </c>
      <c r="AJ26" s="275" t="s">
        <v>1498</v>
      </c>
      <c r="AK26" s="232">
        <v>0.93030366161616196</v>
      </c>
      <c r="AL26" s="232">
        <v>1.0003265178668408</v>
      </c>
      <c r="AM26" s="275" t="s">
        <v>1499</v>
      </c>
      <c r="AN26" s="245">
        <v>0.93326900000000002</v>
      </c>
      <c r="AO26" s="245">
        <v>1.0035150537634407</v>
      </c>
      <c r="AP26" s="275" t="s">
        <v>1895</v>
      </c>
      <c r="AQ26" s="232">
        <v>0.93427626262626295</v>
      </c>
      <c r="AR26" s="232">
        <v>1.0045981318561967</v>
      </c>
      <c r="AS26" s="275" t="s">
        <v>1896</v>
      </c>
      <c r="AT26" s="232">
        <v>0.93625114784205699</v>
      </c>
      <c r="AU26" s="232">
        <v>1.0067216643462977</v>
      </c>
      <c r="AV26" s="275" t="s">
        <v>1897</v>
      </c>
      <c r="AW26" s="275" t="s">
        <v>723</v>
      </c>
      <c r="AX26" s="275" t="s">
        <v>724</v>
      </c>
      <c r="AY26" s="232">
        <v>0.93</v>
      </c>
      <c r="AZ26" s="244" t="s">
        <v>643</v>
      </c>
      <c r="BA26" s="244" t="s">
        <v>643</v>
      </c>
      <c r="BB26" s="275" t="s">
        <v>725</v>
      </c>
      <c r="BC26" s="232">
        <v>0.9</v>
      </c>
      <c r="BD26" s="232">
        <v>0.97</v>
      </c>
      <c r="BE26" s="275" t="s">
        <v>726</v>
      </c>
      <c r="BF26" s="232">
        <v>0.9</v>
      </c>
      <c r="BG26" s="232">
        <v>0.97</v>
      </c>
      <c r="BH26" s="275" t="s">
        <v>727</v>
      </c>
      <c r="BI26" s="232">
        <v>0.90620000000000001</v>
      </c>
      <c r="BJ26" s="232">
        <v>0.97440860215053759</v>
      </c>
      <c r="BK26" s="275" t="s">
        <v>934</v>
      </c>
      <c r="BL26" s="232">
        <v>0.91523900000000002</v>
      </c>
      <c r="BM26" s="232">
        <v>0.98412795698924727</v>
      </c>
      <c r="BN26" s="275" t="s">
        <v>957</v>
      </c>
      <c r="BO26" s="232">
        <v>0.92462569999999999</v>
      </c>
      <c r="BP26" s="232">
        <v>0.99422118279569882</v>
      </c>
      <c r="BQ26" s="275" t="s">
        <v>982</v>
      </c>
      <c r="BR26" s="232">
        <v>0.92781429381833902</v>
      </c>
      <c r="BS26" s="232">
        <v>0.99764977829928925</v>
      </c>
      <c r="BT26" s="275" t="s">
        <v>1500</v>
      </c>
      <c r="BU26" s="232">
        <v>0.93315382046649298</v>
      </c>
      <c r="BV26" s="232">
        <v>1.0033912048026805</v>
      </c>
      <c r="BW26" s="275" t="s">
        <v>1501</v>
      </c>
      <c r="BX26" s="232">
        <v>0.93668899999999999</v>
      </c>
      <c r="BY26" s="232">
        <v>1.0071924731182795</v>
      </c>
      <c r="BZ26" s="275" t="s">
        <v>1502</v>
      </c>
      <c r="CA26" s="232">
        <v>0.93898636000000002</v>
      </c>
      <c r="CB26" s="232">
        <v>1.0096627526881701</v>
      </c>
      <c r="CC26" s="275" t="s">
        <v>1898</v>
      </c>
      <c r="CD26" s="232">
        <v>0.93953688418159698</v>
      </c>
      <c r="CE26" s="232">
        <v>1.0102547141737601</v>
      </c>
      <c r="CF26" s="275" t="s">
        <v>1899</v>
      </c>
      <c r="CG26" s="232">
        <v>0.94123142464402398</v>
      </c>
      <c r="CH26" s="232">
        <v>1.0120768006924989</v>
      </c>
      <c r="CI26" s="275" t="s">
        <v>1900</v>
      </c>
      <c r="CJ26" s="275" t="s">
        <v>728</v>
      </c>
      <c r="CK26" s="275" t="s">
        <v>729</v>
      </c>
      <c r="CL26" s="277" t="s">
        <v>586</v>
      </c>
      <c r="CM26" s="277" t="s">
        <v>586</v>
      </c>
      <c r="CN26" s="277" t="s">
        <v>586</v>
      </c>
      <c r="CO26" s="277" t="s">
        <v>586</v>
      </c>
      <c r="CP26" s="277" t="s">
        <v>586</v>
      </c>
      <c r="CQ26" s="277" t="s">
        <v>586</v>
      </c>
      <c r="CR26" s="277" t="s">
        <v>586</v>
      </c>
      <c r="CS26" s="277" t="s">
        <v>586</v>
      </c>
      <c r="CT26" s="277" t="s">
        <v>586</v>
      </c>
      <c r="CU26" s="277" t="s">
        <v>586</v>
      </c>
      <c r="CV26" s="277" t="s">
        <v>586</v>
      </c>
      <c r="CW26" s="277" t="s">
        <v>586</v>
      </c>
      <c r="CX26" s="277" t="s">
        <v>586</v>
      </c>
      <c r="CY26" s="277" t="s">
        <v>586</v>
      </c>
      <c r="CZ26" s="277" t="s">
        <v>586</v>
      </c>
      <c r="DA26" s="277" t="s">
        <v>586</v>
      </c>
      <c r="DB26" s="277" t="s">
        <v>586</v>
      </c>
      <c r="DC26" s="277" t="s">
        <v>586</v>
      </c>
      <c r="DD26" s="277" t="s">
        <v>586</v>
      </c>
      <c r="DE26" s="277" t="s">
        <v>586</v>
      </c>
      <c r="DF26" s="277" t="s">
        <v>586</v>
      </c>
      <c r="DG26" s="277" t="s">
        <v>586</v>
      </c>
      <c r="DH26" s="277" t="s">
        <v>586</v>
      </c>
      <c r="DI26" s="277" t="s">
        <v>586</v>
      </c>
      <c r="DJ26" s="277" t="s">
        <v>586</v>
      </c>
      <c r="DK26" s="277" t="s">
        <v>586</v>
      </c>
      <c r="DL26" s="277" t="s">
        <v>586</v>
      </c>
      <c r="DM26" s="277" t="s">
        <v>586</v>
      </c>
      <c r="DN26" s="277" t="s">
        <v>586</v>
      </c>
      <c r="DO26" s="277" t="s">
        <v>586</v>
      </c>
      <c r="DP26" s="277" t="s">
        <v>586</v>
      </c>
      <c r="DQ26" s="277" t="s">
        <v>586</v>
      </c>
      <c r="DR26" s="277" t="s">
        <v>586</v>
      </c>
      <c r="DS26" s="277" t="s">
        <v>586</v>
      </c>
      <c r="DT26" s="277" t="s">
        <v>586</v>
      </c>
      <c r="DU26" s="277" t="s">
        <v>586</v>
      </c>
      <c r="DV26" s="277" t="s">
        <v>586</v>
      </c>
      <c r="DW26" s="277" t="s">
        <v>586</v>
      </c>
      <c r="DX26" s="277" t="s">
        <v>586</v>
      </c>
      <c r="DY26" s="277" t="s">
        <v>586</v>
      </c>
      <c r="DZ26" s="277" t="s">
        <v>586</v>
      </c>
      <c r="EA26" s="277" t="s">
        <v>586</v>
      </c>
      <c r="EB26" s="277" t="s">
        <v>586</v>
      </c>
      <c r="EC26" s="277" t="s">
        <v>586</v>
      </c>
      <c r="ED26" s="277" t="s">
        <v>586</v>
      </c>
      <c r="EE26" s="277" t="s">
        <v>586</v>
      </c>
      <c r="EF26" s="277" t="s">
        <v>586</v>
      </c>
      <c r="EG26" s="277" t="s">
        <v>586</v>
      </c>
      <c r="EH26" s="277" t="s">
        <v>586</v>
      </c>
      <c r="EI26" s="277" t="s">
        <v>586</v>
      </c>
      <c r="EJ26" s="277" t="s">
        <v>586</v>
      </c>
      <c r="EK26" s="277" t="s">
        <v>586</v>
      </c>
      <c r="EL26" s="277" t="s">
        <v>586</v>
      </c>
      <c r="EM26" s="277" t="s">
        <v>586</v>
      </c>
      <c r="EN26" s="277" t="s">
        <v>586</v>
      </c>
      <c r="EO26" s="277" t="s">
        <v>586</v>
      </c>
      <c r="EP26" s="277" t="s">
        <v>586</v>
      </c>
      <c r="EQ26" s="277" t="s">
        <v>586</v>
      </c>
      <c r="ER26" s="277" t="s">
        <v>586</v>
      </c>
      <c r="ES26" s="277" t="s">
        <v>586</v>
      </c>
      <c r="ET26" s="277" t="s">
        <v>586</v>
      </c>
      <c r="EU26" s="277" t="s">
        <v>586</v>
      </c>
      <c r="EV26" s="277" t="s">
        <v>586</v>
      </c>
      <c r="EW26" s="277" t="s">
        <v>586</v>
      </c>
      <c r="EX26" s="277" t="s">
        <v>586</v>
      </c>
      <c r="EY26" s="277" t="s">
        <v>586</v>
      </c>
      <c r="EZ26" s="277" t="s">
        <v>586</v>
      </c>
      <c r="FA26" s="277" t="s">
        <v>586</v>
      </c>
      <c r="FB26" s="277" t="s">
        <v>586</v>
      </c>
      <c r="FC26" s="277" t="s">
        <v>586</v>
      </c>
      <c r="FD26" s="277" t="s">
        <v>586</v>
      </c>
      <c r="FE26" s="277" t="s">
        <v>586</v>
      </c>
      <c r="FF26" s="277" t="s">
        <v>586</v>
      </c>
      <c r="FG26" s="277" t="s">
        <v>586</v>
      </c>
      <c r="FH26" s="277" t="s">
        <v>586</v>
      </c>
      <c r="FI26" s="277" t="s">
        <v>586</v>
      </c>
      <c r="FJ26" s="277" t="s">
        <v>586</v>
      </c>
      <c r="FK26" s="277" t="s">
        <v>586</v>
      </c>
      <c r="FL26" s="277" t="s">
        <v>586</v>
      </c>
      <c r="FM26" s="277" t="s">
        <v>586</v>
      </c>
      <c r="FN26" s="277" t="s">
        <v>586</v>
      </c>
      <c r="FO26" s="277" t="s">
        <v>586</v>
      </c>
      <c r="FP26" s="277" t="s">
        <v>586</v>
      </c>
      <c r="FQ26" s="277" t="s">
        <v>586</v>
      </c>
      <c r="FR26" s="277" t="s">
        <v>586</v>
      </c>
    </row>
    <row r="27" spans="1:174" s="89" customFormat="1" ht="48" customHeight="1" x14ac:dyDescent="0.25">
      <c r="A27" s="491"/>
      <c r="B27" s="491"/>
      <c r="C27" s="491"/>
      <c r="D27" s="491"/>
      <c r="E27" s="494"/>
      <c r="F27" s="491"/>
      <c r="G27" s="491"/>
      <c r="H27" s="512"/>
      <c r="I27" s="274" t="s">
        <v>730</v>
      </c>
      <c r="J27" s="234" t="s">
        <v>731</v>
      </c>
      <c r="K27" s="234" t="s">
        <v>732</v>
      </c>
      <c r="L27" s="96">
        <v>0.93</v>
      </c>
      <c r="M27" s="135">
        <v>0.04</v>
      </c>
      <c r="N27" s="135">
        <v>0.04</v>
      </c>
      <c r="O27" s="234" t="s">
        <v>733</v>
      </c>
      <c r="P27" s="135">
        <v>0.1</v>
      </c>
      <c r="Q27" s="135">
        <v>0.11</v>
      </c>
      <c r="R27" s="234" t="s">
        <v>734</v>
      </c>
      <c r="S27" s="135">
        <v>0.2</v>
      </c>
      <c r="T27" s="135">
        <v>0.22</v>
      </c>
      <c r="U27" s="234" t="s">
        <v>735</v>
      </c>
      <c r="V27" s="135">
        <v>0.28439999999999999</v>
      </c>
      <c r="W27" s="135">
        <v>0.30580645161290321</v>
      </c>
      <c r="X27" s="234" t="s">
        <v>925</v>
      </c>
      <c r="Y27" s="135">
        <v>0.38532100000000002</v>
      </c>
      <c r="Z27" s="135">
        <v>0.41432365591397852</v>
      </c>
      <c r="AA27" s="234" t="s">
        <v>946</v>
      </c>
      <c r="AB27" s="135">
        <v>0.550458</v>
      </c>
      <c r="AC27" s="135">
        <v>0.59189032258064511</v>
      </c>
      <c r="AD27" s="234" t="s">
        <v>970</v>
      </c>
      <c r="AE27" s="135">
        <v>0.63302752293578002</v>
      </c>
      <c r="AF27" s="135">
        <v>0.68067475584492476</v>
      </c>
      <c r="AG27" s="234" t="s">
        <v>1503</v>
      </c>
      <c r="AH27" s="135">
        <v>0.74311926605504697</v>
      </c>
      <c r="AI27" s="135">
        <v>0.79905297425273858</v>
      </c>
      <c r="AJ27" s="234" t="s">
        <v>1504</v>
      </c>
      <c r="AK27" s="135">
        <v>0.807339449541285</v>
      </c>
      <c r="AL27" s="135">
        <v>0.86810693499062896</v>
      </c>
      <c r="AM27" s="234" t="s">
        <v>1505</v>
      </c>
      <c r="AN27" s="135">
        <v>0.86238530000000002</v>
      </c>
      <c r="AO27" s="135">
        <v>0.92729602150537627</v>
      </c>
      <c r="AP27" s="234" t="s">
        <v>1901</v>
      </c>
      <c r="AQ27" s="135">
        <v>1</v>
      </c>
      <c r="AR27" s="135">
        <v>1.075268817204301</v>
      </c>
      <c r="AS27" s="234" t="s">
        <v>1902</v>
      </c>
      <c r="AT27" s="135">
        <v>1</v>
      </c>
      <c r="AU27" s="135">
        <v>1.075268817204301</v>
      </c>
      <c r="AV27" s="234" t="s">
        <v>1903</v>
      </c>
      <c r="AW27" s="488" t="s">
        <v>93</v>
      </c>
      <c r="AX27" s="488"/>
      <c r="AY27" s="489"/>
      <c r="AZ27" s="235" t="s">
        <v>586</v>
      </c>
      <c r="BA27" s="235" t="s">
        <v>586</v>
      </c>
      <c r="BB27" s="239" t="s">
        <v>586</v>
      </c>
      <c r="BC27" s="235" t="s">
        <v>586</v>
      </c>
      <c r="BD27" s="235" t="s">
        <v>586</v>
      </c>
      <c r="BE27" s="239" t="s">
        <v>586</v>
      </c>
      <c r="BF27" s="235" t="s">
        <v>586</v>
      </c>
      <c r="BG27" s="235" t="s">
        <v>586</v>
      </c>
      <c r="BH27" s="239" t="s">
        <v>586</v>
      </c>
      <c r="BI27" s="235" t="s">
        <v>586</v>
      </c>
      <c r="BJ27" s="235" t="s">
        <v>586</v>
      </c>
      <c r="BK27" s="239" t="s">
        <v>586</v>
      </c>
      <c r="BL27" s="235" t="s">
        <v>586</v>
      </c>
      <c r="BM27" s="235" t="s">
        <v>586</v>
      </c>
      <c r="BN27" s="239" t="s">
        <v>586</v>
      </c>
      <c r="BO27" s="235" t="s">
        <v>586</v>
      </c>
      <c r="BP27" s="235" t="s">
        <v>586</v>
      </c>
      <c r="BQ27" s="239" t="s">
        <v>586</v>
      </c>
      <c r="BR27" s="235" t="s">
        <v>586</v>
      </c>
      <c r="BS27" s="235" t="s">
        <v>586</v>
      </c>
      <c r="BT27" s="239" t="s">
        <v>586</v>
      </c>
      <c r="BU27" s="235" t="s">
        <v>586</v>
      </c>
      <c r="BV27" s="235" t="s">
        <v>586</v>
      </c>
      <c r="BW27" s="239" t="s">
        <v>586</v>
      </c>
      <c r="BX27" s="235" t="s">
        <v>586</v>
      </c>
      <c r="BY27" s="235" t="s">
        <v>586</v>
      </c>
      <c r="BZ27" s="239" t="s">
        <v>586</v>
      </c>
      <c r="CA27" s="235" t="s">
        <v>586</v>
      </c>
      <c r="CB27" s="235" t="s">
        <v>586</v>
      </c>
      <c r="CC27" s="239" t="s">
        <v>586</v>
      </c>
      <c r="CD27" s="235" t="s">
        <v>586</v>
      </c>
      <c r="CE27" s="235" t="s">
        <v>586</v>
      </c>
      <c r="CF27" s="239" t="s">
        <v>586</v>
      </c>
      <c r="CG27" s="235" t="s">
        <v>586</v>
      </c>
      <c r="CH27" s="235" t="s">
        <v>586</v>
      </c>
      <c r="CI27" s="239" t="s">
        <v>586</v>
      </c>
      <c r="CJ27" s="234" t="s">
        <v>728</v>
      </c>
      <c r="CK27" s="234" t="s">
        <v>729</v>
      </c>
      <c r="CL27" s="277" t="s">
        <v>586</v>
      </c>
      <c r="CM27" s="277" t="s">
        <v>586</v>
      </c>
      <c r="CN27" s="277" t="s">
        <v>586</v>
      </c>
      <c r="CO27" s="277" t="s">
        <v>586</v>
      </c>
      <c r="CP27" s="277" t="s">
        <v>586</v>
      </c>
      <c r="CQ27" s="277" t="s">
        <v>586</v>
      </c>
      <c r="CR27" s="277" t="s">
        <v>586</v>
      </c>
      <c r="CS27" s="277" t="s">
        <v>586</v>
      </c>
      <c r="CT27" s="277" t="s">
        <v>586</v>
      </c>
      <c r="CU27" s="277" t="s">
        <v>586</v>
      </c>
      <c r="CV27" s="277" t="s">
        <v>586</v>
      </c>
      <c r="CW27" s="277" t="s">
        <v>586</v>
      </c>
      <c r="CX27" s="277" t="s">
        <v>586</v>
      </c>
      <c r="CY27" s="277" t="s">
        <v>586</v>
      </c>
      <c r="CZ27" s="277" t="s">
        <v>586</v>
      </c>
      <c r="DA27" s="277" t="s">
        <v>586</v>
      </c>
      <c r="DB27" s="277" t="s">
        <v>586</v>
      </c>
      <c r="DC27" s="277" t="s">
        <v>586</v>
      </c>
      <c r="DD27" s="277" t="s">
        <v>586</v>
      </c>
      <c r="DE27" s="277" t="s">
        <v>586</v>
      </c>
      <c r="DF27" s="277" t="s">
        <v>586</v>
      </c>
      <c r="DG27" s="277" t="s">
        <v>586</v>
      </c>
      <c r="DH27" s="277" t="s">
        <v>586</v>
      </c>
      <c r="DI27" s="277" t="s">
        <v>586</v>
      </c>
      <c r="DJ27" s="277" t="s">
        <v>586</v>
      </c>
      <c r="DK27" s="277" t="s">
        <v>586</v>
      </c>
      <c r="DL27" s="277" t="s">
        <v>586</v>
      </c>
      <c r="DM27" s="277" t="s">
        <v>586</v>
      </c>
      <c r="DN27" s="277" t="s">
        <v>586</v>
      </c>
      <c r="DO27" s="277" t="s">
        <v>586</v>
      </c>
      <c r="DP27" s="277" t="s">
        <v>586</v>
      </c>
      <c r="DQ27" s="277" t="s">
        <v>586</v>
      </c>
      <c r="DR27" s="277" t="s">
        <v>586</v>
      </c>
      <c r="DS27" s="277" t="s">
        <v>586</v>
      </c>
      <c r="DT27" s="277" t="s">
        <v>586</v>
      </c>
      <c r="DU27" s="277" t="s">
        <v>586</v>
      </c>
      <c r="DV27" s="277" t="s">
        <v>586</v>
      </c>
      <c r="DW27" s="277" t="s">
        <v>586</v>
      </c>
      <c r="DX27" s="277" t="s">
        <v>586</v>
      </c>
      <c r="DY27" s="277" t="s">
        <v>586</v>
      </c>
      <c r="DZ27" s="277" t="s">
        <v>586</v>
      </c>
      <c r="EA27" s="277" t="s">
        <v>586</v>
      </c>
      <c r="EB27" s="277" t="s">
        <v>586</v>
      </c>
      <c r="EC27" s="277" t="s">
        <v>586</v>
      </c>
      <c r="ED27" s="277" t="s">
        <v>586</v>
      </c>
      <c r="EE27" s="277" t="s">
        <v>586</v>
      </c>
      <c r="EF27" s="277" t="s">
        <v>586</v>
      </c>
      <c r="EG27" s="277" t="s">
        <v>586</v>
      </c>
      <c r="EH27" s="277" t="s">
        <v>586</v>
      </c>
      <c r="EI27" s="277" t="s">
        <v>586</v>
      </c>
      <c r="EJ27" s="277" t="s">
        <v>586</v>
      </c>
      <c r="EK27" s="277" t="s">
        <v>586</v>
      </c>
      <c r="EL27" s="277" t="s">
        <v>586</v>
      </c>
      <c r="EM27" s="277" t="s">
        <v>586</v>
      </c>
      <c r="EN27" s="277" t="s">
        <v>586</v>
      </c>
      <c r="EO27" s="277" t="s">
        <v>586</v>
      </c>
      <c r="EP27" s="277" t="s">
        <v>586</v>
      </c>
      <c r="EQ27" s="277" t="s">
        <v>586</v>
      </c>
      <c r="ER27" s="277" t="s">
        <v>586</v>
      </c>
      <c r="ES27" s="277" t="s">
        <v>586</v>
      </c>
      <c r="ET27" s="277" t="s">
        <v>586</v>
      </c>
      <c r="EU27" s="277" t="s">
        <v>586</v>
      </c>
      <c r="EV27" s="277" t="s">
        <v>586</v>
      </c>
      <c r="EW27" s="277" t="s">
        <v>586</v>
      </c>
      <c r="EX27" s="277" t="s">
        <v>586</v>
      </c>
      <c r="EY27" s="277" t="s">
        <v>586</v>
      </c>
      <c r="EZ27" s="277" t="s">
        <v>586</v>
      </c>
      <c r="FA27" s="277" t="s">
        <v>586</v>
      </c>
      <c r="FB27" s="277" t="s">
        <v>586</v>
      </c>
      <c r="FC27" s="277" t="s">
        <v>586</v>
      </c>
      <c r="FD27" s="277" t="s">
        <v>586</v>
      </c>
      <c r="FE27" s="277" t="s">
        <v>586</v>
      </c>
      <c r="FF27" s="277" t="s">
        <v>586</v>
      </c>
      <c r="FG27" s="277" t="s">
        <v>586</v>
      </c>
      <c r="FH27" s="277" t="s">
        <v>586</v>
      </c>
      <c r="FI27" s="277" t="s">
        <v>586</v>
      </c>
      <c r="FJ27" s="277" t="s">
        <v>586</v>
      </c>
      <c r="FK27" s="277" t="s">
        <v>586</v>
      </c>
      <c r="FL27" s="277" t="s">
        <v>586</v>
      </c>
      <c r="FM27" s="277" t="s">
        <v>586</v>
      </c>
      <c r="FN27" s="277" t="s">
        <v>586</v>
      </c>
      <c r="FO27" s="277" t="s">
        <v>586</v>
      </c>
      <c r="FP27" s="277" t="s">
        <v>586</v>
      </c>
      <c r="FQ27" s="277" t="s">
        <v>586</v>
      </c>
      <c r="FR27" s="277" t="s">
        <v>586</v>
      </c>
    </row>
    <row r="28" spans="1:174" s="2" customFormat="1" ht="75" customHeight="1" x14ac:dyDescent="0.25">
      <c r="A28" s="491"/>
      <c r="B28" s="491"/>
      <c r="C28" s="491"/>
      <c r="D28" s="491"/>
      <c r="E28" s="494"/>
      <c r="F28" s="491"/>
      <c r="G28" s="491"/>
      <c r="H28" s="512"/>
      <c r="I28" s="274" t="s">
        <v>736</v>
      </c>
      <c r="J28" s="234" t="s">
        <v>737</v>
      </c>
      <c r="K28" s="234" t="s">
        <v>738</v>
      </c>
      <c r="L28" s="96">
        <v>0.93</v>
      </c>
      <c r="M28" s="135">
        <v>0.05</v>
      </c>
      <c r="N28" s="135">
        <v>0.05</v>
      </c>
      <c r="O28" s="234" t="s">
        <v>739</v>
      </c>
      <c r="P28" s="135">
        <v>0.15</v>
      </c>
      <c r="Q28" s="135">
        <v>0.16</v>
      </c>
      <c r="R28" s="234" t="s">
        <v>740</v>
      </c>
      <c r="S28" s="135">
        <v>0.25</v>
      </c>
      <c r="T28" s="135">
        <v>0.27</v>
      </c>
      <c r="U28" s="234" t="s">
        <v>741</v>
      </c>
      <c r="V28" s="135">
        <v>0.35</v>
      </c>
      <c r="W28" s="135">
        <v>0.37634408602150532</v>
      </c>
      <c r="X28" s="234" t="s">
        <v>926</v>
      </c>
      <c r="Y28" s="135">
        <v>0.5</v>
      </c>
      <c r="Z28" s="135">
        <v>0.5376344086021505</v>
      </c>
      <c r="AA28" s="234" t="s">
        <v>947</v>
      </c>
      <c r="AB28" s="135">
        <v>0.6</v>
      </c>
      <c r="AC28" s="135">
        <v>0.64516129032258063</v>
      </c>
      <c r="AD28" s="234" t="s">
        <v>971</v>
      </c>
      <c r="AE28" s="135">
        <v>0.6</v>
      </c>
      <c r="AF28" s="135">
        <v>0.64516129032258063</v>
      </c>
      <c r="AG28" s="234" t="s">
        <v>1506</v>
      </c>
      <c r="AH28" s="135">
        <v>0.6</v>
      </c>
      <c r="AI28" s="135">
        <v>0.64516129032258063</v>
      </c>
      <c r="AJ28" s="234" t="s">
        <v>1507</v>
      </c>
      <c r="AK28" s="135">
        <v>0.76666659999999998</v>
      </c>
      <c r="AL28" s="135">
        <v>0.8243726881720429</v>
      </c>
      <c r="AM28" s="234" t="s">
        <v>1508</v>
      </c>
      <c r="AN28" s="135">
        <v>0.76666659999999998</v>
      </c>
      <c r="AO28" s="135">
        <v>0.8243726881720429</v>
      </c>
      <c r="AP28" s="234" t="s">
        <v>1904</v>
      </c>
      <c r="AQ28" s="135">
        <v>1</v>
      </c>
      <c r="AR28" s="135">
        <v>1.075268817204301</v>
      </c>
      <c r="AS28" s="234" t="s">
        <v>1905</v>
      </c>
      <c r="AT28" s="135">
        <v>1</v>
      </c>
      <c r="AU28" s="135">
        <v>1.075268817204301</v>
      </c>
      <c r="AV28" s="234" t="s">
        <v>1906</v>
      </c>
      <c r="AW28" s="488" t="s">
        <v>93</v>
      </c>
      <c r="AX28" s="488"/>
      <c r="AY28" s="489"/>
      <c r="AZ28" s="235" t="s">
        <v>586</v>
      </c>
      <c r="BA28" s="235" t="s">
        <v>586</v>
      </c>
      <c r="BB28" s="239" t="s">
        <v>586</v>
      </c>
      <c r="BC28" s="235" t="s">
        <v>586</v>
      </c>
      <c r="BD28" s="235" t="s">
        <v>586</v>
      </c>
      <c r="BE28" s="239" t="s">
        <v>586</v>
      </c>
      <c r="BF28" s="235" t="s">
        <v>586</v>
      </c>
      <c r="BG28" s="235" t="s">
        <v>586</v>
      </c>
      <c r="BH28" s="239" t="s">
        <v>586</v>
      </c>
      <c r="BI28" s="235" t="s">
        <v>586</v>
      </c>
      <c r="BJ28" s="235" t="s">
        <v>586</v>
      </c>
      <c r="BK28" s="239" t="s">
        <v>586</v>
      </c>
      <c r="BL28" s="235" t="s">
        <v>586</v>
      </c>
      <c r="BM28" s="235" t="s">
        <v>586</v>
      </c>
      <c r="BN28" s="239" t="s">
        <v>586</v>
      </c>
      <c r="BO28" s="235" t="s">
        <v>586</v>
      </c>
      <c r="BP28" s="235" t="s">
        <v>586</v>
      </c>
      <c r="BQ28" s="239" t="s">
        <v>586</v>
      </c>
      <c r="BR28" s="235" t="s">
        <v>586</v>
      </c>
      <c r="BS28" s="235" t="s">
        <v>586</v>
      </c>
      <c r="BT28" s="239" t="s">
        <v>586</v>
      </c>
      <c r="BU28" s="235" t="s">
        <v>586</v>
      </c>
      <c r="BV28" s="235" t="s">
        <v>586</v>
      </c>
      <c r="BW28" s="239" t="s">
        <v>586</v>
      </c>
      <c r="BX28" s="235" t="s">
        <v>586</v>
      </c>
      <c r="BY28" s="235" t="s">
        <v>586</v>
      </c>
      <c r="BZ28" s="239" t="s">
        <v>586</v>
      </c>
      <c r="CA28" s="235" t="s">
        <v>586</v>
      </c>
      <c r="CB28" s="235" t="s">
        <v>586</v>
      </c>
      <c r="CC28" s="239" t="s">
        <v>586</v>
      </c>
      <c r="CD28" s="235" t="s">
        <v>586</v>
      </c>
      <c r="CE28" s="235" t="s">
        <v>586</v>
      </c>
      <c r="CF28" s="239" t="s">
        <v>586</v>
      </c>
      <c r="CG28" s="235" t="s">
        <v>586</v>
      </c>
      <c r="CH28" s="235" t="s">
        <v>586</v>
      </c>
      <c r="CI28" s="239" t="s">
        <v>586</v>
      </c>
      <c r="CJ28" s="234" t="s">
        <v>728</v>
      </c>
      <c r="CK28" s="234" t="s">
        <v>729</v>
      </c>
      <c r="CL28" s="277" t="s">
        <v>586</v>
      </c>
      <c r="CM28" s="277" t="s">
        <v>586</v>
      </c>
      <c r="CN28" s="277" t="s">
        <v>586</v>
      </c>
      <c r="CO28" s="277" t="s">
        <v>586</v>
      </c>
      <c r="CP28" s="277" t="s">
        <v>586</v>
      </c>
      <c r="CQ28" s="277" t="s">
        <v>586</v>
      </c>
      <c r="CR28" s="277" t="s">
        <v>586</v>
      </c>
      <c r="CS28" s="277" t="s">
        <v>586</v>
      </c>
      <c r="CT28" s="277" t="s">
        <v>586</v>
      </c>
      <c r="CU28" s="277" t="s">
        <v>586</v>
      </c>
      <c r="CV28" s="277" t="s">
        <v>586</v>
      </c>
      <c r="CW28" s="277" t="s">
        <v>586</v>
      </c>
      <c r="CX28" s="277" t="s">
        <v>586</v>
      </c>
      <c r="CY28" s="277" t="s">
        <v>586</v>
      </c>
      <c r="CZ28" s="277" t="s">
        <v>586</v>
      </c>
      <c r="DA28" s="277" t="s">
        <v>586</v>
      </c>
      <c r="DB28" s="277" t="s">
        <v>586</v>
      </c>
      <c r="DC28" s="277" t="s">
        <v>586</v>
      </c>
      <c r="DD28" s="277" t="s">
        <v>586</v>
      </c>
      <c r="DE28" s="277" t="s">
        <v>586</v>
      </c>
      <c r="DF28" s="277" t="s">
        <v>586</v>
      </c>
      <c r="DG28" s="277" t="s">
        <v>586</v>
      </c>
      <c r="DH28" s="277" t="s">
        <v>586</v>
      </c>
      <c r="DI28" s="277" t="s">
        <v>586</v>
      </c>
      <c r="DJ28" s="277" t="s">
        <v>586</v>
      </c>
      <c r="DK28" s="277" t="s">
        <v>586</v>
      </c>
      <c r="DL28" s="277" t="s">
        <v>586</v>
      </c>
      <c r="DM28" s="277" t="s">
        <v>586</v>
      </c>
      <c r="DN28" s="277" t="s">
        <v>586</v>
      </c>
      <c r="DO28" s="277" t="s">
        <v>586</v>
      </c>
      <c r="DP28" s="277" t="s">
        <v>586</v>
      </c>
      <c r="DQ28" s="277" t="s">
        <v>586</v>
      </c>
      <c r="DR28" s="277" t="s">
        <v>586</v>
      </c>
      <c r="DS28" s="277" t="s">
        <v>586</v>
      </c>
      <c r="DT28" s="277" t="s">
        <v>586</v>
      </c>
      <c r="DU28" s="277" t="s">
        <v>586</v>
      </c>
      <c r="DV28" s="277" t="s">
        <v>586</v>
      </c>
      <c r="DW28" s="277" t="s">
        <v>586</v>
      </c>
      <c r="DX28" s="277" t="s">
        <v>586</v>
      </c>
      <c r="DY28" s="277" t="s">
        <v>586</v>
      </c>
      <c r="DZ28" s="277" t="s">
        <v>586</v>
      </c>
      <c r="EA28" s="277" t="s">
        <v>586</v>
      </c>
      <c r="EB28" s="277" t="s">
        <v>586</v>
      </c>
      <c r="EC28" s="277" t="s">
        <v>586</v>
      </c>
      <c r="ED28" s="277" t="s">
        <v>586</v>
      </c>
      <c r="EE28" s="277" t="s">
        <v>586</v>
      </c>
      <c r="EF28" s="277" t="s">
        <v>586</v>
      </c>
      <c r="EG28" s="277" t="s">
        <v>586</v>
      </c>
      <c r="EH28" s="277" t="s">
        <v>586</v>
      </c>
      <c r="EI28" s="277" t="s">
        <v>586</v>
      </c>
      <c r="EJ28" s="277" t="s">
        <v>586</v>
      </c>
      <c r="EK28" s="277" t="s">
        <v>586</v>
      </c>
      <c r="EL28" s="277" t="s">
        <v>586</v>
      </c>
      <c r="EM28" s="277" t="s">
        <v>586</v>
      </c>
      <c r="EN28" s="277" t="s">
        <v>586</v>
      </c>
      <c r="EO28" s="277" t="s">
        <v>586</v>
      </c>
      <c r="EP28" s="277" t="s">
        <v>586</v>
      </c>
      <c r="EQ28" s="277" t="s">
        <v>586</v>
      </c>
      <c r="ER28" s="277" t="s">
        <v>586</v>
      </c>
      <c r="ES28" s="277" t="s">
        <v>586</v>
      </c>
      <c r="ET28" s="277" t="s">
        <v>586</v>
      </c>
      <c r="EU28" s="277" t="s">
        <v>586</v>
      </c>
      <c r="EV28" s="277" t="s">
        <v>586</v>
      </c>
      <c r="EW28" s="277" t="s">
        <v>586</v>
      </c>
      <c r="EX28" s="277" t="s">
        <v>586</v>
      </c>
      <c r="EY28" s="277" t="s">
        <v>586</v>
      </c>
      <c r="EZ28" s="277" t="s">
        <v>586</v>
      </c>
      <c r="FA28" s="277" t="s">
        <v>586</v>
      </c>
      <c r="FB28" s="277" t="s">
        <v>586</v>
      </c>
      <c r="FC28" s="277" t="s">
        <v>586</v>
      </c>
      <c r="FD28" s="277" t="s">
        <v>586</v>
      </c>
      <c r="FE28" s="277" t="s">
        <v>586</v>
      </c>
      <c r="FF28" s="277" t="s">
        <v>586</v>
      </c>
      <c r="FG28" s="277" t="s">
        <v>586</v>
      </c>
      <c r="FH28" s="277" t="s">
        <v>586</v>
      </c>
      <c r="FI28" s="277" t="s">
        <v>586</v>
      </c>
      <c r="FJ28" s="277" t="s">
        <v>586</v>
      </c>
      <c r="FK28" s="277" t="s">
        <v>586</v>
      </c>
      <c r="FL28" s="277" t="s">
        <v>586</v>
      </c>
      <c r="FM28" s="277" t="s">
        <v>586</v>
      </c>
      <c r="FN28" s="277" t="s">
        <v>586</v>
      </c>
      <c r="FO28" s="277" t="s">
        <v>586</v>
      </c>
      <c r="FP28" s="277" t="s">
        <v>586</v>
      </c>
      <c r="FQ28" s="277" t="s">
        <v>586</v>
      </c>
      <c r="FR28" s="277" t="s">
        <v>586</v>
      </c>
    </row>
    <row r="29" spans="1:174" s="89" customFormat="1" ht="48" customHeight="1" x14ac:dyDescent="0.25">
      <c r="A29" s="491"/>
      <c r="B29" s="491"/>
      <c r="C29" s="491"/>
      <c r="D29" s="491"/>
      <c r="E29" s="494"/>
      <c r="F29" s="491"/>
      <c r="G29" s="491"/>
      <c r="H29" s="512"/>
      <c r="I29" s="274" t="s">
        <v>742</v>
      </c>
      <c r="J29" s="234" t="s">
        <v>743</v>
      </c>
      <c r="K29" s="234" t="s">
        <v>744</v>
      </c>
      <c r="L29" s="96">
        <v>0.95</v>
      </c>
      <c r="M29" s="135">
        <v>0.05</v>
      </c>
      <c r="N29" s="135">
        <v>0.05</v>
      </c>
      <c r="O29" s="234" t="s">
        <v>745</v>
      </c>
      <c r="P29" s="135">
        <v>0.16</v>
      </c>
      <c r="Q29" s="135">
        <v>0.17</v>
      </c>
      <c r="R29" s="234" t="s">
        <v>746</v>
      </c>
      <c r="S29" s="135">
        <v>0.27</v>
      </c>
      <c r="T29" s="135">
        <v>0.28999999999999998</v>
      </c>
      <c r="U29" s="234" t="s">
        <v>747</v>
      </c>
      <c r="V29" s="135">
        <v>0.34715000000000001</v>
      </c>
      <c r="W29" s="135">
        <v>0.36542105263157898</v>
      </c>
      <c r="X29" s="234" t="s">
        <v>927</v>
      </c>
      <c r="Y29" s="135">
        <v>0.43009999999999998</v>
      </c>
      <c r="Z29" s="135">
        <v>0.45273684210526316</v>
      </c>
      <c r="AA29" s="234" t="s">
        <v>948</v>
      </c>
      <c r="AB29" s="135">
        <v>0.507772</v>
      </c>
      <c r="AC29" s="135">
        <v>0.53449684210526316</v>
      </c>
      <c r="AD29" s="234" t="s">
        <v>972</v>
      </c>
      <c r="AE29" s="135">
        <v>0.58290155440414504</v>
      </c>
      <c r="AF29" s="135">
        <v>0.61358058358331058</v>
      </c>
      <c r="AG29" s="234" t="s">
        <v>1509</v>
      </c>
      <c r="AH29" s="135">
        <v>0.681347150259067</v>
      </c>
      <c r="AI29" s="135">
        <v>0.71720752658849163</v>
      </c>
      <c r="AJ29" s="234" t="s">
        <v>1510</v>
      </c>
      <c r="AK29" s="135">
        <v>0.75906735751295296</v>
      </c>
      <c r="AL29" s="135">
        <v>0.79901827106626633</v>
      </c>
      <c r="AM29" s="234" t="s">
        <v>1511</v>
      </c>
      <c r="AN29" s="135">
        <v>0.82901550000000002</v>
      </c>
      <c r="AO29" s="135">
        <v>0.87264789473684212</v>
      </c>
      <c r="AP29" s="234" t="s">
        <v>1907</v>
      </c>
      <c r="AQ29" s="135">
        <v>0.90673575129533679</v>
      </c>
      <c r="AR29" s="135">
        <v>0.95445868557403879</v>
      </c>
      <c r="AS29" s="234" t="s">
        <v>1908</v>
      </c>
      <c r="AT29" s="135">
        <v>0.97929999999999995</v>
      </c>
      <c r="AU29" s="135">
        <v>1.0308421052631578</v>
      </c>
      <c r="AV29" s="234" t="s">
        <v>1909</v>
      </c>
      <c r="AW29" s="234" t="s">
        <v>748</v>
      </c>
      <c r="AX29" s="234" t="s">
        <v>749</v>
      </c>
      <c r="AY29" s="135">
        <v>0.01</v>
      </c>
      <c r="AZ29" s="135">
        <v>0</v>
      </c>
      <c r="BA29" s="135">
        <v>1</v>
      </c>
      <c r="BB29" s="234" t="s">
        <v>750</v>
      </c>
      <c r="BC29" s="135">
        <v>0</v>
      </c>
      <c r="BD29" s="135">
        <v>1</v>
      </c>
      <c r="BE29" s="234" t="s">
        <v>751</v>
      </c>
      <c r="BF29" s="135">
        <v>0.5</v>
      </c>
      <c r="BG29" s="135">
        <v>1</v>
      </c>
      <c r="BH29" s="234" t="s">
        <v>752</v>
      </c>
      <c r="BI29" s="135">
        <v>4.0200000000000001E-4</v>
      </c>
      <c r="BJ29" s="135">
        <v>1</v>
      </c>
      <c r="BK29" s="234" t="s">
        <v>935</v>
      </c>
      <c r="BL29" s="135">
        <v>3.2229999999999997E-4</v>
      </c>
      <c r="BM29" s="135">
        <v>1</v>
      </c>
      <c r="BN29" s="234" t="s">
        <v>958</v>
      </c>
      <c r="BO29" s="135">
        <v>2.6800000000000001E-4</v>
      </c>
      <c r="BP29" s="135">
        <v>1</v>
      </c>
      <c r="BQ29" s="234" t="s">
        <v>983</v>
      </c>
      <c r="BR29" s="135">
        <v>2.3022907793254299E-4</v>
      </c>
      <c r="BS29" s="135">
        <v>1</v>
      </c>
      <c r="BT29" s="234" t="s">
        <v>1512</v>
      </c>
      <c r="BU29" s="135">
        <v>2.8765733974269901E-4</v>
      </c>
      <c r="BV29" s="135">
        <v>1</v>
      </c>
      <c r="BW29" s="234" t="s">
        <v>1513</v>
      </c>
      <c r="BX29" s="135">
        <v>2.55695413104621E-4</v>
      </c>
      <c r="BY29" s="135">
        <v>1</v>
      </c>
      <c r="BZ29" s="234" t="s">
        <v>1514</v>
      </c>
      <c r="CA29" s="291">
        <v>2.3001200000000001E-4</v>
      </c>
      <c r="CB29" s="135">
        <v>1</v>
      </c>
      <c r="CC29" s="234" t="s">
        <v>1910</v>
      </c>
      <c r="CD29" s="135">
        <v>3.97422917516618E-4</v>
      </c>
      <c r="CE29" s="135">
        <v>1</v>
      </c>
      <c r="CF29" s="234" t="s">
        <v>1911</v>
      </c>
      <c r="CG29" s="135">
        <v>3.64304341056899E-4</v>
      </c>
      <c r="CH29" s="135">
        <v>1</v>
      </c>
      <c r="CI29" s="234" t="s">
        <v>1912</v>
      </c>
      <c r="CJ29" s="234" t="s">
        <v>728</v>
      </c>
      <c r="CK29" s="234" t="s">
        <v>729</v>
      </c>
      <c r="CL29" s="277" t="s">
        <v>586</v>
      </c>
      <c r="CM29" s="277" t="s">
        <v>586</v>
      </c>
      <c r="CN29" s="277" t="s">
        <v>586</v>
      </c>
      <c r="CO29" s="277" t="s">
        <v>586</v>
      </c>
      <c r="CP29" s="277" t="s">
        <v>586</v>
      </c>
      <c r="CQ29" s="277" t="s">
        <v>586</v>
      </c>
      <c r="CR29" s="277" t="s">
        <v>586</v>
      </c>
      <c r="CS29" s="277" t="s">
        <v>586</v>
      </c>
      <c r="CT29" s="277" t="s">
        <v>586</v>
      </c>
      <c r="CU29" s="277" t="s">
        <v>586</v>
      </c>
      <c r="CV29" s="277" t="s">
        <v>586</v>
      </c>
      <c r="CW29" s="277" t="s">
        <v>586</v>
      </c>
      <c r="CX29" s="277" t="s">
        <v>586</v>
      </c>
      <c r="CY29" s="277" t="s">
        <v>586</v>
      </c>
      <c r="CZ29" s="277" t="s">
        <v>586</v>
      </c>
      <c r="DA29" s="277" t="s">
        <v>586</v>
      </c>
      <c r="DB29" s="277" t="s">
        <v>586</v>
      </c>
      <c r="DC29" s="277" t="s">
        <v>586</v>
      </c>
      <c r="DD29" s="277" t="s">
        <v>586</v>
      </c>
      <c r="DE29" s="277" t="s">
        <v>586</v>
      </c>
      <c r="DF29" s="277" t="s">
        <v>586</v>
      </c>
      <c r="DG29" s="277" t="s">
        <v>586</v>
      </c>
      <c r="DH29" s="277" t="s">
        <v>586</v>
      </c>
      <c r="DI29" s="277" t="s">
        <v>586</v>
      </c>
      <c r="DJ29" s="277" t="s">
        <v>586</v>
      </c>
      <c r="DK29" s="277" t="s">
        <v>586</v>
      </c>
      <c r="DL29" s="277" t="s">
        <v>586</v>
      </c>
      <c r="DM29" s="277" t="s">
        <v>586</v>
      </c>
      <c r="DN29" s="277" t="s">
        <v>586</v>
      </c>
      <c r="DO29" s="277" t="s">
        <v>586</v>
      </c>
      <c r="DP29" s="277" t="s">
        <v>586</v>
      </c>
      <c r="DQ29" s="277" t="s">
        <v>586</v>
      </c>
      <c r="DR29" s="277" t="s">
        <v>586</v>
      </c>
      <c r="DS29" s="277" t="s">
        <v>586</v>
      </c>
      <c r="DT29" s="277" t="s">
        <v>586</v>
      </c>
      <c r="DU29" s="277" t="s">
        <v>586</v>
      </c>
      <c r="DV29" s="277" t="s">
        <v>586</v>
      </c>
      <c r="DW29" s="277" t="s">
        <v>586</v>
      </c>
      <c r="DX29" s="277" t="s">
        <v>586</v>
      </c>
      <c r="DY29" s="277" t="s">
        <v>586</v>
      </c>
      <c r="DZ29" s="277" t="s">
        <v>586</v>
      </c>
      <c r="EA29" s="277" t="s">
        <v>586</v>
      </c>
      <c r="EB29" s="277" t="s">
        <v>586</v>
      </c>
      <c r="EC29" s="277" t="s">
        <v>586</v>
      </c>
      <c r="ED29" s="277" t="s">
        <v>586</v>
      </c>
      <c r="EE29" s="277" t="s">
        <v>586</v>
      </c>
      <c r="EF29" s="277" t="s">
        <v>586</v>
      </c>
      <c r="EG29" s="277" t="s">
        <v>586</v>
      </c>
      <c r="EH29" s="277" t="s">
        <v>586</v>
      </c>
      <c r="EI29" s="277" t="s">
        <v>586</v>
      </c>
      <c r="EJ29" s="277" t="s">
        <v>586</v>
      </c>
      <c r="EK29" s="277" t="s">
        <v>586</v>
      </c>
      <c r="EL29" s="277" t="s">
        <v>586</v>
      </c>
      <c r="EM29" s="277" t="s">
        <v>586</v>
      </c>
      <c r="EN29" s="277" t="s">
        <v>586</v>
      </c>
      <c r="EO29" s="277" t="s">
        <v>586</v>
      </c>
      <c r="EP29" s="277" t="s">
        <v>586</v>
      </c>
      <c r="EQ29" s="277" t="s">
        <v>586</v>
      </c>
      <c r="ER29" s="277" t="s">
        <v>586</v>
      </c>
      <c r="ES29" s="277" t="s">
        <v>586</v>
      </c>
      <c r="ET29" s="277" t="s">
        <v>586</v>
      </c>
      <c r="EU29" s="277" t="s">
        <v>586</v>
      </c>
      <c r="EV29" s="277" t="s">
        <v>586</v>
      </c>
      <c r="EW29" s="277" t="s">
        <v>586</v>
      </c>
      <c r="EX29" s="277" t="s">
        <v>586</v>
      </c>
      <c r="EY29" s="277" t="s">
        <v>586</v>
      </c>
      <c r="EZ29" s="277" t="s">
        <v>586</v>
      </c>
      <c r="FA29" s="277" t="s">
        <v>586</v>
      </c>
      <c r="FB29" s="277" t="s">
        <v>586</v>
      </c>
      <c r="FC29" s="277" t="s">
        <v>586</v>
      </c>
      <c r="FD29" s="277" t="s">
        <v>586</v>
      </c>
      <c r="FE29" s="277" t="s">
        <v>586</v>
      </c>
      <c r="FF29" s="277" t="s">
        <v>586</v>
      </c>
      <c r="FG29" s="277" t="s">
        <v>586</v>
      </c>
      <c r="FH29" s="277" t="s">
        <v>586</v>
      </c>
      <c r="FI29" s="277" t="s">
        <v>586</v>
      </c>
      <c r="FJ29" s="277" t="s">
        <v>586</v>
      </c>
      <c r="FK29" s="277" t="s">
        <v>586</v>
      </c>
      <c r="FL29" s="277" t="s">
        <v>586</v>
      </c>
      <c r="FM29" s="277" t="s">
        <v>586</v>
      </c>
      <c r="FN29" s="277" t="s">
        <v>586</v>
      </c>
      <c r="FO29" s="277" t="s">
        <v>586</v>
      </c>
      <c r="FP29" s="277" t="s">
        <v>586</v>
      </c>
      <c r="FQ29" s="277" t="s">
        <v>586</v>
      </c>
      <c r="FR29" s="277" t="s">
        <v>586</v>
      </c>
    </row>
    <row r="30" spans="1:174" s="89" customFormat="1" ht="48" customHeight="1" x14ac:dyDescent="0.25">
      <c r="A30" s="492"/>
      <c r="B30" s="492"/>
      <c r="C30" s="492"/>
      <c r="D30" s="492"/>
      <c r="E30" s="495"/>
      <c r="F30" s="492"/>
      <c r="G30" s="492"/>
      <c r="H30" s="512"/>
      <c r="I30" s="274" t="s">
        <v>753</v>
      </c>
      <c r="J30" s="234" t="s">
        <v>754</v>
      </c>
      <c r="K30" s="234" t="s">
        <v>755</v>
      </c>
      <c r="L30" s="96">
        <v>0.95</v>
      </c>
      <c r="M30" s="135">
        <v>0</v>
      </c>
      <c r="N30" s="240" t="s">
        <v>643</v>
      </c>
      <c r="O30" s="234" t="s">
        <v>756</v>
      </c>
      <c r="P30" s="135">
        <v>0</v>
      </c>
      <c r="Q30" s="240" t="s">
        <v>643</v>
      </c>
      <c r="R30" s="234" t="s">
        <v>757</v>
      </c>
      <c r="S30" s="135">
        <v>0.25</v>
      </c>
      <c r="T30" s="135">
        <v>0.26</v>
      </c>
      <c r="U30" s="234" t="s">
        <v>758</v>
      </c>
      <c r="V30" s="135">
        <v>0.36249999999999999</v>
      </c>
      <c r="W30" s="243">
        <v>0.38157894736842107</v>
      </c>
      <c r="X30" s="234" t="s">
        <v>928</v>
      </c>
      <c r="Y30" s="135">
        <v>0.4375</v>
      </c>
      <c r="Z30" s="243">
        <v>0.46052631578947373</v>
      </c>
      <c r="AA30" s="234" t="s">
        <v>949</v>
      </c>
      <c r="AB30" s="135">
        <v>0.6875</v>
      </c>
      <c r="AC30" s="135">
        <v>0.72368421052631582</v>
      </c>
      <c r="AD30" s="234" t="s">
        <v>973</v>
      </c>
      <c r="AE30" s="135">
        <v>0.75</v>
      </c>
      <c r="AF30" s="243">
        <v>0.78947368421052633</v>
      </c>
      <c r="AG30" s="234" t="s">
        <v>1515</v>
      </c>
      <c r="AH30" s="135">
        <v>0.875</v>
      </c>
      <c r="AI30" s="243">
        <v>0.92105263157894746</v>
      </c>
      <c r="AJ30" s="234" t="s">
        <v>1516</v>
      </c>
      <c r="AK30" s="135">
        <v>0.9375</v>
      </c>
      <c r="AL30" s="135">
        <v>0.98684210526315796</v>
      </c>
      <c r="AM30" s="234" t="s">
        <v>1517</v>
      </c>
      <c r="AN30" s="135">
        <v>1</v>
      </c>
      <c r="AO30" s="243">
        <v>1.0526315789473684</v>
      </c>
      <c r="AP30" s="234" t="s">
        <v>1913</v>
      </c>
      <c r="AQ30" s="135">
        <v>1</v>
      </c>
      <c r="AR30" s="243">
        <v>1.0526315789473684</v>
      </c>
      <c r="AS30" s="234" t="s">
        <v>1914</v>
      </c>
      <c r="AT30" s="135">
        <v>1</v>
      </c>
      <c r="AU30" s="135">
        <v>1.0526315789473684</v>
      </c>
      <c r="AV30" s="234" t="s">
        <v>1915</v>
      </c>
      <c r="AW30" s="488" t="s">
        <v>93</v>
      </c>
      <c r="AX30" s="488"/>
      <c r="AY30" s="489"/>
      <c r="AZ30" s="235" t="s">
        <v>586</v>
      </c>
      <c r="BA30" s="235" t="s">
        <v>586</v>
      </c>
      <c r="BB30" s="239" t="s">
        <v>586</v>
      </c>
      <c r="BC30" s="235" t="s">
        <v>586</v>
      </c>
      <c r="BD30" s="235" t="s">
        <v>586</v>
      </c>
      <c r="BE30" s="239" t="s">
        <v>586</v>
      </c>
      <c r="BF30" s="235" t="s">
        <v>586</v>
      </c>
      <c r="BG30" s="235" t="s">
        <v>586</v>
      </c>
      <c r="BH30" s="239" t="s">
        <v>586</v>
      </c>
      <c r="BI30" s="235" t="s">
        <v>586</v>
      </c>
      <c r="BJ30" s="235" t="s">
        <v>586</v>
      </c>
      <c r="BK30" s="239" t="s">
        <v>586</v>
      </c>
      <c r="BL30" s="235" t="s">
        <v>586</v>
      </c>
      <c r="BM30" s="235" t="s">
        <v>586</v>
      </c>
      <c r="BN30" s="239" t="s">
        <v>586</v>
      </c>
      <c r="BO30" s="235" t="s">
        <v>586</v>
      </c>
      <c r="BP30" s="235" t="s">
        <v>586</v>
      </c>
      <c r="BQ30" s="239" t="s">
        <v>586</v>
      </c>
      <c r="BR30" s="235" t="s">
        <v>586</v>
      </c>
      <c r="BS30" s="235" t="s">
        <v>586</v>
      </c>
      <c r="BT30" s="239" t="s">
        <v>586</v>
      </c>
      <c r="BU30" s="235" t="s">
        <v>586</v>
      </c>
      <c r="BV30" s="235" t="s">
        <v>586</v>
      </c>
      <c r="BW30" s="239" t="s">
        <v>586</v>
      </c>
      <c r="BX30" s="235" t="s">
        <v>586</v>
      </c>
      <c r="BY30" s="235" t="s">
        <v>586</v>
      </c>
      <c r="BZ30" s="239" t="s">
        <v>586</v>
      </c>
      <c r="CA30" s="235" t="s">
        <v>586</v>
      </c>
      <c r="CB30" s="235" t="s">
        <v>586</v>
      </c>
      <c r="CC30" s="239" t="s">
        <v>586</v>
      </c>
      <c r="CD30" s="235" t="s">
        <v>586</v>
      </c>
      <c r="CE30" s="235" t="s">
        <v>586</v>
      </c>
      <c r="CF30" s="239" t="s">
        <v>586</v>
      </c>
      <c r="CG30" s="235" t="s">
        <v>586</v>
      </c>
      <c r="CH30" s="235" t="s">
        <v>586</v>
      </c>
      <c r="CI30" s="239" t="s">
        <v>586</v>
      </c>
      <c r="CJ30" s="234" t="s">
        <v>728</v>
      </c>
      <c r="CK30" s="234" t="s">
        <v>729</v>
      </c>
      <c r="CL30" s="277" t="s">
        <v>586</v>
      </c>
      <c r="CM30" s="277" t="s">
        <v>586</v>
      </c>
      <c r="CN30" s="277" t="s">
        <v>586</v>
      </c>
      <c r="CO30" s="277" t="s">
        <v>586</v>
      </c>
      <c r="CP30" s="277" t="s">
        <v>586</v>
      </c>
      <c r="CQ30" s="277" t="s">
        <v>586</v>
      </c>
      <c r="CR30" s="277" t="s">
        <v>586</v>
      </c>
      <c r="CS30" s="277" t="s">
        <v>586</v>
      </c>
      <c r="CT30" s="277" t="s">
        <v>586</v>
      </c>
      <c r="CU30" s="277" t="s">
        <v>586</v>
      </c>
      <c r="CV30" s="277" t="s">
        <v>586</v>
      </c>
      <c r="CW30" s="277" t="s">
        <v>586</v>
      </c>
      <c r="CX30" s="277" t="s">
        <v>586</v>
      </c>
      <c r="CY30" s="277" t="s">
        <v>586</v>
      </c>
      <c r="CZ30" s="277" t="s">
        <v>586</v>
      </c>
      <c r="DA30" s="277" t="s">
        <v>586</v>
      </c>
      <c r="DB30" s="277" t="s">
        <v>586</v>
      </c>
      <c r="DC30" s="277" t="s">
        <v>586</v>
      </c>
      <c r="DD30" s="277" t="s">
        <v>586</v>
      </c>
      <c r="DE30" s="277" t="s">
        <v>586</v>
      </c>
      <c r="DF30" s="277" t="s">
        <v>586</v>
      </c>
      <c r="DG30" s="277" t="s">
        <v>586</v>
      </c>
      <c r="DH30" s="277" t="s">
        <v>586</v>
      </c>
      <c r="DI30" s="277" t="s">
        <v>586</v>
      </c>
      <c r="DJ30" s="277" t="s">
        <v>586</v>
      </c>
      <c r="DK30" s="277" t="s">
        <v>586</v>
      </c>
      <c r="DL30" s="277" t="s">
        <v>586</v>
      </c>
      <c r="DM30" s="277" t="s">
        <v>586</v>
      </c>
      <c r="DN30" s="277" t="s">
        <v>586</v>
      </c>
      <c r="DO30" s="277" t="s">
        <v>586</v>
      </c>
      <c r="DP30" s="277" t="s">
        <v>586</v>
      </c>
      <c r="DQ30" s="277" t="s">
        <v>586</v>
      </c>
      <c r="DR30" s="277" t="s">
        <v>586</v>
      </c>
      <c r="DS30" s="277" t="s">
        <v>586</v>
      </c>
      <c r="DT30" s="277" t="s">
        <v>586</v>
      </c>
      <c r="DU30" s="277" t="s">
        <v>586</v>
      </c>
      <c r="DV30" s="277" t="s">
        <v>586</v>
      </c>
      <c r="DW30" s="277" t="s">
        <v>586</v>
      </c>
      <c r="DX30" s="277" t="s">
        <v>586</v>
      </c>
      <c r="DY30" s="277" t="s">
        <v>586</v>
      </c>
      <c r="DZ30" s="277" t="s">
        <v>586</v>
      </c>
      <c r="EA30" s="277" t="s">
        <v>586</v>
      </c>
      <c r="EB30" s="277" t="s">
        <v>586</v>
      </c>
      <c r="EC30" s="277" t="s">
        <v>586</v>
      </c>
      <c r="ED30" s="277" t="s">
        <v>586</v>
      </c>
      <c r="EE30" s="277" t="s">
        <v>586</v>
      </c>
      <c r="EF30" s="277" t="s">
        <v>586</v>
      </c>
      <c r="EG30" s="277" t="s">
        <v>586</v>
      </c>
      <c r="EH30" s="277" t="s">
        <v>586</v>
      </c>
      <c r="EI30" s="277" t="s">
        <v>586</v>
      </c>
      <c r="EJ30" s="277" t="s">
        <v>586</v>
      </c>
      <c r="EK30" s="277" t="s">
        <v>586</v>
      </c>
      <c r="EL30" s="277" t="s">
        <v>586</v>
      </c>
      <c r="EM30" s="277" t="s">
        <v>586</v>
      </c>
      <c r="EN30" s="277" t="s">
        <v>586</v>
      </c>
      <c r="EO30" s="277" t="s">
        <v>586</v>
      </c>
      <c r="EP30" s="277" t="s">
        <v>586</v>
      </c>
      <c r="EQ30" s="277" t="s">
        <v>586</v>
      </c>
      <c r="ER30" s="277" t="s">
        <v>586</v>
      </c>
      <c r="ES30" s="277" t="s">
        <v>586</v>
      </c>
      <c r="ET30" s="277" t="s">
        <v>586</v>
      </c>
      <c r="EU30" s="277" t="s">
        <v>586</v>
      </c>
      <c r="EV30" s="277" t="s">
        <v>586</v>
      </c>
      <c r="EW30" s="277" t="s">
        <v>586</v>
      </c>
      <c r="EX30" s="277" t="s">
        <v>586</v>
      </c>
      <c r="EY30" s="277" t="s">
        <v>586</v>
      </c>
      <c r="EZ30" s="277" t="s">
        <v>586</v>
      </c>
      <c r="FA30" s="277" t="s">
        <v>586</v>
      </c>
      <c r="FB30" s="277" t="s">
        <v>586</v>
      </c>
      <c r="FC30" s="277" t="s">
        <v>586</v>
      </c>
      <c r="FD30" s="277" t="s">
        <v>586</v>
      </c>
      <c r="FE30" s="277" t="s">
        <v>586</v>
      </c>
      <c r="FF30" s="277" t="s">
        <v>586</v>
      </c>
      <c r="FG30" s="277" t="s">
        <v>586</v>
      </c>
      <c r="FH30" s="277" t="s">
        <v>586</v>
      </c>
      <c r="FI30" s="277" t="s">
        <v>586</v>
      </c>
      <c r="FJ30" s="277" t="s">
        <v>586</v>
      </c>
      <c r="FK30" s="277" t="s">
        <v>586</v>
      </c>
      <c r="FL30" s="277" t="s">
        <v>586</v>
      </c>
      <c r="FM30" s="277" t="s">
        <v>586</v>
      </c>
      <c r="FN30" s="277" t="s">
        <v>586</v>
      </c>
      <c r="FO30" s="277" t="s">
        <v>586</v>
      </c>
      <c r="FP30" s="277" t="s">
        <v>586</v>
      </c>
      <c r="FQ30" s="277" t="s">
        <v>586</v>
      </c>
      <c r="FR30" s="277" t="s">
        <v>586</v>
      </c>
    </row>
    <row r="31" spans="1:174" s="2" customFormat="1" ht="75" customHeight="1" x14ac:dyDescent="0.25">
      <c r="A31" s="237"/>
      <c r="B31" s="237"/>
      <c r="C31" s="237"/>
      <c r="D31" s="237"/>
      <c r="E31" s="237"/>
      <c r="F31" s="237"/>
      <c r="G31" s="237"/>
      <c r="H31" s="512"/>
      <c r="I31" s="237"/>
      <c r="J31" s="237"/>
      <c r="K31" s="237"/>
      <c r="L31" s="97"/>
      <c r="M31" s="98" t="s">
        <v>161</v>
      </c>
      <c r="N31" s="99" t="s">
        <v>759</v>
      </c>
      <c r="O31" s="91"/>
      <c r="P31" s="98" t="s">
        <v>161</v>
      </c>
      <c r="Q31" s="99" t="s">
        <v>760</v>
      </c>
      <c r="R31" s="91"/>
      <c r="S31" s="98" t="s">
        <v>161</v>
      </c>
      <c r="T31" s="99" t="s">
        <v>761</v>
      </c>
      <c r="U31" s="91"/>
      <c r="V31" s="98" t="s">
        <v>161</v>
      </c>
      <c r="W31" s="134">
        <f>+AVERAGE(W26:W30)</f>
        <v>0.48071182795698925</v>
      </c>
      <c r="X31" s="91"/>
      <c r="Y31" s="98" t="s">
        <v>161</v>
      </c>
      <c r="Z31" s="134">
        <f>+AVERAGE(Z26:Z30)</f>
        <v>0.56920911889077541</v>
      </c>
      <c r="AA31" s="91"/>
      <c r="AB31" s="98" t="s">
        <v>161</v>
      </c>
      <c r="AC31" s="134">
        <f>+AVERAGE(AC26:AC30)</f>
        <v>0.69616959117147714</v>
      </c>
      <c r="AD31" s="91"/>
      <c r="AE31" s="98" t="s">
        <v>161</v>
      </c>
      <c r="AF31" s="134">
        <f>+AVERAGE(AF26:AF30)</f>
        <v>0.7436792973601698</v>
      </c>
      <c r="AG31" s="91"/>
      <c r="AH31" s="98" t="s">
        <v>161</v>
      </c>
      <c r="AI31" s="134">
        <f>+AVERAGE(AI26:AI30)</f>
        <v>0.81567345985615913</v>
      </c>
      <c r="AJ31" s="91"/>
      <c r="AK31" s="98" t="s">
        <v>161</v>
      </c>
      <c r="AL31" s="134">
        <f>+AVERAGE(AL26:AL30)</f>
        <v>0.89573330347178737</v>
      </c>
      <c r="AM31" s="91"/>
      <c r="AN31" s="98" t="s">
        <v>161</v>
      </c>
      <c r="AO31" s="134">
        <f>+AVERAGE(AO26:AO30)</f>
        <v>0.93609264742501408</v>
      </c>
      <c r="AP31" s="91"/>
      <c r="AQ31" s="98" t="s">
        <v>161</v>
      </c>
      <c r="AR31" s="134">
        <f>+AVERAGE(AR26:AR30)</f>
        <v>1.0324452061572411</v>
      </c>
      <c r="AS31" s="91"/>
      <c r="AT31" s="98" t="s">
        <v>161</v>
      </c>
      <c r="AU31" s="134">
        <f>+AVERAGE(AU26:AU30)</f>
        <v>1.0481465965930852</v>
      </c>
      <c r="AV31" s="91"/>
      <c r="AW31" s="237"/>
      <c r="AX31" s="237"/>
      <c r="AY31" s="97"/>
      <c r="AZ31" s="98" t="s">
        <v>162</v>
      </c>
      <c r="BA31" s="99" t="s">
        <v>607</v>
      </c>
      <c r="BB31" s="91"/>
      <c r="BC31" s="98" t="s">
        <v>162</v>
      </c>
      <c r="BD31" s="99" t="s">
        <v>762</v>
      </c>
      <c r="BE31" s="91"/>
      <c r="BF31" s="98" t="s">
        <v>162</v>
      </c>
      <c r="BG31" s="134">
        <v>0.98299999999999998</v>
      </c>
      <c r="BH31" s="238" t="s">
        <v>586</v>
      </c>
      <c r="BI31" s="98" t="s">
        <v>162</v>
      </c>
      <c r="BJ31" s="134">
        <f>+AVERAGE(BJ26:BJ30)</f>
        <v>0.9872043010752688</v>
      </c>
      <c r="BK31" s="91"/>
      <c r="BL31" s="98" t="s">
        <v>162</v>
      </c>
      <c r="BM31" s="134">
        <f>+AVERAGE(BM26:BM30)</f>
        <v>0.99206397849462369</v>
      </c>
      <c r="BN31" s="91"/>
      <c r="BO31" s="98" t="s">
        <v>162</v>
      </c>
      <c r="BP31" s="134">
        <f>+AVERAGE(BP26:BP30)</f>
        <v>0.99711059139784941</v>
      </c>
      <c r="BQ31" s="238" t="s">
        <v>586</v>
      </c>
      <c r="BR31" s="98" t="s">
        <v>162</v>
      </c>
      <c r="BS31" s="134">
        <f>+AVERAGE(BS26:BS30)</f>
        <v>0.99882488914964462</v>
      </c>
      <c r="BT31" s="91"/>
      <c r="BU31" s="98" t="s">
        <v>162</v>
      </c>
      <c r="BV31" s="134">
        <f>+AVERAGE(BV26:BV30)</f>
        <v>1.0016956024013401</v>
      </c>
      <c r="BW31" s="91"/>
      <c r="BX31" s="98" t="s">
        <v>162</v>
      </c>
      <c r="BY31" s="134">
        <f>+AVERAGE(BY26:BY30)</f>
        <v>1.0035962365591398</v>
      </c>
      <c r="BZ31" s="238" t="s">
        <v>586</v>
      </c>
      <c r="CA31" s="98" t="s">
        <v>162</v>
      </c>
      <c r="CB31" s="134">
        <f>+AVERAGE(CB26:CB30)</f>
        <v>1.004831376344085</v>
      </c>
      <c r="CC31" s="91"/>
      <c r="CD31" s="98" t="s">
        <v>162</v>
      </c>
      <c r="CE31" s="134">
        <f>+AVERAGE(CE26:CE30)</f>
        <v>1.0051273570868799</v>
      </c>
      <c r="CF31" s="91"/>
      <c r="CG31" s="98" t="s">
        <v>162</v>
      </c>
      <c r="CH31" s="134">
        <f>+AVERAGE(CH26:CH30)</f>
        <v>1.0060384003462495</v>
      </c>
      <c r="CI31" s="238" t="s">
        <v>586</v>
      </c>
      <c r="CJ31" s="238" t="s">
        <v>586</v>
      </c>
      <c r="CK31" s="238" t="s">
        <v>586</v>
      </c>
      <c r="CL31" s="238" t="s">
        <v>586</v>
      </c>
      <c r="CM31" s="238" t="s">
        <v>586</v>
      </c>
      <c r="CN31" s="238" t="s">
        <v>586</v>
      </c>
      <c r="CO31" s="238" t="s">
        <v>586</v>
      </c>
      <c r="CP31" s="238" t="s">
        <v>586</v>
      </c>
      <c r="CQ31" s="238" t="s">
        <v>586</v>
      </c>
      <c r="CR31" s="238" t="s">
        <v>586</v>
      </c>
      <c r="CS31" s="238" t="s">
        <v>586</v>
      </c>
      <c r="CT31" s="238" t="s">
        <v>586</v>
      </c>
      <c r="CU31" s="238" t="s">
        <v>586</v>
      </c>
      <c r="CV31" s="238" t="s">
        <v>586</v>
      </c>
      <c r="CW31" s="238" t="s">
        <v>586</v>
      </c>
      <c r="CX31" s="238" t="s">
        <v>586</v>
      </c>
      <c r="CY31" s="238" t="s">
        <v>586</v>
      </c>
      <c r="CZ31" s="238" t="s">
        <v>586</v>
      </c>
      <c r="DA31" s="238" t="s">
        <v>586</v>
      </c>
      <c r="DB31" s="238" t="s">
        <v>586</v>
      </c>
      <c r="DC31" s="238" t="s">
        <v>586</v>
      </c>
      <c r="DD31" s="238" t="s">
        <v>586</v>
      </c>
      <c r="DE31" s="238" t="s">
        <v>586</v>
      </c>
      <c r="DF31" s="238" t="s">
        <v>586</v>
      </c>
      <c r="DG31" s="238" t="s">
        <v>586</v>
      </c>
      <c r="DH31" s="238" t="s">
        <v>586</v>
      </c>
      <c r="DI31" s="238" t="s">
        <v>586</v>
      </c>
      <c r="DJ31" s="238" t="s">
        <v>586</v>
      </c>
      <c r="DK31" s="238" t="s">
        <v>586</v>
      </c>
      <c r="DL31" s="238" t="s">
        <v>586</v>
      </c>
      <c r="DM31" s="238" t="s">
        <v>586</v>
      </c>
      <c r="DN31" s="238" t="s">
        <v>586</v>
      </c>
      <c r="DO31" s="238" t="s">
        <v>586</v>
      </c>
      <c r="DP31" s="238" t="s">
        <v>586</v>
      </c>
      <c r="DQ31" s="238" t="s">
        <v>586</v>
      </c>
      <c r="DR31" s="238" t="s">
        <v>586</v>
      </c>
      <c r="DS31" s="238" t="s">
        <v>586</v>
      </c>
      <c r="DT31" s="238" t="s">
        <v>586</v>
      </c>
      <c r="DU31" s="238" t="s">
        <v>586</v>
      </c>
      <c r="DV31" s="238" t="s">
        <v>586</v>
      </c>
      <c r="DW31" s="238" t="s">
        <v>586</v>
      </c>
      <c r="DX31" s="238" t="s">
        <v>586</v>
      </c>
      <c r="DY31" s="238" t="s">
        <v>586</v>
      </c>
      <c r="DZ31" s="238" t="s">
        <v>586</v>
      </c>
      <c r="EA31" s="238" t="s">
        <v>586</v>
      </c>
      <c r="EB31" s="238" t="s">
        <v>586</v>
      </c>
      <c r="EC31" s="238" t="s">
        <v>586</v>
      </c>
      <c r="ED31" s="238" t="s">
        <v>586</v>
      </c>
      <c r="EE31" s="238" t="s">
        <v>586</v>
      </c>
      <c r="EF31" s="238" t="s">
        <v>586</v>
      </c>
      <c r="EG31" s="238" t="s">
        <v>586</v>
      </c>
      <c r="EH31" s="238" t="s">
        <v>586</v>
      </c>
      <c r="EI31" s="238" t="s">
        <v>586</v>
      </c>
      <c r="EJ31" s="238" t="s">
        <v>586</v>
      </c>
      <c r="EK31" s="238" t="s">
        <v>586</v>
      </c>
      <c r="EL31" s="238" t="s">
        <v>586</v>
      </c>
      <c r="EM31" s="238" t="s">
        <v>586</v>
      </c>
      <c r="EN31" s="238" t="s">
        <v>586</v>
      </c>
      <c r="EO31" s="238" t="s">
        <v>586</v>
      </c>
      <c r="EP31" s="238" t="s">
        <v>586</v>
      </c>
      <c r="EQ31" s="238" t="s">
        <v>586</v>
      </c>
      <c r="ER31" s="238" t="s">
        <v>586</v>
      </c>
      <c r="ES31" s="238" t="s">
        <v>586</v>
      </c>
      <c r="ET31" s="238" t="s">
        <v>586</v>
      </c>
      <c r="EU31" s="238" t="s">
        <v>586</v>
      </c>
      <c r="EV31" s="238" t="s">
        <v>586</v>
      </c>
      <c r="EW31" s="238" t="s">
        <v>586</v>
      </c>
      <c r="EX31" s="238" t="s">
        <v>586</v>
      </c>
      <c r="EY31" s="238" t="s">
        <v>586</v>
      </c>
      <c r="EZ31" s="238" t="s">
        <v>586</v>
      </c>
      <c r="FA31" s="238" t="s">
        <v>586</v>
      </c>
      <c r="FB31" s="238" t="s">
        <v>586</v>
      </c>
      <c r="FC31" s="238" t="s">
        <v>586</v>
      </c>
      <c r="FD31" s="238" t="s">
        <v>586</v>
      </c>
      <c r="FE31" s="238" t="s">
        <v>586</v>
      </c>
      <c r="FF31" s="238" t="s">
        <v>586</v>
      </c>
      <c r="FG31" s="238" t="s">
        <v>586</v>
      </c>
      <c r="FH31" s="238" t="s">
        <v>586</v>
      </c>
      <c r="FI31" s="238" t="s">
        <v>586</v>
      </c>
      <c r="FJ31" s="238" t="s">
        <v>586</v>
      </c>
      <c r="FK31" s="238" t="s">
        <v>586</v>
      </c>
      <c r="FL31" s="238" t="s">
        <v>586</v>
      </c>
      <c r="FM31" s="238" t="s">
        <v>586</v>
      </c>
      <c r="FN31" s="238" t="s">
        <v>586</v>
      </c>
      <c r="FO31" s="237"/>
      <c r="FP31" s="237"/>
      <c r="FQ31" s="237"/>
      <c r="FR31" s="237"/>
    </row>
    <row r="32" spans="1:174" s="89" customFormat="1" ht="48" customHeight="1" x14ac:dyDescent="0.25">
      <c r="A32" s="230" t="s">
        <v>84</v>
      </c>
      <c r="B32" s="275" t="s">
        <v>85</v>
      </c>
      <c r="C32" s="275" t="s">
        <v>26</v>
      </c>
      <c r="D32" s="275" t="s">
        <v>22</v>
      </c>
      <c r="E32" s="93" t="s">
        <v>763</v>
      </c>
      <c r="F32" s="275" t="s">
        <v>88</v>
      </c>
      <c r="G32" s="275" t="s">
        <v>89</v>
      </c>
      <c r="H32" s="512"/>
      <c r="I32" s="230" t="s">
        <v>764</v>
      </c>
      <c r="J32" s="275" t="s">
        <v>765</v>
      </c>
      <c r="K32" s="275" t="s">
        <v>766</v>
      </c>
      <c r="L32" s="95">
        <v>1</v>
      </c>
      <c r="M32" s="232">
        <v>0.97</v>
      </c>
      <c r="N32" s="232">
        <v>0.97</v>
      </c>
      <c r="O32" s="275" t="s">
        <v>767</v>
      </c>
      <c r="P32" s="232">
        <v>0.99</v>
      </c>
      <c r="Q32" s="232">
        <v>0.99</v>
      </c>
      <c r="R32" s="275" t="s">
        <v>768</v>
      </c>
      <c r="S32" s="232">
        <v>0.98</v>
      </c>
      <c r="T32" s="232">
        <v>0.98</v>
      </c>
      <c r="U32" s="275" t="s">
        <v>769</v>
      </c>
      <c r="V32" s="232">
        <v>0.98151999999999995</v>
      </c>
      <c r="W32" s="232">
        <v>0.98151999999999995</v>
      </c>
      <c r="X32" s="275" t="s">
        <v>929</v>
      </c>
      <c r="Y32" s="232">
        <v>0.98399999999999999</v>
      </c>
      <c r="Z32" s="232">
        <v>0.98399999999999999</v>
      </c>
      <c r="AA32" s="275" t="s">
        <v>950</v>
      </c>
      <c r="AB32" s="232">
        <v>0.98699999999999999</v>
      </c>
      <c r="AC32" s="232">
        <v>0.98699999999999999</v>
      </c>
      <c r="AD32" s="275" t="s">
        <v>974</v>
      </c>
      <c r="AE32" s="232">
        <v>0.98899999999999999</v>
      </c>
      <c r="AF32" s="232">
        <v>0.98899999999999999</v>
      </c>
      <c r="AG32" s="275" t="s">
        <v>1518</v>
      </c>
      <c r="AH32" s="232">
        <v>0.99023131508616713</v>
      </c>
      <c r="AI32" s="232">
        <v>0.99023131508616713</v>
      </c>
      <c r="AJ32" s="275" t="s">
        <v>1519</v>
      </c>
      <c r="AK32" s="232">
        <v>0.9909802043422733</v>
      </c>
      <c r="AL32" s="232">
        <v>0.9909802043422733</v>
      </c>
      <c r="AM32" s="275" t="s">
        <v>1520</v>
      </c>
      <c r="AN32" s="232">
        <v>0.99149117209104443</v>
      </c>
      <c r="AO32" s="232">
        <v>0.99149117209104443</v>
      </c>
      <c r="AP32" s="275" t="s">
        <v>1916</v>
      </c>
      <c r="AQ32" s="232">
        <v>0.99185999999999996</v>
      </c>
      <c r="AR32" s="232">
        <v>0.99185999999999996</v>
      </c>
      <c r="AS32" s="275" t="s">
        <v>1917</v>
      </c>
      <c r="AT32" s="232">
        <v>0.99264276538596286</v>
      </c>
      <c r="AU32" s="232">
        <v>0.99264276538596286</v>
      </c>
      <c r="AV32" s="275" t="s">
        <v>1918</v>
      </c>
      <c r="AW32" s="488" t="s">
        <v>93</v>
      </c>
      <c r="AX32" s="488"/>
      <c r="AY32" s="489"/>
      <c r="AZ32" s="233" t="s">
        <v>586</v>
      </c>
      <c r="BA32" s="233" t="s">
        <v>586</v>
      </c>
      <c r="BB32" s="246" t="s">
        <v>586</v>
      </c>
      <c r="BC32" s="233" t="s">
        <v>586</v>
      </c>
      <c r="BD32" s="233" t="s">
        <v>586</v>
      </c>
      <c r="BE32" s="246" t="s">
        <v>586</v>
      </c>
      <c r="BF32" s="233" t="s">
        <v>586</v>
      </c>
      <c r="BG32" s="233" t="s">
        <v>586</v>
      </c>
      <c r="BH32" s="246" t="s">
        <v>586</v>
      </c>
      <c r="BI32" s="233" t="s">
        <v>586</v>
      </c>
      <c r="BJ32" s="233" t="s">
        <v>586</v>
      </c>
      <c r="BK32" s="246" t="s">
        <v>586</v>
      </c>
      <c r="BL32" s="233" t="s">
        <v>586</v>
      </c>
      <c r="BM32" s="233" t="s">
        <v>586</v>
      </c>
      <c r="BN32" s="246" t="s">
        <v>586</v>
      </c>
      <c r="BO32" s="233" t="s">
        <v>586</v>
      </c>
      <c r="BP32" s="233" t="s">
        <v>586</v>
      </c>
      <c r="BQ32" s="246" t="s">
        <v>586</v>
      </c>
      <c r="BR32" s="233" t="s">
        <v>586</v>
      </c>
      <c r="BS32" s="233" t="s">
        <v>586</v>
      </c>
      <c r="BT32" s="246" t="s">
        <v>586</v>
      </c>
      <c r="BU32" s="233" t="s">
        <v>586</v>
      </c>
      <c r="BV32" s="233" t="s">
        <v>586</v>
      </c>
      <c r="BW32" s="246" t="s">
        <v>586</v>
      </c>
      <c r="BX32" s="233" t="s">
        <v>586</v>
      </c>
      <c r="BY32" s="233" t="s">
        <v>586</v>
      </c>
      <c r="BZ32" s="246" t="s">
        <v>586</v>
      </c>
      <c r="CA32" s="233" t="s">
        <v>586</v>
      </c>
      <c r="CB32" s="233" t="s">
        <v>586</v>
      </c>
      <c r="CC32" s="246" t="s">
        <v>586</v>
      </c>
      <c r="CD32" s="233" t="s">
        <v>586</v>
      </c>
      <c r="CE32" s="233" t="s">
        <v>586</v>
      </c>
      <c r="CF32" s="246" t="s">
        <v>586</v>
      </c>
      <c r="CG32" s="233" t="s">
        <v>586</v>
      </c>
      <c r="CH32" s="233" t="s">
        <v>586</v>
      </c>
      <c r="CI32" s="246" t="s">
        <v>586</v>
      </c>
      <c r="CJ32" s="275" t="s">
        <v>246</v>
      </c>
      <c r="CK32" s="275" t="s">
        <v>566</v>
      </c>
      <c r="CL32" s="277" t="s">
        <v>586</v>
      </c>
      <c r="CM32" s="277" t="s">
        <v>586</v>
      </c>
      <c r="CN32" s="277" t="s">
        <v>586</v>
      </c>
      <c r="CO32" s="277" t="s">
        <v>586</v>
      </c>
      <c r="CP32" s="277" t="s">
        <v>586</v>
      </c>
      <c r="CQ32" s="277" t="s">
        <v>586</v>
      </c>
      <c r="CR32" s="277" t="s">
        <v>586</v>
      </c>
      <c r="CS32" s="277" t="s">
        <v>586</v>
      </c>
      <c r="CT32" s="277" t="s">
        <v>586</v>
      </c>
      <c r="CU32" s="277" t="s">
        <v>586</v>
      </c>
      <c r="CV32" s="277" t="s">
        <v>586</v>
      </c>
      <c r="CW32" s="277" t="s">
        <v>586</v>
      </c>
      <c r="CX32" s="277" t="s">
        <v>586</v>
      </c>
      <c r="CY32" s="277" t="s">
        <v>586</v>
      </c>
      <c r="CZ32" s="277" t="s">
        <v>586</v>
      </c>
      <c r="DA32" s="277" t="s">
        <v>586</v>
      </c>
      <c r="DB32" s="277" t="s">
        <v>586</v>
      </c>
      <c r="DC32" s="277" t="s">
        <v>586</v>
      </c>
      <c r="DD32" s="277" t="s">
        <v>586</v>
      </c>
      <c r="DE32" s="277" t="s">
        <v>586</v>
      </c>
      <c r="DF32" s="277" t="s">
        <v>586</v>
      </c>
      <c r="DG32" s="277" t="s">
        <v>586</v>
      </c>
      <c r="DH32" s="277" t="s">
        <v>586</v>
      </c>
      <c r="DI32" s="277" t="s">
        <v>586</v>
      </c>
      <c r="DJ32" s="277" t="s">
        <v>586</v>
      </c>
      <c r="DK32" s="277" t="s">
        <v>586</v>
      </c>
      <c r="DL32" s="277" t="s">
        <v>586</v>
      </c>
      <c r="DM32" s="277" t="s">
        <v>586</v>
      </c>
      <c r="DN32" s="277" t="s">
        <v>586</v>
      </c>
      <c r="DO32" s="277" t="s">
        <v>586</v>
      </c>
      <c r="DP32" s="277" t="s">
        <v>586</v>
      </c>
      <c r="DQ32" s="277" t="s">
        <v>586</v>
      </c>
      <c r="DR32" s="277" t="s">
        <v>586</v>
      </c>
      <c r="DS32" s="277" t="s">
        <v>586</v>
      </c>
      <c r="DT32" s="277" t="s">
        <v>586</v>
      </c>
      <c r="DU32" s="277" t="s">
        <v>586</v>
      </c>
      <c r="DV32" s="277" t="s">
        <v>586</v>
      </c>
      <c r="DW32" s="277" t="s">
        <v>586</v>
      </c>
      <c r="DX32" s="277" t="s">
        <v>586</v>
      </c>
      <c r="DY32" s="277" t="s">
        <v>586</v>
      </c>
      <c r="DZ32" s="277" t="s">
        <v>586</v>
      </c>
      <c r="EA32" s="277" t="s">
        <v>586</v>
      </c>
      <c r="EB32" s="277" t="s">
        <v>586</v>
      </c>
      <c r="EC32" s="277" t="s">
        <v>586</v>
      </c>
      <c r="ED32" s="277" t="s">
        <v>586</v>
      </c>
      <c r="EE32" s="277" t="s">
        <v>586</v>
      </c>
      <c r="EF32" s="277" t="s">
        <v>586</v>
      </c>
      <c r="EG32" s="277" t="s">
        <v>586</v>
      </c>
      <c r="EH32" s="277" t="s">
        <v>586</v>
      </c>
      <c r="EI32" s="277" t="s">
        <v>586</v>
      </c>
      <c r="EJ32" s="277" t="s">
        <v>586</v>
      </c>
      <c r="EK32" s="277" t="s">
        <v>586</v>
      </c>
      <c r="EL32" s="277" t="s">
        <v>586</v>
      </c>
      <c r="EM32" s="277" t="s">
        <v>586</v>
      </c>
      <c r="EN32" s="277" t="s">
        <v>586</v>
      </c>
      <c r="EO32" s="277" t="s">
        <v>586</v>
      </c>
      <c r="EP32" s="277" t="s">
        <v>586</v>
      </c>
      <c r="EQ32" s="277" t="s">
        <v>586</v>
      </c>
      <c r="ER32" s="277" t="s">
        <v>586</v>
      </c>
      <c r="ES32" s="277" t="s">
        <v>586</v>
      </c>
      <c r="ET32" s="277" t="s">
        <v>586</v>
      </c>
      <c r="EU32" s="277" t="s">
        <v>586</v>
      </c>
      <c r="EV32" s="277" t="s">
        <v>586</v>
      </c>
      <c r="EW32" s="277" t="s">
        <v>586</v>
      </c>
      <c r="EX32" s="277" t="s">
        <v>586</v>
      </c>
      <c r="EY32" s="277" t="s">
        <v>586</v>
      </c>
      <c r="EZ32" s="277" t="s">
        <v>586</v>
      </c>
      <c r="FA32" s="277" t="s">
        <v>586</v>
      </c>
      <c r="FB32" s="277" t="s">
        <v>586</v>
      </c>
      <c r="FC32" s="277" t="s">
        <v>586</v>
      </c>
      <c r="FD32" s="277" t="s">
        <v>586</v>
      </c>
      <c r="FE32" s="277" t="s">
        <v>586</v>
      </c>
      <c r="FF32" s="277" t="s">
        <v>586</v>
      </c>
      <c r="FG32" s="277" t="s">
        <v>586</v>
      </c>
      <c r="FH32" s="277" t="s">
        <v>586</v>
      </c>
      <c r="FI32" s="277" t="s">
        <v>586</v>
      </c>
      <c r="FJ32" s="277" t="s">
        <v>586</v>
      </c>
      <c r="FK32" s="277" t="s">
        <v>586</v>
      </c>
      <c r="FL32" s="277" t="s">
        <v>586</v>
      </c>
      <c r="FM32" s="277" t="s">
        <v>586</v>
      </c>
      <c r="FN32" s="277" t="s">
        <v>586</v>
      </c>
      <c r="FO32" s="277" t="s">
        <v>586</v>
      </c>
      <c r="FP32" s="277" t="s">
        <v>586</v>
      </c>
      <c r="FQ32" s="277" t="s">
        <v>586</v>
      </c>
      <c r="FR32" s="277" t="s">
        <v>586</v>
      </c>
    </row>
    <row r="33" spans="1:174" s="89" customFormat="1" ht="48" customHeight="1" x14ac:dyDescent="0.25">
      <c r="A33" s="237"/>
      <c r="B33" s="237"/>
      <c r="C33" s="237"/>
      <c r="D33" s="237"/>
      <c r="E33" s="237"/>
      <c r="F33" s="237"/>
      <c r="G33" s="237"/>
      <c r="H33" s="512"/>
      <c r="I33" s="237"/>
      <c r="J33" s="237"/>
      <c r="K33" s="237"/>
      <c r="L33" s="97"/>
      <c r="M33" s="98" t="s">
        <v>161</v>
      </c>
      <c r="N33" s="99" t="s">
        <v>770</v>
      </c>
      <c r="O33" s="91"/>
      <c r="P33" s="98" t="s">
        <v>161</v>
      </c>
      <c r="Q33" s="99" t="s">
        <v>771</v>
      </c>
      <c r="R33" s="91"/>
      <c r="S33" s="98" t="s">
        <v>161</v>
      </c>
      <c r="T33" s="99" t="s">
        <v>772</v>
      </c>
      <c r="U33" s="91"/>
      <c r="V33" s="98" t="s">
        <v>161</v>
      </c>
      <c r="W33" s="134">
        <f>+W32</f>
        <v>0.98151999999999995</v>
      </c>
      <c r="X33" s="91"/>
      <c r="Y33" s="98" t="s">
        <v>161</v>
      </c>
      <c r="Z33" s="134">
        <f>+Z32</f>
        <v>0.98399999999999999</v>
      </c>
      <c r="AA33" s="91"/>
      <c r="AB33" s="98" t="s">
        <v>161</v>
      </c>
      <c r="AC33" s="134">
        <f>+AC32</f>
        <v>0.98699999999999999</v>
      </c>
      <c r="AD33" s="91"/>
      <c r="AE33" s="98" t="s">
        <v>161</v>
      </c>
      <c r="AF33" s="134">
        <f>+AF32</f>
        <v>0.98899999999999999</v>
      </c>
      <c r="AG33" s="91"/>
      <c r="AH33" s="98" t="s">
        <v>161</v>
      </c>
      <c r="AI33" s="134">
        <f>+AI32</f>
        <v>0.99023131508616713</v>
      </c>
      <c r="AJ33" s="91"/>
      <c r="AK33" s="98" t="s">
        <v>161</v>
      </c>
      <c r="AL33" s="134">
        <f>+AL32</f>
        <v>0.9909802043422733</v>
      </c>
      <c r="AM33" s="91"/>
      <c r="AN33" s="98" t="s">
        <v>161</v>
      </c>
      <c r="AO33" s="134">
        <f>+AO32</f>
        <v>0.99149117209104443</v>
      </c>
      <c r="AP33" s="91"/>
      <c r="AQ33" s="98" t="s">
        <v>161</v>
      </c>
      <c r="AR33" s="134">
        <f>+AR32</f>
        <v>0.99185999999999996</v>
      </c>
      <c r="AS33" s="91"/>
      <c r="AT33" s="98" t="s">
        <v>161</v>
      </c>
      <c r="AU33" s="134">
        <f>+AU32</f>
        <v>0.99264276538596286</v>
      </c>
      <c r="AV33" s="91"/>
      <c r="AW33" s="237"/>
      <c r="AX33" s="237"/>
      <c r="AY33" s="97"/>
      <c r="AZ33" s="98" t="s">
        <v>162</v>
      </c>
      <c r="BA33" s="99" t="s">
        <v>11</v>
      </c>
      <c r="BB33" s="91"/>
      <c r="BC33" s="98" t="s">
        <v>162</v>
      </c>
      <c r="BD33" s="99" t="s">
        <v>11</v>
      </c>
      <c r="BE33" s="91"/>
      <c r="BF33" s="98" t="s">
        <v>162</v>
      </c>
      <c r="BG33" s="99" t="s">
        <v>11</v>
      </c>
      <c r="BH33" s="238" t="s">
        <v>586</v>
      </c>
      <c r="BI33" s="98" t="s">
        <v>162</v>
      </c>
      <c r="BJ33" s="99" t="s">
        <v>11</v>
      </c>
      <c r="BK33" s="91"/>
      <c r="BL33" s="98" t="s">
        <v>162</v>
      </c>
      <c r="BM33" s="99" t="s">
        <v>11</v>
      </c>
      <c r="BN33" s="91"/>
      <c r="BO33" s="98" t="s">
        <v>162</v>
      </c>
      <c r="BP33" s="99" t="s">
        <v>11</v>
      </c>
      <c r="BQ33" s="238" t="s">
        <v>586</v>
      </c>
      <c r="BR33" s="98" t="s">
        <v>162</v>
      </c>
      <c r="BS33" s="99" t="s">
        <v>11</v>
      </c>
      <c r="BT33" s="91"/>
      <c r="BU33" s="98" t="s">
        <v>162</v>
      </c>
      <c r="BV33" s="99" t="s">
        <v>11</v>
      </c>
      <c r="BW33" s="91"/>
      <c r="BX33" s="98" t="s">
        <v>162</v>
      </c>
      <c r="BY33" s="99" t="s">
        <v>11</v>
      </c>
      <c r="BZ33" s="238" t="s">
        <v>586</v>
      </c>
      <c r="CA33" s="98" t="s">
        <v>162</v>
      </c>
      <c r="CB33" s="99" t="s">
        <v>11</v>
      </c>
      <c r="CC33" s="91"/>
      <c r="CD33" s="98" t="s">
        <v>162</v>
      </c>
      <c r="CE33" s="99" t="s">
        <v>11</v>
      </c>
      <c r="CF33" s="91"/>
      <c r="CG33" s="98" t="s">
        <v>162</v>
      </c>
      <c r="CH33" s="99" t="s">
        <v>11</v>
      </c>
      <c r="CI33" s="238" t="s">
        <v>586</v>
      </c>
      <c r="CJ33" s="238" t="s">
        <v>586</v>
      </c>
      <c r="CK33" s="238" t="s">
        <v>586</v>
      </c>
      <c r="CL33" s="238" t="s">
        <v>586</v>
      </c>
      <c r="CM33" s="238" t="s">
        <v>586</v>
      </c>
      <c r="CN33" s="238" t="s">
        <v>586</v>
      </c>
      <c r="CO33" s="238" t="s">
        <v>586</v>
      </c>
      <c r="CP33" s="238" t="s">
        <v>586</v>
      </c>
      <c r="CQ33" s="238" t="s">
        <v>586</v>
      </c>
      <c r="CR33" s="238" t="s">
        <v>586</v>
      </c>
      <c r="CS33" s="238" t="s">
        <v>586</v>
      </c>
      <c r="CT33" s="238" t="s">
        <v>586</v>
      </c>
      <c r="CU33" s="238" t="s">
        <v>586</v>
      </c>
      <c r="CV33" s="238" t="s">
        <v>586</v>
      </c>
      <c r="CW33" s="238" t="s">
        <v>586</v>
      </c>
      <c r="CX33" s="238" t="s">
        <v>586</v>
      </c>
      <c r="CY33" s="238" t="s">
        <v>586</v>
      </c>
      <c r="CZ33" s="238" t="s">
        <v>586</v>
      </c>
      <c r="DA33" s="238" t="s">
        <v>586</v>
      </c>
      <c r="DB33" s="238" t="s">
        <v>586</v>
      </c>
      <c r="DC33" s="238" t="s">
        <v>586</v>
      </c>
      <c r="DD33" s="238" t="s">
        <v>586</v>
      </c>
      <c r="DE33" s="238" t="s">
        <v>586</v>
      </c>
      <c r="DF33" s="238" t="s">
        <v>586</v>
      </c>
      <c r="DG33" s="238" t="s">
        <v>586</v>
      </c>
      <c r="DH33" s="238" t="s">
        <v>586</v>
      </c>
      <c r="DI33" s="238" t="s">
        <v>586</v>
      </c>
      <c r="DJ33" s="238" t="s">
        <v>586</v>
      </c>
      <c r="DK33" s="238" t="s">
        <v>586</v>
      </c>
      <c r="DL33" s="238" t="s">
        <v>586</v>
      </c>
      <c r="DM33" s="238" t="s">
        <v>586</v>
      </c>
      <c r="DN33" s="238" t="s">
        <v>586</v>
      </c>
      <c r="DO33" s="238" t="s">
        <v>586</v>
      </c>
      <c r="DP33" s="238" t="s">
        <v>586</v>
      </c>
      <c r="DQ33" s="238" t="s">
        <v>586</v>
      </c>
      <c r="DR33" s="238" t="s">
        <v>586</v>
      </c>
      <c r="DS33" s="238" t="s">
        <v>586</v>
      </c>
      <c r="DT33" s="238" t="s">
        <v>586</v>
      </c>
      <c r="DU33" s="238" t="s">
        <v>586</v>
      </c>
      <c r="DV33" s="238" t="s">
        <v>586</v>
      </c>
      <c r="DW33" s="238" t="s">
        <v>586</v>
      </c>
      <c r="DX33" s="238" t="s">
        <v>586</v>
      </c>
      <c r="DY33" s="238" t="s">
        <v>586</v>
      </c>
      <c r="DZ33" s="238" t="s">
        <v>586</v>
      </c>
      <c r="EA33" s="238" t="s">
        <v>586</v>
      </c>
      <c r="EB33" s="238" t="s">
        <v>586</v>
      </c>
      <c r="EC33" s="238" t="s">
        <v>586</v>
      </c>
      <c r="ED33" s="238" t="s">
        <v>586</v>
      </c>
      <c r="EE33" s="238" t="s">
        <v>586</v>
      </c>
      <c r="EF33" s="238" t="s">
        <v>586</v>
      </c>
      <c r="EG33" s="238" t="s">
        <v>586</v>
      </c>
      <c r="EH33" s="238" t="s">
        <v>586</v>
      </c>
      <c r="EI33" s="238" t="s">
        <v>586</v>
      </c>
      <c r="EJ33" s="238" t="s">
        <v>586</v>
      </c>
      <c r="EK33" s="238" t="s">
        <v>586</v>
      </c>
      <c r="EL33" s="238" t="s">
        <v>586</v>
      </c>
      <c r="EM33" s="238" t="s">
        <v>586</v>
      </c>
      <c r="EN33" s="238" t="s">
        <v>586</v>
      </c>
      <c r="EO33" s="238" t="s">
        <v>586</v>
      </c>
      <c r="EP33" s="238" t="s">
        <v>586</v>
      </c>
      <c r="EQ33" s="238" t="s">
        <v>586</v>
      </c>
      <c r="ER33" s="238" t="s">
        <v>586</v>
      </c>
      <c r="ES33" s="238" t="s">
        <v>586</v>
      </c>
      <c r="ET33" s="238" t="s">
        <v>586</v>
      </c>
      <c r="EU33" s="238" t="s">
        <v>586</v>
      </c>
      <c r="EV33" s="238" t="s">
        <v>586</v>
      </c>
      <c r="EW33" s="238" t="s">
        <v>586</v>
      </c>
      <c r="EX33" s="238" t="s">
        <v>586</v>
      </c>
      <c r="EY33" s="238" t="s">
        <v>586</v>
      </c>
      <c r="EZ33" s="238" t="s">
        <v>586</v>
      </c>
      <c r="FA33" s="238" t="s">
        <v>586</v>
      </c>
      <c r="FB33" s="238" t="s">
        <v>586</v>
      </c>
      <c r="FC33" s="238" t="s">
        <v>586</v>
      </c>
      <c r="FD33" s="238" t="s">
        <v>586</v>
      </c>
      <c r="FE33" s="238" t="s">
        <v>586</v>
      </c>
      <c r="FF33" s="238" t="s">
        <v>586</v>
      </c>
      <c r="FG33" s="238" t="s">
        <v>586</v>
      </c>
      <c r="FH33" s="238" t="s">
        <v>586</v>
      </c>
      <c r="FI33" s="238" t="s">
        <v>586</v>
      </c>
      <c r="FJ33" s="238" t="s">
        <v>586</v>
      </c>
      <c r="FK33" s="238" t="s">
        <v>586</v>
      </c>
      <c r="FL33" s="238" t="s">
        <v>586</v>
      </c>
      <c r="FM33" s="238" t="s">
        <v>586</v>
      </c>
      <c r="FN33" s="238" t="s">
        <v>586</v>
      </c>
      <c r="FO33" s="237"/>
      <c r="FP33" s="237"/>
      <c r="FQ33" s="237"/>
      <c r="FR33" s="237"/>
    </row>
    <row r="34" spans="1:174" s="2" customFormat="1" ht="75" customHeight="1" x14ac:dyDescent="0.25">
      <c r="A34" s="490" t="s">
        <v>84</v>
      </c>
      <c r="B34" s="490" t="s">
        <v>85</v>
      </c>
      <c r="C34" s="490" t="s">
        <v>1034</v>
      </c>
      <c r="D34" s="490" t="s">
        <v>22</v>
      </c>
      <c r="E34" s="493" t="s">
        <v>773</v>
      </c>
      <c r="F34" s="490" t="s">
        <v>610</v>
      </c>
      <c r="G34" s="490" t="s">
        <v>611</v>
      </c>
      <c r="H34" s="512"/>
      <c r="I34" s="230" t="s">
        <v>774</v>
      </c>
      <c r="J34" s="275" t="s">
        <v>624</v>
      </c>
      <c r="K34" s="275" t="s">
        <v>625</v>
      </c>
      <c r="L34" s="95">
        <v>0.98</v>
      </c>
      <c r="M34" s="95">
        <v>0.03</v>
      </c>
      <c r="N34" s="232">
        <v>0.03</v>
      </c>
      <c r="O34" s="275" t="s">
        <v>626</v>
      </c>
      <c r="P34" s="232">
        <v>0.1</v>
      </c>
      <c r="Q34" s="232">
        <v>0.1</v>
      </c>
      <c r="R34" s="275" t="s">
        <v>627</v>
      </c>
      <c r="S34" s="232">
        <v>0.2</v>
      </c>
      <c r="T34" s="232">
        <v>0.2</v>
      </c>
      <c r="U34" s="275" t="s">
        <v>628</v>
      </c>
      <c r="V34" s="232">
        <v>0.28185814997502667</v>
      </c>
      <c r="W34" s="232">
        <v>0.28761035711737415</v>
      </c>
      <c r="X34" s="275" t="s">
        <v>918</v>
      </c>
      <c r="Y34" s="232">
        <v>0.37266999584578181</v>
      </c>
      <c r="Z34" s="232">
        <v>0.38027550596508347</v>
      </c>
      <c r="AA34" s="275" t="s">
        <v>939</v>
      </c>
      <c r="AB34" s="232">
        <v>0.46308784264857261</v>
      </c>
      <c r="AC34" s="232">
        <v>0.47253861494752308</v>
      </c>
      <c r="AD34" s="275" t="s">
        <v>963</v>
      </c>
      <c r="AE34" s="232">
        <v>0.55241857962826413</v>
      </c>
      <c r="AF34" s="232">
        <v>0.5636924281921063</v>
      </c>
      <c r="AG34" s="275" t="s">
        <v>1464</v>
      </c>
      <c r="AH34" s="232">
        <v>0.48951216741664588</v>
      </c>
      <c r="AI34" s="232">
        <v>0.49950221164963865</v>
      </c>
      <c r="AJ34" s="275" t="s">
        <v>1465</v>
      </c>
      <c r="AK34" s="232">
        <v>0.69084063301831855</v>
      </c>
      <c r="AL34" s="232">
        <v>0.70493942144726385</v>
      </c>
      <c r="AM34" s="275" t="s">
        <v>1466</v>
      </c>
      <c r="AN34" s="232">
        <v>0.76237859786976792</v>
      </c>
      <c r="AO34" s="232">
        <v>0.77793734476506926</v>
      </c>
      <c r="AP34" s="275" t="s">
        <v>1859</v>
      </c>
      <c r="AQ34" s="232">
        <v>0.82815542038883827</v>
      </c>
      <c r="AR34" s="232">
        <v>0.84505655141718194</v>
      </c>
      <c r="AS34" s="275" t="s">
        <v>1860</v>
      </c>
      <c r="AT34" s="232">
        <v>0.98945327192287891</v>
      </c>
      <c r="AU34" s="232">
        <v>1.0096461958396723</v>
      </c>
      <c r="AV34" s="275" t="s">
        <v>1861</v>
      </c>
      <c r="AW34" s="488" t="s">
        <v>93</v>
      </c>
      <c r="AX34" s="488"/>
      <c r="AY34" s="489"/>
      <c r="AZ34" s="233" t="s">
        <v>586</v>
      </c>
      <c r="BA34" s="233" t="s">
        <v>586</v>
      </c>
      <c r="BB34" s="246" t="s">
        <v>586</v>
      </c>
      <c r="BC34" s="233" t="s">
        <v>586</v>
      </c>
      <c r="BD34" s="233" t="s">
        <v>586</v>
      </c>
      <c r="BE34" s="246" t="s">
        <v>586</v>
      </c>
      <c r="BF34" s="233" t="s">
        <v>586</v>
      </c>
      <c r="BG34" s="233" t="s">
        <v>586</v>
      </c>
      <c r="BH34" s="246" t="s">
        <v>586</v>
      </c>
      <c r="BI34" s="233" t="s">
        <v>586</v>
      </c>
      <c r="BJ34" s="233" t="s">
        <v>586</v>
      </c>
      <c r="BK34" s="246" t="s">
        <v>586</v>
      </c>
      <c r="BL34" s="233" t="s">
        <v>586</v>
      </c>
      <c r="BM34" s="233" t="s">
        <v>586</v>
      </c>
      <c r="BN34" s="246" t="s">
        <v>586</v>
      </c>
      <c r="BO34" s="233" t="s">
        <v>586</v>
      </c>
      <c r="BP34" s="233" t="s">
        <v>586</v>
      </c>
      <c r="BQ34" s="246" t="s">
        <v>586</v>
      </c>
      <c r="BR34" s="233" t="s">
        <v>586</v>
      </c>
      <c r="BS34" s="233" t="s">
        <v>586</v>
      </c>
      <c r="BT34" s="246" t="s">
        <v>586</v>
      </c>
      <c r="BU34" s="233" t="s">
        <v>586</v>
      </c>
      <c r="BV34" s="233" t="s">
        <v>586</v>
      </c>
      <c r="BW34" s="246" t="s">
        <v>586</v>
      </c>
      <c r="BX34" s="233" t="s">
        <v>586</v>
      </c>
      <c r="BY34" s="233" t="s">
        <v>586</v>
      </c>
      <c r="BZ34" s="246" t="s">
        <v>586</v>
      </c>
      <c r="CA34" s="233" t="s">
        <v>586</v>
      </c>
      <c r="CB34" s="233" t="s">
        <v>586</v>
      </c>
      <c r="CC34" s="246" t="s">
        <v>586</v>
      </c>
      <c r="CD34" s="233" t="s">
        <v>586</v>
      </c>
      <c r="CE34" s="233" t="s">
        <v>586</v>
      </c>
      <c r="CF34" s="246" t="s">
        <v>586</v>
      </c>
      <c r="CG34" s="233" t="s">
        <v>586</v>
      </c>
      <c r="CH34" s="233" t="s">
        <v>586</v>
      </c>
      <c r="CI34" s="246" t="s">
        <v>586</v>
      </c>
      <c r="CJ34" s="275" t="s">
        <v>246</v>
      </c>
      <c r="CK34" s="275" t="s">
        <v>566</v>
      </c>
      <c r="CL34" s="277" t="s">
        <v>586</v>
      </c>
      <c r="CM34" s="277" t="s">
        <v>586</v>
      </c>
      <c r="CN34" s="277" t="s">
        <v>586</v>
      </c>
      <c r="CO34" s="277" t="s">
        <v>586</v>
      </c>
      <c r="CP34" s="277" t="s">
        <v>586</v>
      </c>
      <c r="CQ34" s="277" t="s">
        <v>586</v>
      </c>
      <c r="CR34" s="277" t="s">
        <v>586</v>
      </c>
      <c r="CS34" s="277" t="s">
        <v>586</v>
      </c>
      <c r="CT34" s="277" t="s">
        <v>586</v>
      </c>
      <c r="CU34" s="277" t="s">
        <v>586</v>
      </c>
      <c r="CV34" s="277" t="s">
        <v>586</v>
      </c>
      <c r="CW34" s="277" t="s">
        <v>586</v>
      </c>
      <c r="CX34" s="277" t="s">
        <v>586</v>
      </c>
      <c r="CY34" s="277" t="s">
        <v>586</v>
      </c>
      <c r="CZ34" s="277" t="s">
        <v>586</v>
      </c>
      <c r="DA34" s="277" t="s">
        <v>586</v>
      </c>
      <c r="DB34" s="277" t="s">
        <v>586</v>
      </c>
      <c r="DC34" s="277" t="s">
        <v>586</v>
      </c>
      <c r="DD34" s="277" t="s">
        <v>586</v>
      </c>
      <c r="DE34" s="277" t="s">
        <v>586</v>
      </c>
      <c r="DF34" s="277" t="s">
        <v>586</v>
      </c>
      <c r="DG34" s="277" t="s">
        <v>586</v>
      </c>
      <c r="DH34" s="277" t="s">
        <v>586</v>
      </c>
      <c r="DI34" s="277" t="s">
        <v>586</v>
      </c>
      <c r="DJ34" s="277" t="s">
        <v>586</v>
      </c>
      <c r="DK34" s="277" t="s">
        <v>586</v>
      </c>
      <c r="DL34" s="277" t="s">
        <v>586</v>
      </c>
      <c r="DM34" s="277" t="s">
        <v>586</v>
      </c>
      <c r="DN34" s="277" t="s">
        <v>586</v>
      </c>
      <c r="DO34" s="277" t="s">
        <v>586</v>
      </c>
      <c r="DP34" s="277" t="s">
        <v>586</v>
      </c>
      <c r="DQ34" s="277" t="s">
        <v>586</v>
      </c>
      <c r="DR34" s="277" t="s">
        <v>586</v>
      </c>
      <c r="DS34" s="277" t="s">
        <v>586</v>
      </c>
      <c r="DT34" s="277" t="s">
        <v>586</v>
      </c>
      <c r="DU34" s="277" t="s">
        <v>586</v>
      </c>
      <c r="DV34" s="277" t="s">
        <v>586</v>
      </c>
      <c r="DW34" s="277" t="s">
        <v>586</v>
      </c>
      <c r="DX34" s="277" t="s">
        <v>586</v>
      </c>
      <c r="DY34" s="277" t="s">
        <v>586</v>
      </c>
      <c r="DZ34" s="277" t="s">
        <v>586</v>
      </c>
      <c r="EA34" s="277" t="s">
        <v>586</v>
      </c>
      <c r="EB34" s="277" t="s">
        <v>586</v>
      </c>
      <c r="EC34" s="277" t="s">
        <v>586</v>
      </c>
      <c r="ED34" s="277" t="s">
        <v>586</v>
      </c>
      <c r="EE34" s="277" t="s">
        <v>586</v>
      </c>
      <c r="EF34" s="277" t="s">
        <v>586</v>
      </c>
      <c r="EG34" s="277" t="s">
        <v>586</v>
      </c>
      <c r="EH34" s="277" t="s">
        <v>586</v>
      </c>
      <c r="EI34" s="277" t="s">
        <v>586</v>
      </c>
      <c r="EJ34" s="277" t="s">
        <v>586</v>
      </c>
      <c r="EK34" s="277" t="s">
        <v>586</v>
      </c>
      <c r="EL34" s="277" t="s">
        <v>586</v>
      </c>
      <c r="EM34" s="277" t="s">
        <v>586</v>
      </c>
      <c r="EN34" s="277" t="s">
        <v>586</v>
      </c>
      <c r="EO34" s="277" t="s">
        <v>586</v>
      </c>
      <c r="EP34" s="277" t="s">
        <v>586</v>
      </c>
      <c r="EQ34" s="277" t="s">
        <v>586</v>
      </c>
      <c r="ER34" s="277" t="s">
        <v>586</v>
      </c>
      <c r="ES34" s="277" t="s">
        <v>586</v>
      </c>
      <c r="ET34" s="277" t="s">
        <v>586</v>
      </c>
      <c r="EU34" s="277" t="s">
        <v>586</v>
      </c>
      <c r="EV34" s="277" t="s">
        <v>586</v>
      </c>
      <c r="EW34" s="277" t="s">
        <v>586</v>
      </c>
      <c r="EX34" s="277" t="s">
        <v>586</v>
      </c>
      <c r="EY34" s="277" t="s">
        <v>586</v>
      </c>
      <c r="EZ34" s="277" t="s">
        <v>586</v>
      </c>
      <c r="FA34" s="277" t="s">
        <v>586</v>
      </c>
      <c r="FB34" s="277" t="s">
        <v>586</v>
      </c>
      <c r="FC34" s="277" t="s">
        <v>586</v>
      </c>
      <c r="FD34" s="277" t="s">
        <v>586</v>
      </c>
      <c r="FE34" s="277" t="s">
        <v>586</v>
      </c>
      <c r="FF34" s="277" t="s">
        <v>586</v>
      </c>
      <c r="FG34" s="277" t="s">
        <v>586</v>
      </c>
      <c r="FH34" s="277" t="s">
        <v>586</v>
      </c>
      <c r="FI34" s="277" t="s">
        <v>586</v>
      </c>
      <c r="FJ34" s="277" t="s">
        <v>586</v>
      </c>
      <c r="FK34" s="277" t="s">
        <v>586</v>
      </c>
      <c r="FL34" s="277" t="s">
        <v>586</v>
      </c>
      <c r="FM34" s="277" t="s">
        <v>586</v>
      </c>
      <c r="FN34" s="277" t="s">
        <v>586</v>
      </c>
      <c r="FO34" s="277" t="s">
        <v>586</v>
      </c>
      <c r="FP34" s="277" t="s">
        <v>586</v>
      </c>
      <c r="FQ34" s="277" t="s">
        <v>586</v>
      </c>
      <c r="FR34" s="277" t="s">
        <v>586</v>
      </c>
    </row>
    <row r="35" spans="1:174" s="89" customFormat="1" ht="48" customHeight="1" x14ac:dyDescent="0.25">
      <c r="A35" s="492"/>
      <c r="B35" s="492"/>
      <c r="C35" s="492"/>
      <c r="D35" s="492"/>
      <c r="E35" s="495"/>
      <c r="F35" s="492"/>
      <c r="G35" s="492"/>
      <c r="H35" s="512"/>
      <c r="I35" s="274" t="s">
        <v>775</v>
      </c>
      <c r="J35" s="234" t="s">
        <v>635</v>
      </c>
      <c r="K35" s="234" t="s">
        <v>636</v>
      </c>
      <c r="L35" s="96">
        <v>0.98</v>
      </c>
      <c r="M35" s="96">
        <v>0.52</v>
      </c>
      <c r="N35" s="135">
        <v>0.53</v>
      </c>
      <c r="O35" s="234" t="s">
        <v>637</v>
      </c>
      <c r="P35" s="135">
        <v>0.59</v>
      </c>
      <c r="Q35" s="135">
        <v>0.6</v>
      </c>
      <c r="R35" s="234" t="s">
        <v>638</v>
      </c>
      <c r="S35" s="135">
        <v>0.63</v>
      </c>
      <c r="T35" s="135">
        <v>0.64</v>
      </c>
      <c r="U35" s="234" t="s">
        <v>639</v>
      </c>
      <c r="V35" s="135">
        <v>0.67235274614758123</v>
      </c>
      <c r="W35" s="135">
        <v>0.68607423076283802</v>
      </c>
      <c r="X35" s="234" t="s">
        <v>919</v>
      </c>
      <c r="Y35" s="135">
        <v>0.69777416557142058</v>
      </c>
      <c r="Z35" s="135">
        <v>0.71201445466471491</v>
      </c>
      <c r="AA35" s="234" t="s">
        <v>940</v>
      </c>
      <c r="AB35" s="135">
        <v>0.72230610749191604</v>
      </c>
      <c r="AC35" s="135">
        <v>0.73704704846113878</v>
      </c>
      <c r="AD35" s="234" t="s">
        <v>964</v>
      </c>
      <c r="AE35" s="135">
        <v>0.76102104078932953</v>
      </c>
      <c r="AF35" s="135">
        <v>0.77655208243809137</v>
      </c>
      <c r="AG35" s="234" t="s">
        <v>1470</v>
      </c>
      <c r="AH35" s="135">
        <v>0.77951652400650318</v>
      </c>
      <c r="AI35" s="135">
        <v>0.79542502449643182</v>
      </c>
      <c r="AJ35" s="234" t="s">
        <v>1471</v>
      </c>
      <c r="AK35" s="135">
        <v>0.81334053524750749</v>
      </c>
      <c r="AL35" s="135">
        <v>0.82993932168113016</v>
      </c>
      <c r="AM35" s="234" t="s">
        <v>1472</v>
      </c>
      <c r="AN35" s="135">
        <v>0.83117370249489297</v>
      </c>
      <c r="AO35" s="135">
        <v>0.8481364311172378</v>
      </c>
      <c r="AP35" s="234" t="s">
        <v>1865</v>
      </c>
      <c r="AQ35" s="135">
        <v>0.87150696257224136</v>
      </c>
      <c r="AR35" s="135">
        <v>0.88929281895126666</v>
      </c>
      <c r="AS35" s="234" t="s">
        <v>1866</v>
      </c>
      <c r="AT35" s="135">
        <v>0.89563459890616437</v>
      </c>
      <c r="AU35" s="135">
        <v>0.91391285602669836</v>
      </c>
      <c r="AV35" s="234" t="s">
        <v>1867</v>
      </c>
      <c r="AW35" s="488" t="s">
        <v>93</v>
      </c>
      <c r="AX35" s="488"/>
      <c r="AY35" s="489"/>
      <c r="AZ35" s="235" t="s">
        <v>586</v>
      </c>
      <c r="BA35" s="235" t="s">
        <v>586</v>
      </c>
      <c r="BB35" s="239" t="s">
        <v>586</v>
      </c>
      <c r="BC35" s="235" t="s">
        <v>586</v>
      </c>
      <c r="BD35" s="235" t="s">
        <v>586</v>
      </c>
      <c r="BE35" s="239" t="s">
        <v>586</v>
      </c>
      <c r="BF35" s="235" t="s">
        <v>586</v>
      </c>
      <c r="BG35" s="235" t="s">
        <v>586</v>
      </c>
      <c r="BH35" s="239" t="s">
        <v>586</v>
      </c>
      <c r="BI35" s="235" t="s">
        <v>586</v>
      </c>
      <c r="BJ35" s="235" t="s">
        <v>586</v>
      </c>
      <c r="BK35" s="239" t="s">
        <v>586</v>
      </c>
      <c r="BL35" s="235" t="s">
        <v>586</v>
      </c>
      <c r="BM35" s="235" t="s">
        <v>586</v>
      </c>
      <c r="BN35" s="239" t="s">
        <v>586</v>
      </c>
      <c r="BO35" s="235" t="s">
        <v>586</v>
      </c>
      <c r="BP35" s="235" t="s">
        <v>586</v>
      </c>
      <c r="BQ35" s="239" t="s">
        <v>586</v>
      </c>
      <c r="BR35" s="235" t="s">
        <v>586</v>
      </c>
      <c r="BS35" s="235" t="s">
        <v>586</v>
      </c>
      <c r="BT35" s="239" t="s">
        <v>586</v>
      </c>
      <c r="BU35" s="235" t="s">
        <v>586</v>
      </c>
      <c r="BV35" s="235" t="s">
        <v>586</v>
      </c>
      <c r="BW35" s="239" t="s">
        <v>586</v>
      </c>
      <c r="BX35" s="235" t="s">
        <v>586</v>
      </c>
      <c r="BY35" s="235" t="s">
        <v>586</v>
      </c>
      <c r="BZ35" s="239" t="s">
        <v>586</v>
      </c>
      <c r="CA35" s="235" t="s">
        <v>586</v>
      </c>
      <c r="CB35" s="235" t="s">
        <v>586</v>
      </c>
      <c r="CC35" s="239" t="s">
        <v>586</v>
      </c>
      <c r="CD35" s="235" t="s">
        <v>586</v>
      </c>
      <c r="CE35" s="235" t="s">
        <v>586</v>
      </c>
      <c r="CF35" s="239" t="s">
        <v>586</v>
      </c>
      <c r="CG35" s="235" t="s">
        <v>586</v>
      </c>
      <c r="CH35" s="235" t="s">
        <v>586</v>
      </c>
      <c r="CI35" s="239" t="s">
        <v>586</v>
      </c>
      <c r="CJ35" s="234" t="s">
        <v>246</v>
      </c>
      <c r="CK35" s="234" t="s">
        <v>566</v>
      </c>
      <c r="CL35" s="277" t="s">
        <v>586</v>
      </c>
      <c r="CM35" s="277" t="s">
        <v>586</v>
      </c>
      <c r="CN35" s="277" t="s">
        <v>586</v>
      </c>
      <c r="CO35" s="277" t="s">
        <v>586</v>
      </c>
      <c r="CP35" s="277" t="s">
        <v>586</v>
      </c>
      <c r="CQ35" s="277" t="s">
        <v>586</v>
      </c>
      <c r="CR35" s="277" t="s">
        <v>586</v>
      </c>
      <c r="CS35" s="277" t="s">
        <v>586</v>
      </c>
      <c r="CT35" s="277" t="s">
        <v>586</v>
      </c>
      <c r="CU35" s="277" t="s">
        <v>586</v>
      </c>
      <c r="CV35" s="277" t="s">
        <v>586</v>
      </c>
      <c r="CW35" s="277" t="s">
        <v>586</v>
      </c>
      <c r="CX35" s="277" t="s">
        <v>586</v>
      </c>
      <c r="CY35" s="277" t="s">
        <v>586</v>
      </c>
      <c r="CZ35" s="277" t="s">
        <v>586</v>
      </c>
      <c r="DA35" s="277" t="s">
        <v>586</v>
      </c>
      <c r="DB35" s="277" t="s">
        <v>586</v>
      </c>
      <c r="DC35" s="277" t="s">
        <v>586</v>
      </c>
      <c r="DD35" s="277" t="s">
        <v>586</v>
      </c>
      <c r="DE35" s="277" t="s">
        <v>586</v>
      </c>
      <c r="DF35" s="277" t="s">
        <v>586</v>
      </c>
      <c r="DG35" s="277" t="s">
        <v>586</v>
      </c>
      <c r="DH35" s="277" t="s">
        <v>586</v>
      </c>
      <c r="DI35" s="277" t="s">
        <v>586</v>
      </c>
      <c r="DJ35" s="277" t="s">
        <v>586</v>
      </c>
      <c r="DK35" s="277" t="s">
        <v>586</v>
      </c>
      <c r="DL35" s="277" t="s">
        <v>586</v>
      </c>
      <c r="DM35" s="277" t="s">
        <v>586</v>
      </c>
      <c r="DN35" s="277" t="s">
        <v>586</v>
      </c>
      <c r="DO35" s="277" t="s">
        <v>586</v>
      </c>
      <c r="DP35" s="277" t="s">
        <v>586</v>
      </c>
      <c r="DQ35" s="277" t="s">
        <v>586</v>
      </c>
      <c r="DR35" s="277" t="s">
        <v>586</v>
      </c>
      <c r="DS35" s="277" t="s">
        <v>586</v>
      </c>
      <c r="DT35" s="277" t="s">
        <v>586</v>
      </c>
      <c r="DU35" s="277" t="s">
        <v>586</v>
      </c>
      <c r="DV35" s="277" t="s">
        <v>586</v>
      </c>
      <c r="DW35" s="277" t="s">
        <v>586</v>
      </c>
      <c r="DX35" s="277" t="s">
        <v>586</v>
      </c>
      <c r="DY35" s="277" t="s">
        <v>586</v>
      </c>
      <c r="DZ35" s="277" t="s">
        <v>586</v>
      </c>
      <c r="EA35" s="277" t="s">
        <v>586</v>
      </c>
      <c r="EB35" s="277" t="s">
        <v>586</v>
      </c>
      <c r="EC35" s="277" t="s">
        <v>586</v>
      </c>
      <c r="ED35" s="277" t="s">
        <v>586</v>
      </c>
      <c r="EE35" s="277" t="s">
        <v>586</v>
      </c>
      <c r="EF35" s="277" t="s">
        <v>586</v>
      </c>
      <c r="EG35" s="277" t="s">
        <v>586</v>
      </c>
      <c r="EH35" s="277" t="s">
        <v>586</v>
      </c>
      <c r="EI35" s="277" t="s">
        <v>586</v>
      </c>
      <c r="EJ35" s="277" t="s">
        <v>586</v>
      </c>
      <c r="EK35" s="277" t="s">
        <v>586</v>
      </c>
      <c r="EL35" s="277" t="s">
        <v>586</v>
      </c>
      <c r="EM35" s="277" t="s">
        <v>586</v>
      </c>
      <c r="EN35" s="277" t="s">
        <v>586</v>
      </c>
      <c r="EO35" s="277" t="s">
        <v>586</v>
      </c>
      <c r="EP35" s="277" t="s">
        <v>586</v>
      </c>
      <c r="EQ35" s="277" t="s">
        <v>586</v>
      </c>
      <c r="ER35" s="277" t="s">
        <v>586</v>
      </c>
      <c r="ES35" s="277" t="s">
        <v>586</v>
      </c>
      <c r="ET35" s="277" t="s">
        <v>586</v>
      </c>
      <c r="EU35" s="277" t="s">
        <v>586</v>
      </c>
      <c r="EV35" s="277" t="s">
        <v>586</v>
      </c>
      <c r="EW35" s="277" t="s">
        <v>586</v>
      </c>
      <c r="EX35" s="277" t="s">
        <v>586</v>
      </c>
      <c r="EY35" s="277" t="s">
        <v>586</v>
      </c>
      <c r="EZ35" s="277" t="s">
        <v>586</v>
      </c>
      <c r="FA35" s="277" t="s">
        <v>586</v>
      </c>
      <c r="FB35" s="277" t="s">
        <v>586</v>
      </c>
      <c r="FC35" s="277" t="s">
        <v>586</v>
      </c>
      <c r="FD35" s="277" t="s">
        <v>586</v>
      </c>
      <c r="FE35" s="277" t="s">
        <v>586</v>
      </c>
      <c r="FF35" s="277" t="s">
        <v>586</v>
      </c>
      <c r="FG35" s="277" t="s">
        <v>586</v>
      </c>
      <c r="FH35" s="277" t="s">
        <v>586</v>
      </c>
      <c r="FI35" s="277" t="s">
        <v>586</v>
      </c>
      <c r="FJ35" s="277" t="s">
        <v>586</v>
      </c>
      <c r="FK35" s="277" t="s">
        <v>586</v>
      </c>
      <c r="FL35" s="277" t="s">
        <v>586</v>
      </c>
      <c r="FM35" s="277" t="s">
        <v>586</v>
      </c>
      <c r="FN35" s="277" t="s">
        <v>586</v>
      </c>
      <c r="FO35" s="277" t="s">
        <v>586</v>
      </c>
      <c r="FP35" s="277" t="s">
        <v>586</v>
      </c>
      <c r="FQ35" s="277" t="s">
        <v>586</v>
      </c>
      <c r="FR35" s="277" t="s">
        <v>586</v>
      </c>
    </row>
    <row r="36" spans="1:174" s="2" customFormat="1" ht="75" x14ac:dyDescent="0.25">
      <c r="A36" s="237"/>
      <c r="B36" s="237"/>
      <c r="C36" s="237"/>
      <c r="D36" s="237"/>
      <c r="E36" s="91"/>
      <c r="F36" s="237"/>
      <c r="G36" s="237"/>
      <c r="H36" s="277" t="s">
        <v>586</v>
      </c>
      <c r="I36" s="237"/>
      <c r="J36" s="237"/>
      <c r="K36" s="237"/>
      <c r="L36" s="97"/>
      <c r="M36" s="98" t="s">
        <v>161</v>
      </c>
      <c r="N36" s="99" t="s">
        <v>776</v>
      </c>
      <c r="O36" s="91"/>
      <c r="P36" s="98" t="s">
        <v>161</v>
      </c>
      <c r="Q36" s="99" t="s">
        <v>777</v>
      </c>
      <c r="R36" s="91"/>
      <c r="S36" s="98" t="s">
        <v>161</v>
      </c>
      <c r="T36" s="99" t="s">
        <v>778</v>
      </c>
      <c r="U36" s="91"/>
      <c r="V36" s="98" t="s">
        <v>161</v>
      </c>
      <c r="W36" s="134">
        <f>+AVERAGE(W34:W35)</f>
        <v>0.48684229394010609</v>
      </c>
      <c r="X36" s="91"/>
      <c r="Y36" s="98" t="s">
        <v>161</v>
      </c>
      <c r="Z36" s="134">
        <f>+AVERAGE(Z34:Z35)</f>
        <v>0.54614498031489922</v>
      </c>
      <c r="AA36" s="91"/>
      <c r="AB36" s="98" t="s">
        <v>161</v>
      </c>
      <c r="AC36" s="134">
        <f>+AVERAGE(AC34:AC35)</f>
        <v>0.60479283170433096</v>
      </c>
      <c r="AD36" s="91"/>
      <c r="AE36" s="98" t="s">
        <v>161</v>
      </c>
      <c r="AF36" s="134">
        <f>+AVERAGE(AF34:AF35)</f>
        <v>0.67012225531509884</v>
      </c>
      <c r="AG36" s="91"/>
      <c r="AH36" s="98" t="s">
        <v>161</v>
      </c>
      <c r="AI36" s="134">
        <f>+AVERAGE(AI34:AI35)</f>
        <v>0.64746361807303521</v>
      </c>
      <c r="AJ36" s="91"/>
      <c r="AK36" s="98" t="s">
        <v>161</v>
      </c>
      <c r="AL36" s="134">
        <f>+AVERAGE(AL34:AL35)</f>
        <v>0.76743937156419695</v>
      </c>
      <c r="AM36" s="91"/>
      <c r="AN36" s="98" t="s">
        <v>161</v>
      </c>
      <c r="AO36" s="134">
        <f>+AVERAGE(AO34:AO35)</f>
        <v>0.81303688794115359</v>
      </c>
      <c r="AP36" s="91"/>
      <c r="AQ36" s="98" t="s">
        <v>161</v>
      </c>
      <c r="AR36" s="134">
        <f>+AVERAGE(AR34:AR35)</f>
        <v>0.86717468518422436</v>
      </c>
      <c r="AS36" s="91"/>
      <c r="AT36" s="98" t="s">
        <v>161</v>
      </c>
      <c r="AU36" s="134">
        <f>+AVERAGE(AU34:AU35)</f>
        <v>0.96177952593318539</v>
      </c>
      <c r="AV36" s="91"/>
      <c r="AW36" s="237"/>
      <c r="AX36" s="237"/>
      <c r="AY36" s="97"/>
      <c r="AZ36" s="98" t="s">
        <v>162</v>
      </c>
      <c r="BA36" s="99" t="s">
        <v>11</v>
      </c>
      <c r="BB36" s="91"/>
      <c r="BC36" s="98" t="s">
        <v>162</v>
      </c>
      <c r="BD36" s="99" t="s">
        <v>11</v>
      </c>
      <c r="BE36" s="91"/>
      <c r="BF36" s="98" t="s">
        <v>162</v>
      </c>
      <c r="BG36" s="99" t="s">
        <v>11</v>
      </c>
      <c r="BH36" s="238" t="s">
        <v>586</v>
      </c>
      <c r="BI36" s="98" t="s">
        <v>162</v>
      </c>
      <c r="BJ36" s="99" t="s">
        <v>11</v>
      </c>
      <c r="BK36" s="91"/>
      <c r="BL36" s="98" t="s">
        <v>162</v>
      </c>
      <c r="BM36" s="99" t="s">
        <v>11</v>
      </c>
      <c r="BN36" s="91"/>
      <c r="BO36" s="98" t="s">
        <v>162</v>
      </c>
      <c r="BP36" s="99" t="s">
        <v>11</v>
      </c>
      <c r="BQ36" s="238" t="s">
        <v>586</v>
      </c>
      <c r="BR36" s="98" t="s">
        <v>162</v>
      </c>
      <c r="BS36" s="99" t="s">
        <v>11</v>
      </c>
      <c r="BT36" s="91"/>
      <c r="BU36" s="98" t="s">
        <v>162</v>
      </c>
      <c r="BV36" s="99" t="s">
        <v>11</v>
      </c>
      <c r="BW36" s="91"/>
      <c r="BX36" s="98" t="s">
        <v>162</v>
      </c>
      <c r="BY36" s="99" t="s">
        <v>11</v>
      </c>
      <c r="BZ36" s="238" t="s">
        <v>586</v>
      </c>
      <c r="CA36" s="98" t="s">
        <v>162</v>
      </c>
      <c r="CB36" s="99" t="s">
        <v>11</v>
      </c>
      <c r="CC36" s="91"/>
      <c r="CD36" s="98" t="s">
        <v>162</v>
      </c>
      <c r="CE36" s="99" t="s">
        <v>11</v>
      </c>
      <c r="CF36" s="91"/>
      <c r="CG36" s="98" t="s">
        <v>162</v>
      </c>
      <c r="CH36" s="99" t="s">
        <v>11</v>
      </c>
      <c r="CI36" s="238" t="s">
        <v>586</v>
      </c>
      <c r="CJ36" s="238" t="s">
        <v>586</v>
      </c>
      <c r="CK36" s="238" t="s">
        <v>586</v>
      </c>
      <c r="CL36" s="238" t="s">
        <v>586</v>
      </c>
      <c r="CM36" s="238" t="s">
        <v>586</v>
      </c>
      <c r="CN36" s="238" t="s">
        <v>586</v>
      </c>
      <c r="CO36" s="238" t="s">
        <v>586</v>
      </c>
      <c r="CP36" s="238" t="s">
        <v>586</v>
      </c>
      <c r="CQ36" s="238" t="s">
        <v>586</v>
      </c>
      <c r="CR36" s="238" t="s">
        <v>586</v>
      </c>
      <c r="CS36" s="238" t="s">
        <v>586</v>
      </c>
      <c r="CT36" s="238" t="s">
        <v>586</v>
      </c>
      <c r="CU36" s="238" t="s">
        <v>586</v>
      </c>
      <c r="CV36" s="238" t="s">
        <v>586</v>
      </c>
      <c r="CW36" s="238" t="s">
        <v>586</v>
      </c>
      <c r="CX36" s="238" t="s">
        <v>586</v>
      </c>
      <c r="CY36" s="238" t="s">
        <v>586</v>
      </c>
      <c r="CZ36" s="238" t="s">
        <v>586</v>
      </c>
      <c r="DA36" s="238" t="s">
        <v>586</v>
      </c>
      <c r="DB36" s="238" t="s">
        <v>586</v>
      </c>
      <c r="DC36" s="238" t="s">
        <v>586</v>
      </c>
      <c r="DD36" s="238" t="s">
        <v>586</v>
      </c>
      <c r="DE36" s="238" t="s">
        <v>586</v>
      </c>
      <c r="DF36" s="238" t="s">
        <v>586</v>
      </c>
      <c r="DG36" s="238" t="s">
        <v>586</v>
      </c>
      <c r="DH36" s="238" t="s">
        <v>586</v>
      </c>
      <c r="DI36" s="238" t="s">
        <v>586</v>
      </c>
      <c r="DJ36" s="238" t="s">
        <v>586</v>
      </c>
      <c r="DK36" s="238" t="s">
        <v>586</v>
      </c>
      <c r="DL36" s="238" t="s">
        <v>586</v>
      </c>
      <c r="DM36" s="238" t="s">
        <v>586</v>
      </c>
      <c r="DN36" s="238" t="s">
        <v>586</v>
      </c>
      <c r="DO36" s="238" t="s">
        <v>586</v>
      </c>
      <c r="DP36" s="238" t="s">
        <v>586</v>
      </c>
      <c r="DQ36" s="238" t="s">
        <v>586</v>
      </c>
      <c r="DR36" s="238" t="s">
        <v>586</v>
      </c>
      <c r="DS36" s="238" t="s">
        <v>586</v>
      </c>
      <c r="DT36" s="238" t="s">
        <v>586</v>
      </c>
      <c r="DU36" s="238" t="s">
        <v>586</v>
      </c>
      <c r="DV36" s="238" t="s">
        <v>586</v>
      </c>
      <c r="DW36" s="238" t="s">
        <v>586</v>
      </c>
      <c r="DX36" s="238" t="s">
        <v>586</v>
      </c>
      <c r="DY36" s="238" t="s">
        <v>586</v>
      </c>
      <c r="DZ36" s="238" t="s">
        <v>586</v>
      </c>
      <c r="EA36" s="238" t="s">
        <v>586</v>
      </c>
      <c r="EB36" s="238" t="s">
        <v>586</v>
      </c>
      <c r="EC36" s="238" t="s">
        <v>586</v>
      </c>
      <c r="ED36" s="238" t="s">
        <v>586</v>
      </c>
      <c r="EE36" s="238" t="s">
        <v>586</v>
      </c>
      <c r="EF36" s="238" t="s">
        <v>586</v>
      </c>
      <c r="EG36" s="238" t="s">
        <v>586</v>
      </c>
      <c r="EH36" s="238" t="s">
        <v>586</v>
      </c>
      <c r="EI36" s="238" t="s">
        <v>586</v>
      </c>
      <c r="EJ36" s="238" t="s">
        <v>586</v>
      </c>
      <c r="EK36" s="238" t="s">
        <v>586</v>
      </c>
      <c r="EL36" s="238" t="s">
        <v>586</v>
      </c>
      <c r="EM36" s="238" t="s">
        <v>586</v>
      </c>
      <c r="EN36" s="238" t="s">
        <v>586</v>
      </c>
      <c r="EO36" s="238" t="s">
        <v>586</v>
      </c>
      <c r="EP36" s="238" t="s">
        <v>586</v>
      </c>
      <c r="EQ36" s="238" t="s">
        <v>586</v>
      </c>
      <c r="ER36" s="238" t="s">
        <v>586</v>
      </c>
      <c r="ES36" s="238" t="s">
        <v>586</v>
      </c>
      <c r="ET36" s="238" t="s">
        <v>586</v>
      </c>
      <c r="EU36" s="238" t="s">
        <v>586</v>
      </c>
      <c r="EV36" s="238" t="s">
        <v>586</v>
      </c>
      <c r="EW36" s="238" t="s">
        <v>586</v>
      </c>
      <c r="EX36" s="238" t="s">
        <v>586</v>
      </c>
      <c r="EY36" s="238" t="s">
        <v>586</v>
      </c>
      <c r="EZ36" s="238" t="s">
        <v>586</v>
      </c>
      <c r="FA36" s="238" t="s">
        <v>586</v>
      </c>
      <c r="FB36" s="238" t="s">
        <v>586</v>
      </c>
      <c r="FC36" s="238" t="s">
        <v>586</v>
      </c>
      <c r="FD36" s="238" t="s">
        <v>586</v>
      </c>
      <c r="FE36" s="238" t="s">
        <v>586</v>
      </c>
      <c r="FF36" s="238" t="s">
        <v>586</v>
      </c>
      <c r="FG36" s="238" t="s">
        <v>586</v>
      </c>
      <c r="FH36" s="238" t="s">
        <v>586</v>
      </c>
      <c r="FI36" s="238" t="s">
        <v>586</v>
      </c>
      <c r="FJ36" s="238" t="s">
        <v>586</v>
      </c>
      <c r="FK36" s="238" t="s">
        <v>586</v>
      </c>
      <c r="FL36" s="238" t="s">
        <v>586</v>
      </c>
      <c r="FM36" s="238" t="s">
        <v>586</v>
      </c>
      <c r="FN36" s="238" t="s">
        <v>586</v>
      </c>
      <c r="FO36" s="237"/>
      <c r="FP36" s="237"/>
      <c r="FQ36" s="237"/>
      <c r="FR36" s="237"/>
    </row>
    <row r="37" spans="1:174" s="89" customFormat="1" ht="33.75" customHeight="1" x14ac:dyDescent="0.25">
      <c r="A37" s="277" t="s">
        <v>586</v>
      </c>
      <c r="B37" s="277" t="s">
        <v>586</v>
      </c>
      <c r="C37" s="92" t="s">
        <v>586</v>
      </c>
      <c r="D37" s="277" t="s">
        <v>586</v>
      </c>
      <c r="E37" s="92" t="s">
        <v>586</v>
      </c>
      <c r="F37" s="277" t="s">
        <v>586</v>
      </c>
      <c r="G37" s="277" t="s">
        <v>586</v>
      </c>
      <c r="H37" s="277" t="s">
        <v>586</v>
      </c>
      <c r="I37" s="277" t="s">
        <v>586</v>
      </c>
      <c r="J37" s="277" t="s">
        <v>586</v>
      </c>
      <c r="K37" s="277" t="s">
        <v>586</v>
      </c>
      <c r="L37" s="100" t="s">
        <v>586</v>
      </c>
      <c r="M37" s="100" t="s">
        <v>586</v>
      </c>
      <c r="N37" s="247" t="s">
        <v>586</v>
      </c>
      <c r="O37" s="92" t="s">
        <v>586</v>
      </c>
      <c r="P37" s="100" t="s">
        <v>586</v>
      </c>
      <c r="Q37" s="247" t="s">
        <v>586</v>
      </c>
      <c r="R37" s="92" t="s">
        <v>586</v>
      </c>
      <c r="S37" s="100" t="s">
        <v>586</v>
      </c>
      <c r="T37" s="247" t="s">
        <v>586</v>
      </c>
      <c r="U37" s="92" t="s">
        <v>586</v>
      </c>
      <c r="V37" s="100" t="s">
        <v>586</v>
      </c>
      <c r="W37" s="247" t="s">
        <v>586</v>
      </c>
      <c r="X37" s="92" t="s">
        <v>586</v>
      </c>
      <c r="Y37" s="100" t="s">
        <v>586</v>
      </c>
      <c r="Z37" s="247" t="s">
        <v>586</v>
      </c>
      <c r="AA37" s="92" t="s">
        <v>586</v>
      </c>
      <c r="AB37" s="100" t="s">
        <v>586</v>
      </c>
      <c r="AC37" s="247" t="s">
        <v>586</v>
      </c>
      <c r="AD37" s="92" t="s">
        <v>586</v>
      </c>
      <c r="AE37" s="100" t="s">
        <v>586</v>
      </c>
      <c r="AF37" s="247" t="s">
        <v>586</v>
      </c>
      <c r="AG37" s="92" t="s">
        <v>586</v>
      </c>
      <c r="AH37" s="100" t="s">
        <v>586</v>
      </c>
      <c r="AI37" s="247" t="s">
        <v>586</v>
      </c>
      <c r="AJ37" s="92" t="s">
        <v>586</v>
      </c>
      <c r="AK37" s="100" t="s">
        <v>586</v>
      </c>
      <c r="AL37" s="247" t="s">
        <v>586</v>
      </c>
      <c r="AM37" s="92" t="s">
        <v>586</v>
      </c>
      <c r="AN37" s="100" t="s">
        <v>586</v>
      </c>
      <c r="AO37" s="247" t="s">
        <v>586</v>
      </c>
      <c r="AP37" s="92" t="s">
        <v>586</v>
      </c>
      <c r="AQ37" s="100" t="s">
        <v>586</v>
      </c>
      <c r="AR37" s="247" t="s">
        <v>586</v>
      </c>
      <c r="AS37" s="92" t="s">
        <v>586</v>
      </c>
      <c r="AT37" s="100" t="s">
        <v>586</v>
      </c>
      <c r="AU37" s="247" t="s">
        <v>586</v>
      </c>
      <c r="AV37" s="92" t="s">
        <v>586</v>
      </c>
      <c r="AW37" s="277" t="s">
        <v>586</v>
      </c>
      <c r="AX37" s="277" t="s">
        <v>586</v>
      </c>
      <c r="AY37" s="100" t="s">
        <v>586</v>
      </c>
      <c r="AZ37" s="100" t="s">
        <v>586</v>
      </c>
      <c r="BA37" s="247" t="s">
        <v>586</v>
      </c>
      <c r="BB37" s="92" t="s">
        <v>586</v>
      </c>
      <c r="BC37" s="100" t="s">
        <v>586</v>
      </c>
      <c r="BD37" s="247" t="s">
        <v>586</v>
      </c>
      <c r="BE37" s="92" t="s">
        <v>586</v>
      </c>
      <c r="BF37" s="100" t="s">
        <v>586</v>
      </c>
      <c r="BG37" s="247" t="s">
        <v>586</v>
      </c>
      <c r="BH37" s="92" t="s">
        <v>586</v>
      </c>
      <c r="BI37" s="100" t="s">
        <v>586</v>
      </c>
      <c r="BJ37" s="247" t="s">
        <v>586</v>
      </c>
      <c r="BK37" s="92" t="s">
        <v>586</v>
      </c>
      <c r="BL37" s="100" t="s">
        <v>586</v>
      </c>
      <c r="BM37" s="247" t="s">
        <v>586</v>
      </c>
      <c r="BN37" s="92" t="s">
        <v>586</v>
      </c>
      <c r="BO37" s="100" t="s">
        <v>586</v>
      </c>
      <c r="BP37" s="247" t="s">
        <v>586</v>
      </c>
      <c r="BQ37" s="92" t="s">
        <v>586</v>
      </c>
      <c r="BR37" s="100" t="s">
        <v>586</v>
      </c>
      <c r="BS37" s="247" t="s">
        <v>586</v>
      </c>
      <c r="BT37" s="92" t="s">
        <v>586</v>
      </c>
      <c r="BU37" s="100" t="s">
        <v>586</v>
      </c>
      <c r="BV37" s="247" t="s">
        <v>586</v>
      </c>
      <c r="BW37" s="92" t="s">
        <v>586</v>
      </c>
      <c r="BX37" s="100" t="s">
        <v>586</v>
      </c>
      <c r="BY37" s="247" t="s">
        <v>586</v>
      </c>
      <c r="BZ37" s="92" t="s">
        <v>586</v>
      </c>
      <c r="CA37" s="100" t="s">
        <v>586</v>
      </c>
      <c r="CB37" s="247" t="s">
        <v>586</v>
      </c>
      <c r="CC37" s="92" t="s">
        <v>586</v>
      </c>
      <c r="CD37" s="100" t="s">
        <v>586</v>
      </c>
      <c r="CE37" s="247" t="s">
        <v>586</v>
      </c>
      <c r="CF37" s="92" t="s">
        <v>586</v>
      </c>
      <c r="CG37" s="100" t="s">
        <v>586</v>
      </c>
      <c r="CH37" s="247" t="s">
        <v>586</v>
      </c>
      <c r="CI37" s="92" t="s">
        <v>586</v>
      </c>
      <c r="CJ37" s="277" t="s">
        <v>586</v>
      </c>
      <c r="CK37" s="277" t="s">
        <v>586</v>
      </c>
      <c r="CL37" s="277" t="s">
        <v>586</v>
      </c>
      <c r="CM37" s="277" t="s">
        <v>586</v>
      </c>
      <c r="CN37" s="277" t="s">
        <v>586</v>
      </c>
      <c r="CO37" s="277" t="s">
        <v>586</v>
      </c>
      <c r="CP37" s="277" t="s">
        <v>586</v>
      </c>
      <c r="CQ37" s="277" t="s">
        <v>586</v>
      </c>
      <c r="CR37" s="277" t="s">
        <v>586</v>
      </c>
      <c r="CS37" s="277" t="s">
        <v>586</v>
      </c>
      <c r="CT37" s="277" t="s">
        <v>586</v>
      </c>
      <c r="CU37" s="277" t="s">
        <v>586</v>
      </c>
      <c r="CV37" s="277" t="s">
        <v>586</v>
      </c>
      <c r="CW37" s="277" t="s">
        <v>586</v>
      </c>
      <c r="CX37" s="277" t="s">
        <v>586</v>
      </c>
      <c r="CY37" s="277" t="s">
        <v>586</v>
      </c>
      <c r="CZ37" s="277" t="s">
        <v>586</v>
      </c>
      <c r="DA37" s="277" t="s">
        <v>586</v>
      </c>
      <c r="DB37" s="277" t="s">
        <v>586</v>
      </c>
      <c r="DC37" s="277" t="s">
        <v>586</v>
      </c>
      <c r="DD37" s="277" t="s">
        <v>586</v>
      </c>
      <c r="DE37" s="277" t="s">
        <v>586</v>
      </c>
      <c r="DF37" s="277" t="s">
        <v>586</v>
      </c>
      <c r="DG37" s="277" t="s">
        <v>586</v>
      </c>
      <c r="DH37" s="277" t="s">
        <v>586</v>
      </c>
      <c r="DI37" s="277" t="s">
        <v>586</v>
      </c>
      <c r="DJ37" s="277" t="s">
        <v>586</v>
      </c>
      <c r="DK37" s="277" t="s">
        <v>586</v>
      </c>
      <c r="DL37" s="277" t="s">
        <v>586</v>
      </c>
      <c r="DM37" s="277" t="s">
        <v>586</v>
      </c>
      <c r="DN37" s="277" t="s">
        <v>586</v>
      </c>
      <c r="DO37" s="277" t="s">
        <v>586</v>
      </c>
      <c r="DP37" s="277" t="s">
        <v>586</v>
      </c>
      <c r="DQ37" s="277" t="s">
        <v>586</v>
      </c>
      <c r="DR37" s="277" t="s">
        <v>586</v>
      </c>
      <c r="DS37" s="277" t="s">
        <v>586</v>
      </c>
      <c r="DT37" s="277" t="s">
        <v>586</v>
      </c>
      <c r="DU37" s="277" t="s">
        <v>586</v>
      </c>
      <c r="DV37" s="277" t="s">
        <v>586</v>
      </c>
      <c r="DW37" s="277" t="s">
        <v>586</v>
      </c>
      <c r="DX37" s="277" t="s">
        <v>586</v>
      </c>
      <c r="DY37" s="277" t="s">
        <v>586</v>
      </c>
      <c r="DZ37" s="277" t="s">
        <v>586</v>
      </c>
      <c r="EA37" s="277" t="s">
        <v>586</v>
      </c>
      <c r="EB37" s="277" t="s">
        <v>586</v>
      </c>
      <c r="EC37" s="277" t="s">
        <v>586</v>
      </c>
      <c r="ED37" s="277" t="s">
        <v>586</v>
      </c>
      <c r="EE37" s="277" t="s">
        <v>586</v>
      </c>
      <c r="EF37" s="277" t="s">
        <v>586</v>
      </c>
      <c r="EG37" s="277" t="s">
        <v>586</v>
      </c>
      <c r="EH37" s="277" t="s">
        <v>586</v>
      </c>
      <c r="EI37" s="277" t="s">
        <v>586</v>
      </c>
      <c r="EJ37" s="277" t="s">
        <v>586</v>
      </c>
      <c r="EK37" s="277" t="s">
        <v>586</v>
      </c>
      <c r="EL37" s="277" t="s">
        <v>586</v>
      </c>
      <c r="EM37" s="277" t="s">
        <v>586</v>
      </c>
      <c r="EN37" s="277" t="s">
        <v>586</v>
      </c>
      <c r="EO37" s="277" t="s">
        <v>586</v>
      </c>
      <c r="EP37" s="277" t="s">
        <v>586</v>
      </c>
      <c r="EQ37" s="277" t="s">
        <v>586</v>
      </c>
      <c r="ER37" s="277" t="s">
        <v>586</v>
      </c>
      <c r="ES37" s="277" t="s">
        <v>586</v>
      </c>
      <c r="ET37" s="277" t="s">
        <v>586</v>
      </c>
      <c r="EU37" s="277" t="s">
        <v>586</v>
      </c>
      <c r="EV37" s="277" t="s">
        <v>586</v>
      </c>
      <c r="EW37" s="277" t="s">
        <v>586</v>
      </c>
      <c r="EX37" s="277" t="s">
        <v>586</v>
      </c>
      <c r="EY37" s="277" t="s">
        <v>586</v>
      </c>
      <c r="EZ37" s="277" t="s">
        <v>586</v>
      </c>
      <c r="FA37" s="277" t="s">
        <v>586</v>
      </c>
      <c r="FB37" s="277" t="s">
        <v>586</v>
      </c>
      <c r="FC37" s="277" t="s">
        <v>586</v>
      </c>
      <c r="FD37" s="277" t="s">
        <v>586</v>
      </c>
      <c r="FE37" s="277" t="s">
        <v>586</v>
      </c>
      <c r="FF37" s="277" t="s">
        <v>586</v>
      </c>
      <c r="FG37" s="277" t="s">
        <v>586</v>
      </c>
      <c r="FH37" s="277" t="s">
        <v>586</v>
      </c>
      <c r="FI37" s="277" t="s">
        <v>586</v>
      </c>
      <c r="FJ37" s="277" t="s">
        <v>586</v>
      </c>
      <c r="FK37" s="277" t="s">
        <v>586</v>
      </c>
      <c r="FL37" s="277" t="s">
        <v>586</v>
      </c>
      <c r="FM37" s="277" t="s">
        <v>586</v>
      </c>
      <c r="FN37" s="277" t="s">
        <v>586</v>
      </c>
      <c r="FO37" s="277" t="s">
        <v>586</v>
      </c>
      <c r="FP37" s="277" t="s">
        <v>586</v>
      </c>
      <c r="FQ37" s="277" t="s">
        <v>586</v>
      </c>
      <c r="FR37" s="277" t="s">
        <v>586</v>
      </c>
    </row>
    <row r="38" spans="1:174" s="2" customFormat="1" ht="56.25" x14ac:dyDescent="0.25">
      <c r="A38" s="237"/>
      <c r="B38" s="237"/>
      <c r="C38" s="237"/>
      <c r="D38" s="237"/>
      <c r="E38" s="237"/>
      <c r="F38" s="237"/>
      <c r="G38" s="237"/>
      <c r="H38" s="237"/>
      <c r="I38" s="237"/>
      <c r="J38" s="237"/>
      <c r="K38" s="237"/>
      <c r="L38" s="97"/>
      <c r="M38" s="98" t="s">
        <v>153</v>
      </c>
      <c r="N38" s="99" t="s">
        <v>779</v>
      </c>
      <c r="O38" s="91"/>
      <c r="P38" s="98" t="s">
        <v>153</v>
      </c>
      <c r="Q38" s="99" t="s">
        <v>780</v>
      </c>
      <c r="R38" s="91"/>
      <c r="S38" s="98" t="s">
        <v>153</v>
      </c>
      <c r="T38" s="99" t="s">
        <v>781</v>
      </c>
      <c r="U38" s="91"/>
      <c r="V38" s="98" t="s">
        <v>153</v>
      </c>
      <c r="W38" s="134">
        <f>+AVERAGE(W11,W17,W22,W25,W31,W33,W36)</f>
        <v>0.61697803988711752</v>
      </c>
      <c r="X38" s="91"/>
      <c r="Y38" s="98" t="s">
        <v>153</v>
      </c>
      <c r="Z38" s="134">
        <f>+AVERAGE(Z11,Z17,Z22,Z25,Z31,Z33,Z36)</f>
        <v>0.64323501238668079</v>
      </c>
      <c r="AA38" s="91"/>
      <c r="AB38" s="98" t="s">
        <v>153</v>
      </c>
      <c r="AC38" s="134">
        <f>+AVERAGE(AC11,AC17,AC22,AC25,AC31,AC33,AC36)</f>
        <v>0.68237872312515324</v>
      </c>
      <c r="AD38" s="91"/>
      <c r="AE38" s="98" t="s">
        <v>153</v>
      </c>
      <c r="AF38" s="134">
        <f>+AVERAGE(AF11,AF17,AF22,AF25,AF31,AF33,AF36)</f>
        <v>0.73675233478722835</v>
      </c>
      <c r="AG38" s="91"/>
      <c r="AH38" s="98" t="s">
        <v>153</v>
      </c>
      <c r="AI38" s="134">
        <f>+AVERAGE(AI11,AI17,AI22,AI25,AI31,AI33,AI36)</f>
        <v>0.76331056114995532</v>
      </c>
      <c r="AJ38" s="91"/>
      <c r="AK38" s="98" t="s">
        <v>153</v>
      </c>
      <c r="AL38" s="134">
        <f>+AVERAGE(AL11,AL17,AL22,AL25,AL31,AL33,AL36)</f>
        <v>0.83340202672735875</v>
      </c>
      <c r="AM38" s="91"/>
      <c r="AN38" s="98" t="s">
        <v>153</v>
      </c>
      <c r="AO38" s="134">
        <f>+AVERAGE(AO11,AO17,AO22,AO25,AO31,AO33,AO36)</f>
        <v>0.87802787665372239</v>
      </c>
      <c r="AP38" s="91"/>
      <c r="AQ38" s="98" t="s">
        <v>153</v>
      </c>
      <c r="AR38" s="134">
        <f>+AVERAGE(AR11,AR17,AR22,AR25,AR31,AR33,AR36)</f>
        <v>0.93605857150953131</v>
      </c>
      <c r="AS38" s="91"/>
      <c r="AT38" s="98" t="s">
        <v>153</v>
      </c>
      <c r="AU38" s="134">
        <f>+AVERAGE(AU11,AU17,AU22,AU25,AU31,AU33,AU36)</f>
        <v>1.0199887977497279</v>
      </c>
      <c r="AV38" s="91"/>
      <c r="AW38" s="237"/>
      <c r="AX38" s="237"/>
      <c r="AY38" s="97"/>
      <c r="AZ38" s="98" t="s">
        <v>154</v>
      </c>
      <c r="BA38" s="99" t="s">
        <v>782</v>
      </c>
      <c r="BB38" s="91"/>
      <c r="BC38" s="98" t="s">
        <v>154</v>
      </c>
      <c r="BD38" s="99" t="s">
        <v>783</v>
      </c>
      <c r="BE38" s="91"/>
      <c r="BF38" s="98" t="s">
        <v>154</v>
      </c>
      <c r="BG38" s="134">
        <v>0.67200000000000004</v>
      </c>
      <c r="BH38" s="238" t="s">
        <v>586</v>
      </c>
      <c r="BI38" s="98" t="s">
        <v>154</v>
      </c>
      <c r="BJ38" s="134">
        <f>+AVERAGE(BJ17,BJ22,BJ25,BJ31)</f>
        <v>0.6583618468231377</v>
      </c>
      <c r="BK38" s="91"/>
      <c r="BL38" s="98" t="s">
        <v>154</v>
      </c>
      <c r="BM38" s="134">
        <f>+AVERAGE(BM17,BM22,BM25,BM31)</f>
        <v>0.63435674028655442</v>
      </c>
      <c r="BN38" s="91"/>
      <c r="BO38" s="98" t="s">
        <v>154</v>
      </c>
      <c r="BP38" s="134">
        <f>+AVERAGE(BP17,BP22,BP25,BP31)</f>
        <v>0.67918823038661935</v>
      </c>
      <c r="BQ38" s="238" t="s">
        <v>586</v>
      </c>
      <c r="BR38" s="98" t="s">
        <v>154</v>
      </c>
      <c r="BS38" s="134">
        <f>+AVERAGE(BS17,BS22,BS25,BS31)</f>
        <v>0.67391293546154896</v>
      </c>
      <c r="BT38" s="91"/>
      <c r="BU38" s="98" t="s">
        <v>154</v>
      </c>
      <c r="BV38" s="134">
        <f>+AVERAGE(BV17,BV22,BV25,BV31)</f>
        <v>0.70403896046027925</v>
      </c>
      <c r="BW38" s="91"/>
      <c r="BX38" s="98" t="s">
        <v>154</v>
      </c>
      <c r="BY38" s="134">
        <f>+AVERAGE(BY17,BY22,BY25,BY31)</f>
        <v>0.8325560662087278</v>
      </c>
      <c r="BZ38" s="238" t="s">
        <v>586</v>
      </c>
      <c r="CA38" s="98" t="s">
        <v>154</v>
      </c>
      <c r="CB38" s="134">
        <f>+AVERAGE(CB17,CB22,CB25,CB31)</f>
        <v>0.87471441895610769</v>
      </c>
      <c r="CC38" s="91"/>
      <c r="CD38" s="98" t="s">
        <v>154</v>
      </c>
      <c r="CE38" s="134">
        <f>+AVERAGE(CE17,CE22,CE25,CE31)</f>
        <v>0.93137427159111008</v>
      </c>
      <c r="CF38" s="91"/>
      <c r="CG38" s="98" t="s">
        <v>154</v>
      </c>
      <c r="CH38" s="134">
        <f>+AVERAGE(CH17,CH22,CH25,CH31)</f>
        <v>1.0079020977298798</v>
      </c>
      <c r="CI38" s="238" t="s">
        <v>586</v>
      </c>
      <c r="CJ38" s="238" t="s">
        <v>586</v>
      </c>
      <c r="CK38" s="238" t="s">
        <v>586</v>
      </c>
      <c r="CL38" s="238" t="s">
        <v>586</v>
      </c>
      <c r="CM38" s="238" t="s">
        <v>586</v>
      </c>
      <c r="CN38" s="238" t="s">
        <v>586</v>
      </c>
      <c r="CO38" s="238" t="s">
        <v>586</v>
      </c>
      <c r="CP38" s="238" t="s">
        <v>586</v>
      </c>
      <c r="CQ38" s="238" t="s">
        <v>586</v>
      </c>
      <c r="CR38" s="238" t="s">
        <v>586</v>
      </c>
      <c r="CS38" s="238" t="s">
        <v>586</v>
      </c>
      <c r="CT38" s="238" t="s">
        <v>586</v>
      </c>
      <c r="CU38" s="238" t="s">
        <v>586</v>
      </c>
      <c r="CV38" s="238" t="s">
        <v>586</v>
      </c>
      <c r="CW38" s="238" t="s">
        <v>586</v>
      </c>
      <c r="CX38" s="238" t="s">
        <v>586</v>
      </c>
      <c r="CY38" s="238" t="s">
        <v>586</v>
      </c>
      <c r="CZ38" s="238" t="s">
        <v>586</v>
      </c>
      <c r="DA38" s="238" t="s">
        <v>586</v>
      </c>
      <c r="DB38" s="238" t="s">
        <v>586</v>
      </c>
      <c r="DC38" s="238" t="s">
        <v>586</v>
      </c>
      <c r="DD38" s="238" t="s">
        <v>586</v>
      </c>
      <c r="DE38" s="238" t="s">
        <v>586</v>
      </c>
      <c r="DF38" s="238" t="s">
        <v>586</v>
      </c>
      <c r="DG38" s="238" t="s">
        <v>586</v>
      </c>
      <c r="DH38" s="238" t="s">
        <v>586</v>
      </c>
      <c r="DI38" s="238" t="s">
        <v>586</v>
      </c>
      <c r="DJ38" s="238" t="s">
        <v>586</v>
      </c>
      <c r="DK38" s="238" t="s">
        <v>586</v>
      </c>
      <c r="DL38" s="238" t="s">
        <v>586</v>
      </c>
      <c r="DM38" s="238" t="s">
        <v>586</v>
      </c>
      <c r="DN38" s="238" t="s">
        <v>586</v>
      </c>
      <c r="DO38" s="238" t="s">
        <v>586</v>
      </c>
      <c r="DP38" s="238" t="s">
        <v>586</v>
      </c>
      <c r="DQ38" s="238" t="s">
        <v>586</v>
      </c>
      <c r="DR38" s="238" t="s">
        <v>586</v>
      </c>
      <c r="DS38" s="238" t="s">
        <v>586</v>
      </c>
      <c r="DT38" s="238" t="s">
        <v>586</v>
      </c>
      <c r="DU38" s="238" t="s">
        <v>586</v>
      </c>
      <c r="DV38" s="238" t="s">
        <v>586</v>
      </c>
      <c r="DW38" s="238" t="s">
        <v>586</v>
      </c>
      <c r="DX38" s="238" t="s">
        <v>586</v>
      </c>
      <c r="DY38" s="238" t="s">
        <v>586</v>
      </c>
      <c r="DZ38" s="238" t="s">
        <v>586</v>
      </c>
      <c r="EA38" s="238" t="s">
        <v>586</v>
      </c>
      <c r="EB38" s="238" t="s">
        <v>586</v>
      </c>
      <c r="EC38" s="238" t="s">
        <v>586</v>
      </c>
      <c r="ED38" s="238" t="s">
        <v>586</v>
      </c>
      <c r="EE38" s="238" t="s">
        <v>586</v>
      </c>
      <c r="EF38" s="238" t="s">
        <v>586</v>
      </c>
      <c r="EG38" s="238" t="s">
        <v>586</v>
      </c>
      <c r="EH38" s="238" t="s">
        <v>586</v>
      </c>
      <c r="EI38" s="238" t="s">
        <v>586</v>
      </c>
      <c r="EJ38" s="238" t="s">
        <v>586</v>
      </c>
      <c r="EK38" s="238" t="s">
        <v>586</v>
      </c>
      <c r="EL38" s="238" t="s">
        <v>586</v>
      </c>
      <c r="EM38" s="238" t="s">
        <v>586</v>
      </c>
      <c r="EN38" s="238" t="s">
        <v>586</v>
      </c>
      <c r="EO38" s="238" t="s">
        <v>586</v>
      </c>
      <c r="EP38" s="238" t="s">
        <v>586</v>
      </c>
      <c r="EQ38" s="238" t="s">
        <v>586</v>
      </c>
      <c r="ER38" s="238" t="s">
        <v>586</v>
      </c>
      <c r="ES38" s="238" t="s">
        <v>586</v>
      </c>
      <c r="ET38" s="238" t="s">
        <v>586</v>
      </c>
      <c r="EU38" s="238" t="s">
        <v>586</v>
      </c>
      <c r="EV38" s="238" t="s">
        <v>586</v>
      </c>
      <c r="EW38" s="238" t="s">
        <v>586</v>
      </c>
      <c r="EX38" s="238" t="s">
        <v>586</v>
      </c>
      <c r="EY38" s="238" t="s">
        <v>586</v>
      </c>
      <c r="EZ38" s="238" t="s">
        <v>586</v>
      </c>
      <c r="FA38" s="238" t="s">
        <v>586</v>
      </c>
      <c r="FB38" s="238" t="s">
        <v>586</v>
      </c>
      <c r="FC38" s="238" t="s">
        <v>586</v>
      </c>
      <c r="FD38" s="238" t="s">
        <v>586</v>
      </c>
      <c r="FE38" s="238" t="s">
        <v>586</v>
      </c>
      <c r="FF38" s="238" t="s">
        <v>586</v>
      </c>
      <c r="FG38" s="238" t="s">
        <v>586</v>
      </c>
      <c r="FH38" s="238" t="s">
        <v>586</v>
      </c>
      <c r="FI38" s="238" t="s">
        <v>586</v>
      </c>
      <c r="FJ38" s="238" t="s">
        <v>586</v>
      </c>
      <c r="FK38" s="238" t="s">
        <v>586</v>
      </c>
      <c r="FL38" s="238" t="s">
        <v>586</v>
      </c>
      <c r="FM38" s="238" t="s">
        <v>586</v>
      </c>
      <c r="FN38" s="238" t="s">
        <v>586</v>
      </c>
      <c r="FO38" s="237"/>
      <c r="FP38" s="237"/>
      <c r="FQ38" s="237"/>
      <c r="FR38" s="237"/>
    </row>
    <row r="39" spans="1:174" s="4" customFormat="1" ht="38.25" customHeight="1" x14ac:dyDescent="0.25">
      <c r="A39" s="228"/>
      <c r="B39" s="228"/>
      <c r="C39" s="228"/>
      <c r="D39" s="228"/>
      <c r="E39" s="228"/>
      <c r="F39" s="228"/>
      <c r="G39" s="228"/>
      <c r="H39" s="228"/>
      <c r="I39" s="228"/>
      <c r="J39" s="228"/>
      <c r="K39" s="228"/>
      <c r="L39" s="94"/>
      <c r="M39" s="260"/>
      <c r="N39" s="260"/>
      <c r="O39" s="86"/>
      <c r="P39" s="260"/>
      <c r="Q39" s="260"/>
      <c r="R39" s="86"/>
      <c r="S39" s="260"/>
      <c r="T39" s="260"/>
      <c r="U39" s="86"/>
      <c r="V39" s="260"/>
      <c r="W39" s="260"/>
      <c r="X39" s="86"/>
      <c r="Y39" s="260"/>
      <c r="Z39" s="260"/>
      <c r="AA39" s="86"/>
      <c r="AB39" s="260"/>
      <c r="AC39" s="260"/>
      <c r="AD39" s="86"/>
      <c r="AE39" s="260"/>
      <c r="AF39" s="260"/>
      <c r="AG39" s="86"/>
      <c r="AH39" s="260"/>
      <c r="AI39" s="260"/>
      <c r="AJ39" s="86"/>
      <c r="AK39" s="260"/>
      <c r="AL39" s="260"/>
      <c r="AM39" s="86"/>
      <c r="AN39" s="260"/>
      <c r="AO39" s="260"/>
      <c r="AP39" s="86"/>
      <c r="AQ39" s="260"/>
      <c r="AR39" s="260"/>
      <c r="AS39" s="86"/>
      <c r="AT39" s="260"/>
      <c r="AU39" s="260"/>
      <c r="AV39" s="86"/>
      <c r="AW39" s="228"/>
      <c r="AX39" s="228"/>
      <c r="AY39" s="94"/>
      <c r="AZ39" s="260"/>
      <c r="BA39" s="260"/>
      <c r="BB39" s="86"/>
      <c r="BC39" s="260"/>
      <c r="BD39" s="260"/>
      <c r="BE39" s="86"/>
      <c r="BF39" s="260"/>
      <c r="BG39" s="260"/>
      <c r="BH39" s="86"/>
      <c r="BI39" s="260"/>
      <c r="BJ39" s="260"/>
      <c r="BK39" s="86"/>
      <c r="BL39" s="260"/>
      <c r="BM39" s="260"/>
      <c r="BN39" s="86"/>
      <c r="BO39" s="260"/>
      <c r="BP39" s="260"/>
      <c r="BQ39" s="86"/>
      <c r="BR39" s="260"/>
      <c r="BS39" s="260"/>
      <c r="BT39" s="86"/>
      <c r="BU39" s="260"/>
      <c r="BV39" s="260"/>
      <c r="BW39" s="86"/>
      <c r="BX39" s="260"/>
      <c r="BY39" s="260"/>
      <c r="BZ39" s="86"/>
      <c r="CA39" s="260"/>
      <c r="CB39" s="260"/>
      <c r="CC39" s="86"/>
      <c r="CD39" s="260"/>
      <c r="CE39" s="260"/>
      <c r="CF39" s="86"/>
      <c r="CG39" s="260"/>
      <c r="CH39" s="260"/>
      <c r="CI39" s="86"/>
      <c r="CJ39" s="228"/>
      <c r="CK39" s="228"/>
      <c r="CL39" s="248" t="s">
        <v>586</v>
      </c>
      <c r="CM39" s="248" t="s">
        <v>586</v>
      </c>
      <c r="CN39" s="248" t="s">
        <v>586</v>
      </c>
      <c r="CO39" s="248" t="s">
        <v>586</v>
      </c>
      <c r="CP39" s="248" t="s">
        <v>586</v>
      </c>
      <c r="CQ39" s="248" t="s">
        <v>586</v>
      </c>
      <c r="CR39" s="248" t="s">
        <v>586</v>
      </c>
      <c r="CS39" s="248" t="s">
        <v>586</v>
      </c>
      <c r="CT39" s="248" t="s">
        <v>586</v>
      </c>
      <c r="CU39" s="248" t="s">
        <v>586</v>
      </c>
      <c r="CV39" s="248" t="s">
        <v>586</v>
      </c>
      <c r="CW39" s="248" t="s">
        <v>586</v>
      </c>
      <c r="CX39" s="248" t="s">
        <v>586</v>
      </c>
      <c r="CY39" s="248" t="s">
        <v>586</v>
      </c>
      <c r="CZ39" s="248" t="s">
        <v>586</v>
      </c>
      <c r="DA39" s="248" t="s">
        <v>586</v>
      </c>
      <c r="DB39" s="248" t="s">
        <v>586</v>
      </c>
      <c r="DC39" s="248" t="s">
        <v>586</v>
      </c>
      <c r="DD39" s="248" t="s">
        <v>586</v>
      </c>
      <c r="DE39" s="248" t="s">
        <v>586</v>
      </c>
      <c r="DF39" s="248" t="s">
        <v>586</v>
      </c>
      <c r="DG39" s="248" t="s">
        <v>586</v>
      </c>
      <c r="DH39" s="248" t="s">
        <v>586</v>
      </c>
      <c r="DI39" s="248" t="s">
        <v>586</v>
      </c>
      <c r="DJ39" s="248" t="s">
        <v>586</v>
      </c>
      <c r="DK39" s="248" t="s">
        <v>586</v>
      </c>
      <c r="DL39" s="248" t="s">
        <v>586</v>
      </c>
      <c r="DM39" s="248" t="s">
        <v>586</v>
      </c>
      <c r="DN39" s="248" t="s">
        <v>586</v>
      </c>
      <c r="DO39" s="248" t="s">
        <v>586</v>
      </c>
      <c r="DP39" s="248" t="s">
        <v>586</v>
      </c>
      <c r="DQ39" s="248" t="s">
        <v>586</v>
      </c>
      <c r="DR39" s="248" t="s">
        <v>586</v>
      </c>
      <c r="DS39" s="248" t="s">
        <v>586</v>
      </c>
      <c r="DT39" s="248" t="s">
        <v>586</v>
      </c>
      <c r="DU39" s="248" t="s">
        <v>586</v>
      </c>
      <c r="DV39" s="248" t="s">
        <v>586</v>
      </c>
      <c r="DW39" s="248" t="s">
        <v>586</v>
      </c>
      <c r="DX39" s="248" t="s">
        <v>586</v>
      </c>
      <c r="DY39" s="248" t="s">
        <v>586</v>
      </c>
      <c r="DZ39" s="248" t="s">
        <v>586</v>
      </c>
      <c r="EA39" s="248" t="s">
        <v>586</v>
      </c>
      <c r="EB39" s="248" t="s">
        <v>586</v>
      </c>
      <c r="EC39" s="248" t="s">
        <v>586</v>
      </c>
      <c r="ED39" s="248" t="s">
        <v>586</v>
      </c>
      <c r="EE39" s="248" t="s">
        <v>586</v>
      </c>
      <c r="EF39" s="248" t="s">
        <v>586</v>
      </c>
      <c r="EG39" s="248" t="s">
        <v>586</v>
      </c>
      <c r="EH39" s="248" t="s">
        <v>586</v>
      </c>
      <c r="EI39" s="248" t="s">
        <v>586</v>
      </c>
      <c r="EJ39" s="248" t="s">
        <v>586</v>
      </c>
      <c r="EK39" s="248" t="s">
        <v>586</v>
      </c>
      <c r="EL39" s="248" t="s">
        <v>586</v>
      </c>
      <c r="EM39" s="248" t="s">
        <v>586</v>
      </c>
      <c r="EN39" s="248" t="s">
        <v>586</v>
      </c>
      <c r="EO39" s="248" t="s">
        <v>586</v>
      </c>
      <c r="EP39" s="248" t="s">
        <v>586</v>
      </c>
      <c r="EQ39" s="248" t="s">
        <v>586</v>
      </c>
      <c r="ER39" s="248" t="s">
        <v>586</v>
      </c>
      <c r="ES39" s="248" t="s">
        <v>586</v>
      </c>
      <c r="ET39" s="248" t="s">
        <v>586</v>
      </c>
      <c r="EU39" s="248" t="s">
        <v>586</v>
      </c>
      <c r="EV39" s="248" t="s">
        <v>586</v>
      </c>
      <c r="EW39" s="248" t="s">
        <v>586</v>
      </c>
      <c r="EX39" s="248" t="s">
        <v>586</v>
      </c>
      <c r="EY39" s="248" t="s">
        <v>586</v>
      </c>
      <c r="EZ39" s="248" t="s">
        <v>586</v>
      </c>
      <c r="FA39" s="248" t="s">
        <v>586</v>
      </c>
      <c r="FB39" s="248" t="s">
        <v>586</v>
      </c>
      <c r="FC39" s="248" t="s">
        <v>586</v>
      </c>
      <c r="FD39" s="248" t="s">
        <v>586</v>
      </c>
      <c r="FE39" s="248" t="s">
        <v>586</v>
      </c>
      <c r="FF39" s="248" t="s">
        <v>586</v>
      </c>
      <c r="FG39" s="248" t="s">
        <v>586</v>
      </c>
      <c r="FH39" s="248" t="s">
        <v>586</v>
      </c>
      <c r="FI39" s="248" t="s">
        <v>586</v>
      </c>
      <c r="FJ39" s="248" t="s">
        <v>586</v>
      </c>
      <c r="FK39" s="248" t="s">
        <v>586</v>
      </c>
      <c r="FL39" s="248" t="s">
        <v>586</v>
      </c>
      <c r="FM39" s="248" t="s">
        <v>586</v>
      </c>
      <c r="FN39" s="248" t="s">
        <v>586</v>
      </c>
      <c r="FO39" s="248" t="s">
        <v>586</v>
      </c>
      <c r="FP39" s="248" t="s">
        <v>586</v>
      </c>
      <c r="FQ39" s="248" t="s">
        <v>586</v>
      </c>
      <c r="FR39" s="248" t="s">
        <v>586</v>
      </c>
    </row>
    <row r="40" spans="1:174" ht="38.25" customHeight="1" x14ac:dyDescent="0.25">
      <c r="A40" s="228"/>
      <c r="B40" s="228"/>
      <c r="C40" s="228"/>
      <c r="D40" s="228"/>
      <c r="E40" s="228"/>
      <c r="F40" s="228"/>
      <c r="G40" s="228"/>
      <c r="H40" s="228"/>
      <c r="I40" s="228"/>
      <c r="J40" s="228"/>
      <c r="K40" s="228"/>
      <c r="L40" s="94"/>
      <c r="M40" s="260"/>
      <c r="N40" s="260"/>
      <c r="O40" s="86"/>
      <c r="P40" s="260"/>
      <c r="Q40" s="260"/>
      <c r="R40" s="86"/>
      <c r="S40" s="260"/>
      <c r="T40" s="260"/>
      <c r="U40" s="86"/>
      <c r="V40" s="260"/>
      <c r="W40" s="260"/>
      <c r="X40" s="86"/>
      <c r="Y40" s="260"/>
      <c r="Z40" s="260"/>
      <c r="AA40" s="86"/>
      <c r="AB40" s="260"/>
      <c r="AC40" s="260"/>
      <c r="AD40" s="86"/>
      <c r="AE40" s="260"/>
      <c r="AF40" s="260"/>
      <c r="AG40" s="86"/>
      <c r="AH40" s="260"/>
      <c r="AI40" s="260"/>
      <c r="AJ40" s="86"/>
      <c r="AK40" s="260"/>
      <c r="AL40" s="260"/>
      <c r="AM40" s="86"/>
      <c r="AN40" s="260"/>
      <c r="AO40" s="260"/>
      <c r="AP40" s="86"/>
      <c r="AQ40" s="260"/>
      <c r="AR40" s="260"/>
      <c r="AS40" s="86"/>
      <c r="AT40" s="260"/>
      <c r="AU40" s="260"/>
      <c r="AV40" s="86"/>
      <c r="AW40" s="228"/>
      <c r="AX40" s="228"/>
      <c r="AY40" s="94"/>
      <c r="AZ40" s="260"/>
      <c r="BA40" s="260"/>
      <c r="BB40" s="86"/>
      <c r="BC40" s="260"/>
      <c r="BD40" s="260"/>
      <c r="BE40" s="86"/>
      <c r="BF40" s="260"/>
      <c r="BG40" s="260"/>
      <c r="BH40" s="86"/>
      <c r="BI40" s="260"/>
      <c r="BJ40" s="260"/>
      <c r="BK40" s="86"/>
      <c r="BL40" s="260"/>
      <c r="BM40" s="260"/>
      <c r="BN40" s="86"/>
      <c r="BO40" s="260"/>
      <c r="BP40" s="260"/>
      <c r="BQ40" s="86"/>
      <c r="BR40" s="260"/>
      <c r="BS40" s="260"/>
      <c r="BT40" s="86"/>
      <c r="BU40" s="260"/>
      <c r="BV40" s="260"/>
      <c r="BW40" s="86"/>
      <c r="BX40" s="260"/>
      <c r="BY40" s="260"/>
      <c r="BZ40" s="86"/>
      <c r="CA40" s="260"/>
      <c r="CB40" s="260"/>
      <c r="CC40" s="86"/>
      <c r="CD40" s="260"/>
      <c r="CE40" s="260"/>
      <c r="CF40" s="86"/>
      <c r="CG40" s="260"/>
      <c r="CH40" s="260"/>
      <c r="CI40" s="86"/>
      <c r="CJ40" s="228"/>
      <c r="CK40" s="228"/>
      <c r="CL40" s="229" t="s">
        <v>586</v>
      </c>
      <c r="CM40" s="229" t="s">
        <v>586</v>
      </c>
      <c r="CN40" s="229" t="s">
        <v>586</v>
      </c>
      <c r="CO40" s="229" t="s">
        <v>586</v>
      </c>
      <c r="CP40" s="229" t="s">
        <v>586</v>
      </c>
      <c r="CQ40" s="229" t="s">
        <v>586</v>
      </c>
      <c r="CR40" s="229" t="s">
        <v>586</v>
      </c>
      <c r="CS40" s="229" t="s">
        <v>586</v>
      </c>
      <c r="CT40" s="229" t="s">
        <v>586</v>
      </c>
      <c r="CU40" s="229" t="s">
        <v>586</v>
      </c>
      <c r="CV40" s="229" t="s">
        <v>586</v>
      </c>
      <c r="CW40" s="229" t="s">
        <v>586</v>
      </c>
      <c r="CX40" s="229" t="s">
        <v>586</v>
      </c>
      <c r="CY40" s="229" t="s">
        <v>586</v>
      </c>
      <c r="CZ40" s="229" t="s">
        <v>586</v>
      </c>
      <c r="DA40" s="229" t="s">
        <v>586</v>
      </c>
      <c r="DB40" s="229" t="s">
        <v>586</v>
      </c>
      <c r="DC40" s="229" t="s">
        <v>586</v>
      </c>
      <c r="DD40" s="229" t="s">
        <v>586</v>
      </c>
      <c r="DE40" s="229" t="s">
        <v>586</v>
      </c>
      <c r="DF40" s="229" t="s">
        <v>586</v>
      </c>
      <c r="DG40" s="229" t="s">
        <v>586</v>
      </c>
      <c r="DH40" s="229" t="s">
        <v>586</v>
      </c>
      <c r="DI40" s="229" t="s">
        <v>586</v>
      </c>
      <c r="DJ40" s="229" t="s">
        <v>586</v>
      </c>
      <c r="DK40" s="229" t="s">
        <v>586</v>
      </c>
      <c r="DL40" s="229" t="s">
        <v>586</v>
      </c>
      <c r="DM40" s="229" t="s">
        <v>586</v>
      </c>
      <c r="DN40" s="229" t="s">
        <v>586</v>
      </c>
      <c r="DO40" s="229" t="s">
        <v>586</v>
      </c>
      <c r="DP40" s="229" t="s">
        <v>586</v>
      </c>
      <c r="DQ40" s="229" t="s">
        <v>586</v>
      </c>
      <c r="DR40" s="229" t="s">
        <v>586</v>
      </c>
      <c r="DS40" s="229" t="s">
        <v>586</v>
      </c>
      <c r="DT40" s="229" t="s">
        <v>586</v>
      </c>
      <c r="DU40" s="229" t="s">
        <v>586</v>
      </c>
      <c r="DV40" s="229" t="s">
        <v>586</v>
      </c>
      <c r="DW40" s="229" t="s">
        <v>586</v>
      </c>
      <c r="DX40" s="229" t="s">
        <v>586</v>
      </c>
      <c r="DY40" s="229" t="s">
        <v>586</v>
      </c>
      <c r="DZ40" s="229" t="s">
        <v>586</v>
      </c>
      <c r="EA40" s="229" t="s">
        <v>586</v>
      </c>
      <c r="EB40" s="229" t="s">
        <v>586</v>
      </c>
      <c r="EC40" s="229" t="s">
        <v>586</v>
      </c>
      <c r="ED40" s="229" t="s">
        <v>586</v>
      </c>
      <c r="EE40" s="229" t="s">
        <v>586</v>
      </c>
      <c r="EF40" s="229" t="s">
        <v>586</v>
      </c>
      <c r="EG40" s="229" t="s">
        <v>586</v>
      </c>
      <c r="EH40" s="229" t="s">
        <v>586</v>
      </c>
      <c r="EI40" s="229" t="s">
        <v>586</v>
      </c>
      <c r="EJ40" s="229" t="s">
        <v>586</v>
      </c>
      <c r="EK40" s="229" t="s">
        <v>586</v>
      </c>
      <c r="EL40" s="229" t="s">
        <v>586</v>
      </c>
      <c r="EM40" s="229" t="s">
        <v>586</v>
      </c>
      <c r="EN40" s="229" t="s">
        <v>586</v>
      </c>
      <c r="EO40" s="229" t="s">
        <v>586</v>
      </c>
      <c r="EP40" s="229" t="s">
        <v>586</v>
      </c>
      <c r="EQ40" s="229" t="s">
        <v>586</v>
      </c>
      <c r="ER40" s="229" t="s">
        <v>586</v>
      </c>
      <c r="ES40" s="229" t="s">
        <v>586</v>
      </c>
      <c r="ET40" s="229" t="s">
        <v>586</v>
      </c>
      <c r="EU40" s="229" t="s">
        <v>586</v>
      </c>
      <c r="EV40" s="229" t="s">
        <v>586</v>
      </c>
      <c r="EW40" s="229" t="s">
        <v>586</v>
      </c>
      <c r="EX40" s="229" t="s">
        <v>586</v>
      </c>
      <c r="EY40" s="229" t="s">
        <v>586</v>
      </c>
      <c r="EZ40" s="229" t="s">
        <v>586</v>
      </c>
      <c r="FA40" s="229" t="s">
        <v>586</v>
      </c>
      <c r="FB40" s="229" t="s">
        <v>586</v>
      </c>
      <c r="FC40" s="229" t="s">
        <v>586</v>
      </c>
      <c r="FD40" s="229" t="s">
        <v>586</v>
      </c>
      <c r="FE40" s="229" t="s">
        <v>586</v>
      </c>
      <c r="FF40" s="229" t="s">
        <v>586</v>
      </c>
      <c r="FG40" s="229" t="s">
        <v>586</v>
      </c>
      <c r="FH40" s="229" t="s">
        <v>586</v>
      </c>
      <c r="FI40" s="229" t="s">
        <v>586</v>
      </c>
      <c r="FJ40" s="229" t="s">
        <v>586</v>
      </c>
      <c r="FK40" s="229" t="s">
        <v>586</v>
      </c>
      <c r="FL40" s="229" t="s">
        <v>586</v>
      </c>
      <c r="FM40" s="229" t="s">
        <v>586</v>
      </c>
      <c r="FN40" s="229" t="s">
        <v>586</v>
      </c>
      <c r="FO40" s="229" t="s">
        <v>586</v>
      </c>
      <c r="FP40" s="229" t="s">
        <v>586</v>
      </c>
      <c r="FQ40" s="229" t="s">
        <v>586</v>
      </c>
      <c r="FR40" s="229" t="s">
        <v>586</v>
      </c>
    </row>
    <row r="41" spans="1:174" ht="38.25" customHeight="1" x14ac:dyDescent="0.25">
      <c r="A41" s="228" t="s">
        <v>273</v>
      </c>
      <c r="B41" s="228"/>
      <c r="C41" s="228"/>
      <c r="D41" s="228"/>
      <c r="E41" s="228"/>
      <c r="F41" s="228"/>
      <c r="G41" s="86"/>
      <c r="H41" s="228"/>
      <c r="I41" s="228"/>
      <c r="J41" s="86"/>
      <c r="K41" s="228"/>
      <c r="L41" s="260"/>
      <c r="M41" s="94"/>
      <c r="N41" s="260"/>
      <c r="O41" s="228"/>
      <c r="P41" s="94"/>
      <c r="Q41" s="260"/>
      <c r="R41" s="228"/>
      <c r="S41" s="94"/>
      <c r="T41" s="260"/>
      <c r="U41" s="228"/>
      <c r="V41" s="94"/>
      <c r="W41" s="260"/>
      <c r="X41" s="228"/>
      <c r="Y41" s="94"/>
      <c r="Z41" s="260"/>
      <c r="AA41" s="228"/>
      <c r="AB41" s="94"/>
      <c r="AC41" s="260"/>
      <c r="AD41" s="228"/>
      <c r="AE41" s="94"/>
      <c r="AF41" s="260"/>
      <c r="AG41" s="228"/>
      <c r="AH41" s="94"/>
      <c r="AI41" s="260"/>
      <c r="AJ41" s="228"/>
      <c r="AK41" s="94"/>
      <c r="AL41" s="260"/>
      <c r="AM41" s="228"/>
      <c r="AN41" s="94"/>
      <c r="AO41" s="260"/>
      <c r="AP41" s="228"/>
      <c r="AQ41" s="94"/>
      <c r="AR41" s="260"/>
      <c r="AS41" s="228"/>
      <c r="AT41" s="94"/>
      <c r="AU41" s="260"/>
      <c r="AV41" s="228"/>
      <c r="AW41" s="86"/>
      <c r="AX41" s="228"/>
      <c r="AY41" s="260"/>
      <c r="AZ41" s="94"/>
      <c r="BA41" s="260"/>
      <c r="BB41" s="228"/>
      <c r="BC41" s="94"/>
      <c r="BD41" s="260"/>
      <c r="BE41" s="228"/>
      <c r="BF41" s="249" t="s">
        <v>586</v>
      </c>
      <c r="BG41" s="249" t="s">
        <v>586</v>
      </c>
      <c r="BH41" s="229" t="s">
        <v>586</v>
      </c>
      <c r="BI41" s="94"/>
      <c r="BJ41" s="260"/>
      <c r="BK41" s="228"/>
      <c r="BL41" s="94"/>
      <c r="BM41" s="260"/>
      <c r="BN41" s="228"/>
      <c r="BO41" s="249" t="s">
        <v>586</v>
      </c>
      <c r="BP41" s="249" t="s">
        <v>586</v>
      </c>
      <c r="BQ41" s="229" t="s">
        <v>586</v>
      </c>
      <c r="BR41" s="94"/>
      <c r="BS41" s="260"/>
      <c r="BT41" s="228"/>
      <c r="BU41" s="94"/>
      <c r="BV41" s="260"/>
      <c r="BW41" s="228"/>
      <c r="BX41" s="249" t="s">
        <v>586</v>
      </c>
      <c r="BY41" s="249" t="s">
        <v>586</v>
      </c>
      <c r="BZ41" s="229" t="s">
        <v>586</v>
      </c>
      <c r="CA41" s="94"/>
      <c r="CB41" s="260"/>
      <c r="CC41" s="228"/>
      <c r="CD41" s="94"/>
      <c r="CE41" s="260"/>
      <c r="CF41" s="228"/>
      <c r="CG41" s="249" t="s">
        <v>586</v>
      </c>
      <c r="CH41" s="249" t="s">
        <v>586</v>
      </c>
      <c r="CI41" s="229" t="s">
        <v>586</v>
      </c>
      <c r="CJ41" s="229" t="s">
        <v>586</v>
      </c>
      <c r="CK41" s="229" t="s">
        <v>586</v>
      </c>
      <c r="CL41" s="229" t="s">
        <v>586</v>
      </c>
      <c r="CM41" s="229" t="s">
        <v>586</v>
      </c>
      <c r="CN41" s="229" t="s">
        <v>586</v>
      </c>
      <c r="CO41" s="229" t="s">
        <v>586</v>
      </c>
      <c r="CP41" s="229" t="s">
        <v>586</v>
      </c>
      <c r="CQ41" s="229" t="s">
        <v>586</v>
      </c>
      <c r="CR41" s="229" t="s">
        <v>586</v>
      </c>
      <c r="CS41" s="229" t="s">
        <v>586</v>
      </c>
      <c r="CT41" s="229" t="s">
        <v>586</v>
      </c>
      <c r="CU41" s="229" t="s">
        <v>586</v>
      </c>
      <c r="CV41" s="229" t="s">
        <v>586</v>
      </c>
      <c r="CW41" s="229" t="s">
        <v>586</v>
      </c>
      <c r="CX41" s="229" t="s">
        <v>586</v>
      </c>
      <c r="CY41" s="229" t="s">
        <v>586</v>
      </c>
      <c r="CZ41" s="229" t="s">
        <v>586</v>
      </c>
      <c r="DA41" s="229" t="s">
        <v>586</v>
      </c>
      <c r="DB41" s="229" t="s">
        <v>586</v>
      </c>
      <c r="DC41" s="229" t="s">
        <v>586</v>
      </c>
      <c r="DD41" s="229" t="s">
        <v>586</v>
      </c>
      <c r="DE41" s="229" t="s">
        <v>586</v>
      </c>
      <c r="DF41" s="229" t="s">
        <v>586</v>
      </c>
      <c r="DG41" s="229" t="s">
        <v>586</v>
      </c>
      <c r="DH41" s="229" t="s">
        <v>586</v>
      </c>
      <c r="DI41" s="229" t="s">
        <v>586</v>
      </c>
      <c r="DJ41" s="229" t="s">
        <v>586</v>
      </c>
      <c r="DK41" s="229" t="s">
        <v>586</v>
      </c>
      <c r="DL41" s="229" t="s">
        <v>586</v>
      </c>
      <c r="DM41" s="229" t="s">
        <v>586</v>
      </c>
      <c r="DN41" s="229" t="s">
        <v>586</v>
      </c>
      <c r="DO41" s="229" t="s">
        <v>586</v>
      </c>
      <c r="DP41" s="229" t="s">
        <v>586</v>
      </c>
      <c r="DQ41" s="229" t="s">
        <v>586</v>
      </c>
      <c r="DR41" s="229" t="s">
        <v>586</v>
      </c>
      <c r="DS41" s="229" t="s">
        <v>586</v>
      </c>
      <c r="DT41" s="229" t="s">
        <v>586</v>
      </c>
      <c r="DU41" s="229" t="s">
        <v>586</v>
      </c>
      <c r="DV41" s="229" t="s">
        <v>586</v>
      </c>
      <c r="DW41" s="229" t="s">
        <v>586</v>
      </c>
      <c r="DX41" s="229" t="s">
        <v>586</v>
      </c>
      <c r="DY41" s="229" t="s">
        <v>586</v>
      </c>
      <c r="DZ41" s="229" t="s">
        <v>586</v>
      </c>
      <c r="EA41" s="229" t="s">
        <v>586</v>
      </c>
      <c r="EB41" s="229" t="s">
        <v>586</v>
      </c>
      <c r="EC41" s="229" t="s">
        <v>586</v>
      </c>
      <c r="ED41" s="229" t="s">
        <v>586</v>
      </c>
      <c r="EE41" s="229" t="s">
        <v>586</v>
      </c>
      <c r="EF41" s="229" t="s">
        <v>586</v>
      </c>
      <c r="EG41" s="229" t="s">
        <v>586</v>
      </c>
      <c r="EH41" s="229" t="s">
        <v>586</v>
      </c>
      <c r="EI41" s="229" t="s">
        <v>586</v>
      </c>
      <c r="EJ41" s="229" t="s">
        <v>586</v>
      </c>
      <c r="EK41" s="229" t="s">
        <v>586</v>
      </c>
      <c r="EL41" s="229" t="s">
        <v>586</v>
      </c>
      <c r="EM41" s="229" t="s">
        <v>586</v>
      </c>
      <c r="EN41" s="229" t="s">
        <v>586</v>
      </c>
      <c r="EO41" s="229" t="s">
        <v>586</v>
      </c>
      <c r="EP41" s="229" t="s">
        <v>586</v>
      </c>
      <c r="EQ41" s="229" t="s">
        <v>586</v>
      </c>
      <c r="ER41" s="229" t="s">
        <v>586</v>
      </c>
      <c r="ES41" s="229" t="s">
        <v>586</v>
      </c>
      <c r="ET41" s="229" t="s">
        <v>586</v>
      </c>
      <c r="EU41" s="229" t="s">
        <v>586</v>
      </c>
      <c r="EV41" s="229" t="s">
        <v>586</v>
      </c>
      <c r="EW41" s="229" t="s">
        <v>586</v>
      </c>
      <c r="EX41" s="229" t="s">
        <v>586</v>
      </c>
      <c r="EY41" s="229" t="s">
        <v>586</v>
      </c>
      <c r="EZ41" s="229" t="s">
        <v>586</v>
      </c>
      <c r="FA41" s="229" t="s">
        <v>586</v>
      </c>
      <c r="FB41" s="229" t="s">
        <v>586</v>
      </c>
      <c r="FC41" s="229" t="s">
        <v>586</v>
      </c>
      <c r="FD41" s="229" t="s">
        <v>586</v>
      </c>
      <c r="FE41" s="229" t="s">
        <v>586</v>
      </c>
      <c r="FF41" s="229" t="s">
        <v>586</v>
      </c>
      <c r="FG41" s="229" t="s">
        <v>586</v>
      </c>
      <c r="FH41" s="229" t="s">
        <v>586</v>
      </c>
      <c r="FI41" s="229" t="s">
        <v>586</v>
      </c>
      <c r="FJ41" s="229" t="s">
        <v>586</v>
      </c>
      <c r="FK41" s="229" t="s">
        <v>586</v>
      </c>
      <c r="FL41" s="229" t="s">
        <v>586</v>
      </c>
      <c r="FM41" s="229" t="s">
        <v>586</v>
      </c>
      <c r="FN41" s="87"/>
      <c r="FO41" s="87"/>
      <c r="FP41" s="87"/>
      <c r="FQ41" s="87"/>
      <c r="FR41" s="87"/>
    </row>
  </sheetData>
  <autoFilter ref="A7:CJ41" xr:uid="{00000000-0009-0000-0000-000000000000}"/>
  <mergeCells count="198">
    <mergeCell ref="P6:R6"/>
    <mergeCell ref="CD6:CF6"/>
    <mergeCell ref="CG6:CI6"/>
    <mergeCell ref="CJ6:CK6"/>
    <mergeCell ref="BC6:BE6"/>
    <mergeCell ref="BF6:BH6"/>
    <mergeCell ref="BI6:BK6"/>
    <mergeCell ref="BL6:BN6"/>
    <mergeCell ref="BO6:BQ6"/>
    <mergeCell ref="BR6:BT6"/>
    <mergeCell ref="A8:A10"/>
    <mergeCell ref="B8:B10"/>
    <mergeCell ref="C8:C10"/>
    <mergeCell ref="D8:D10"/>
    <mergeCell ref="E8:E10"/>
    <mergeCell ref="BU6:BW6"/>
    <mergeCell ref="BX6:BZ6"/>
    <mergeCell ref="CA6:CC6"/>
    <mergeCell ref="AK6:AM6"/>
    <mergeCell ref="AN6:AP6"/>
    <mergeCell ref="AQ6:AS6"/>
    <mergeCell ref="AT6:AV6"/>
    <mergeCell ref="AW6:AY6"/>
    <mergeCell ref="AZ6:BB6"/>
    <mergeCell ref="S6:U6"/>
    <mergeCell ref="V6:X6"/>
    <mergeCell ref="Y6:AA6"/>
    <mergeCell ref="AB6:AD6"/>
    <mergeCell ref="AE6:AG6"/>
    <mergeCell ref="AH6:AJ6"/>
    <mergeCell ref="D6:E6"/>
    <mergeCell ref="F6:I6"/>
    <mergeCell ref="J6:L6"/>
    <mergeCell ref="M6:O6"/>
    <mergeCell ref="F8:F10"/>
    <mergeCell ref="G8:G10"/>
    <mergeCell ref="H8:H35"/>
    <mergeCell ref="AW8:AY8"/>
    <mergeCell ref="AW9:AY9"/>
    <mergeCell ref="AW10:AY10"/>
    <mergeCell ref="F13:F16"/>
    <mergeCell ref="G13:G16"/>
    <mergeCell ref="AW14:AY14"/>
    <mergeCell ref="J15:J16"/>
    <mergeCell ref="K15:K16"/>
    <mergeCell ref="L15:L16"/>
    <mergeCell ref="M15:M16"/>
    <mergeCell ref="N15:N16"/>
    <mergeCell ref="O15:O16"/>
    <mergeCell ref="P15:P16"/>
    <mergeCell ref="Z15:Z16"/>
    <mergeCell ref="AA15:AA16"/>
    <mergeCell ref="AB15:AB16"/>
    <mergeCell ref="AK15:AK16"/>
    <mergeCell ref="AL15:AL16"/>
    <mergeCell ref="AM15:AM16"/>
    <mergeCell ref="AN15:AN16"/>
    <mergeCell ref="AC15:AC16"/>
    <mergeCell ref="A12:A16"/>
    <mergeCell ref="B12:B16"/>
    <mergeCell ref="C12:C16"/>
    <mergeCell ref="D12:D16"/>
    <mergeCell ref="E12:E16"/>
    <mergeCell ref="W15:W16"/>
    <mergeCell ref="X15:X16"/>
    <mergeCell ref="Y15:Y16"/>
    <mergeCell ref="Q15:Q16"/>
    <mergeCell ref="R15:R16"/>
    <mergeCell ref="S15:S16"/>
    <mergeCell ref="T15:T16"/>
    <mergeCell ref="U15:U16"/>
    <mergeCell ref="V15:V16"/>
    <mergeCell ref="AE15:AE16"/>
    <mergeCell ref="AF15:AF16"/>
    <mergeCell ref="AG15:AG16"/>
    <mergeCell ref="AH15:AH16"/>
    <mergeCell ref="L18:L19"/>
    <mergeCell ref="M18:M19"/>
    <mergeCell ref="N18:N19"/>
    <mergeCell ref="O18:O19"/>
    <mergeCell ref="P18:P19"/>
    <mergeCell ref="Q18:Q19"/>
    <mergeCell ref="R18:R19"/>
    <mergeCell ref="S18:S19"/>
    <mergeCell ref="T18:T19"/>
    <mergeCell ref="U18:U19"/>
    <mergeCell ref="V18:V19"/>
    <mergeCell ref="W18:W19"/>
    <mergeCell ref="AU15:AU16"/>
    <mergeCell ref="AV15:AV16"/>
    <mergeCell ref="A18:A21"/>
    <mergeCell ref="B18:B21"/>
    <mergeCell ref="C18:C21"/>
    <mergeCell ref="D18:D21"/>
    <mergeCell ref="E18:E21"/>
    <mergeCell ref="J18:J19"/>
    <mergeCell ref="K18:K19"/>
    <mergeCell ref="AO15:AO16"/>
    <mergeCell ref="AP15:AP16"/>
    <mergeCell ref="AQ15:AQ16"/>
    <mergeCell ref="AR15:AR16"/>
    <mergeCell ref="AS15:AS16"/>
    <mergeCell ref="AT15:AT16"/>
    <mergeCell ref="AI15:AI16"/>
    <mergeCell ref="AJ15:AJ16"/>
    <mergeCell ref="X18:X19"/>
    <mergeCell ref="Y18:Y19"/>
    <mergeCell ref="Z18:Z19"/>
    <mergeCell ref="AA18:AA19"/>
    <mergeCell ref="AB18:AB19"/>
    <mergeCell ref="AC18:AC19"/>
    <mergeCell ref="AD15:AD16"/>
    <mergeCell ref="AL18:AL19"/>
    <mergeCell ref="AM18:AM19"/>
    <mergeCell ref="AN18:AN19"/>
    <mergeCell ref="AO18:AO19"/>
    <mergeCell ref="AD18:AD19"/>
    <mergeCell ref="AE18:AE19"/>
    <mergeCell ref="AF18:AF19"/>
    <mergeCell ref="AG18:AG19"/>
    <mergeCell ref="AH18:AH19"/>
    <mergeCell ref="AI18:AI19"/>
    <mergeCell ref="S20:S21"/>
    <mergeCell ref="T20:T21"/>
    <mergeCell ref="U20:U21"/>
    <mergeCell ref="V20:V21"/>
    <mergeCell ref="W20:W21"/>
    <mergeCell ref="X20:X21"/>
    <mergeCell ref="AV18:AV19"/>
    <mergeCell ref="J20:J21"/>
    <mergeCell ref="K20:K21"/>
    <mergeCell ref="L20:L21"/>
    <mergeCell ref="M20:M21"/>
    <mergeCell ref="N20:N21"/>
    <mergeCell ref="O20:O21"/>
    <mergeCell ref="P20:P21"/>
    <mergeCell ref="Q20:Q21"/>
    <mergeCell ref="R20:R21"/>
    <mergeCell ref="AP18:AP19"/>
    <mergeCell ref="AQ18:AQ19"/>
    <mergeCell ref="AR18:AR19"/>
    <mergeCell ref="AS18:AS19"/>
    <mergeCell ref="AT18:AT19"/>
    <mergeCell ref="AU18:AU19"/>
    <mergeCell ref="AJ18:AJ19"/>
    <mergeCell ref="AK18:AK19"/>
    <mergeCell ref="AE20:AE21"/>
    <mergeCell ref="AF20:AF21"/>
    <mergeCell ref="AG20:AG21"/>
    <mergeCell ref="AH20:AH21"/>
    <mergeCell ref="AI20:AI21"/>
    <mergeCell ref="AJ20:AJ21"/>
    <mergeCell ref="Y20:Y21"/>
    <mergeCell ref="Z20:Z21"/>
    <mergeCell ref="AA20:AA21"/>
    <mergeCell ref="AB20:AB21"/>
    <mergeCell ref="AC20:AC21"/>
    <mergeCell ref="AD20:AD21"/>
    <mergeCell ref="AQ20:AQ21"/>
    <mergeCell ref="AR20:AR21"/>
    <mergeCell ref="AS20:AS21"/>
    <mergeCell ref="AT20:AT21"/>
    <mergeCell ref="AU20:AU21"/>
    <mergeCell ref="AV20:AV21"/>
    <mergeCell ref="AK20:AK21"/>
    <mergeCell ref="AL20:AL21"/>
    <mergeCell ref="AM20:AM21"/>
    <mergeCell ref="AN20:AN21"/>
    <mergeCell ref="AO20:AO21"/>
    <mergeCell ref="AP20:AP21"/>
    <mergeCell ref="F23:F24"/>
    <mergeCell ref="G23:G24"/>
    <mergeCell ref="AW24:AY24"/>
    <mergeCell ref="A26:A30"/>
    <mergeCell ref="B26:B30"/>
    <mergeCell ref="C26:C30"/>
    <mergeCell ref="D26:D30"/>
    <mergeCell ref="E26:E30"/>
    <mergeCell ref="F26:F30"/>
    <mergeCell ref="A23:A24"/>
    <mergeCell ref="B23:B24"/>
    <mergeCell ref="C23:C24"/>
    <mergeCell ref="D23:D24"/>
    <mergeCell ref="E23:E24"/>
    <mergeCell ref="AW34:AY34"/>
    <mergeCell ref="AW35:AY35"/>
    <mergeCell ref="G26:G30"/>
    <mergeCell ref="AW27:AY27"/>
    <mergeCell ref="AW28:AY28"/>
    <mergeCell ref="AW30:AY30"/>
    <mergeCell ref="AW32:AY32"/>
    <mergeCell ref="A34:A35"/>
    <mergeCell ref="B34:B35"/>
    <mergeCell ref="C34:C35"/>
    <mergeCell ref="D34:D35"/>
    <mergeCell ref="E34:E35"/>
    <mergeCell ref="F34:F35"/>
    <mergeCell ref="G34:G35"/>
  </mergeCells>
  <pageMargins left="0.75" right="0.75" top="1" bottom="1" header="0.5" footer="0.5"/>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4491-7BE8-42A1-BA3F-27C1556485B0}">
  <sheetPr>
    <tabColor theme="7" tint="-0.249977111117893"/>
  </sheetPr>
  <dimension ref="A1:FI18"/>
  <sheetViews>
    <sheetView showGridLines="0" topLeftCell="D1" zoomScale="90" zoomScaleNormal="90" workbookViewId="0">
      <selection activeCell="E1" sqref="E1"/>
    </sheetView>
  </sheetViews>
  <sheetFormatPr baseColWidth="10" defaultColWidth="11.42578125" defaultRowHeight="15" x14ac:dyDescent="0.25"/>
  <cols>
    <col min="1" max="1" width="45.42578125" customWidth="1"/>
    <col min="2" max="2" width="21.85546875" style="10" customWidth="1"/>
    <col min="3" max="3" width="24.5703125" style="10" customWidth="1"/>
    <col min="4" max="4" width="45.7109375" bestFit="1" customWidth="1"/>
    <col min="5" max="5" width="19.42578125" style="3" customWidth="1"/>
    <col min="6" max="6" width="15.140625" style="3" bestFit="1" customWidth="1"/>
    <col min="7" max="7" width="43" style="3" bestFit="1" customWidth="1"/>
    <col min="8" max="8" width="15.5703125" style="3" bestFit="1" customWidth="1"/>
    <col min="9" max="9" width="45.7109375" style="3" bestFit="1" customWidth="1"/>
    <col min="10" max="10" width="19.42578125" style="1" customWidth="1"/>
    <col min="11" max="11" width="15.5703125" style="1" customWidth="1"/>
    <col min="12" max="13" width="45.7109375" style="3" bestFit="1" customWidth="1"/>
    <col min="14" max="14" width="16.28515625" style="3" customWidth="1"/>
    <col min="15" max="15" width="15.28515625" style="3" customWidth="1"/>
    <col min="16" max="16" width="23.42578125" style="3" customWidth="1"/>
    <col min="17" max="17" width="17.7109375" style="5" bestFit="1" customWidth="1"/>
    <col min="18" max="18" width="15.28515625" style="3" customWidth="1"/>
    <col min="19" max="19" width="23.42578125" style="3" customWidth="1"/>
    <col min="20" max="20" width="17.7109375" style="5" bestFit="1" customWidth="1"/>
    <col min="21" max="21" width="15.28515625" style="3" customWidth="1"/>
    <col min="22" max="22" width="23.42578125" style="3" customWidth="1"/>
    <col min="23" max="23" width="17.7109375" style="5" bestFit="1" customWidth="1"/>
    <col min="24" max="24" width="15.28515625" style="3" customWidth="1"/>
    <col min="25" max="25" width="23.42578125" style="3" customWidth="1"/>
    <col min="26" max="26" width="17.7109375" style="5" bestFit="1" customWidth="1"/>
    <col min="27" max="27" width="15.28515625" style="3" customWidth="1"/>
    <col min="28" max="28" width="23.42578125" style="3" customWidth="1"/>
    <col min="29" max="29" width="17.7109375" style="5" bestFit="1" customWidth="1"/>
    <col min="30" max="30" width="15.28515625" style="3" customWidth="1"/>
    <col min="31" max="31" width="23.42578125" style="3" customWidth="1"/>
    <col min="32" max="32" width="17.7109375" style="5" bestFit="1" customWidth="1"/>
    <col min="33" max="33" width="15.28515625" style="3" customWidth="1"/>
    <col min="34" max="34" width="23.42578125" style="3" customWidth="1"/>
    <col min="35" max="35" width="17.7109375" style="5" bestFit="1" customWidth="1"/>
    <col min="36" max="36" width="15.28515625" style="3" customWidth="1"/>
    <col min="37" max="37" width="23.42578125" style="3" customWidth="1"/>
    <col min="38" max="38" width="17.7109375" style="5" bestFit="1" customWidth="1"/>
    <col min="39" max="39" width="15.28515625" style="3" customWidth="1"/>
    <col min="40" max="40" width="23.42578125" style="3" customWidth="1"/>
    <col min="41" max="41" width="17.7109375" style="5" bestFit="1" customWidth="1"/>
    <col min="42" max="42" width="15.28515625" style="3" customWidth="1"/>
    <col min="43" max="43" width="23.42578125" style="3" customWidth="1"/>
    <col min="44" max="44" width="17.7109375" style="5" bestFit="1" customWidth="1"/>
    <col min="45" max="45" width="15.28515625" style="3" customWidth="1"/>
    <col min="46" max="46" width="23.42578125" style="3" customWidth="1"/>
    <col min="47" max="47" width="17.7109375" style="5" bestFit="1" customWidth="1"/>
    <col min="48" max="48" width="15.28515625" style="3" customWidth="1"/>
    <col min="49" max="49" width="23.42578125" style="3" customWidth="1"/>
    <col min="50" max="50" width="17.7109375" style="5" bestFit="1" customWidth="1"/>
    <col min="51" max="52" width="45.7109375" style="2" bestFit="1" customWidth="1"/>
    <col min="53" max="53" width="15.28515625" style="6" bestFit="1" customWidth="1"/>
    <col min="54" max="54" width="15.28515625" style="3" customWidth="1"/>
    <col min="55" max="55" width="23.42578125" style="3" customWidth="1"/>
    <col min="56" max="56" width="17.7109375" style="5" bestFit="1" customWidth="1"/>
    <col min="57" max="57" width="15.28515625" style="3" customWidth="1"/>
    <col min="58" max="58" width="23.42578125" style="3" customWidth="1"/>
    <col min="59" max="59" width="17.7109375" style="5" bestFit="1" customWidth="1"/>
    <col min="60" max="60" width="15.28515625" style="3" customWidth="1"/>
    <col min="61" max="61" width="23.42578125" style="3" customWidth="1"/>
    <col min="62" max="62" width="17.7109375" style="5" bestFit="1" customWidth="1"/>
    <col min="63" max="63" width="15.28515625" style="3" customWidth="1"/>
    <col min="64" max="64" width="23.42578125" style="3" customWidth="1"/>
    <col min="65" max="65" width="17.7109375" style="5" bestFit="1" customWidth="1"/>
    <col min="66" max="66" width="15.28515625" style="3" customWidth="1"/>
    <col min="67" max="67" width="23.42578125" style="3" customWidth="1"/>
    <col min="68" max="68" width="17.7109375" style="5" bestFit="1" customWidth="1"/>
    <col min="69" max="69" width="15.28515625" style="3" customWidth="1"/>
    <col min="70" max="70" width="23.42578125" style="3" customWidth="1"/>
    <col min="71" max="71" width="17.7109375" style="5" bestFit="1" customWidth="1"/>
    <col min="72" max="72" width="15.28515625" style="3" customWidth="1"/>
    <col min="73" max="73" width="23.42578125" style="3" customWidth="1"/>
    <col min="74" max="74" width="17.7109375" style="5" bestFit="1" customWidth="1"/>
    <col min="75" max="75" width="15.28515625" style="3" customWidth="1"/>
    <col min="76" max="76" width="23.42578125" style="3" customWidth="1"/>
    <col min="77" max="77" width="17.7109375" style="5" bestFit="1" customWidth="1"/>
    <col min="78" max="78" width="15.28515625" style="3" customWidth="1"/>
    <col min="79" max="79" width="23.42578125" style="3" customWidth="1"/>
    <col min="80" max="80" width="17.7109375" style="5" bestFit="1" customWidth="1"/>
    <col min="81" max="81" width="15.28515625" style="3" customWidth="1"/>
    <col min="82" max="82" width="23.42578125" style="3" customWidth="1"/>
    <col min="83" max="83" width="17.7109375" style="5" bestFit="1" customWidth="1"/>
    <col min="84" max="84" width="15.28515625" style="3" customWidth="1"/>
    <col min="85" max="85" width="23.42578125" style="3" customWidth="1"/>
    <col min="86" max="86" width="17.7109375" style="5" bestFit="1" customWidth="1"/>
    <col min="87" max="87" width="15.28515625" style="3" customWidth="1"/>
    <col min="88" max="88" width="23.42578125" style="3" customWidth="1"/>
    <col min="89" max="89" width="17.7109375" style="5" bestFit="1" customWidth="1"/>
    <col min="90" max="165" width="11.42578125" style="7"/>
  </cols>
  <sheetData>
    <row r="1" spans="1:165" x14ac:dyDescent="0.25">
      <c r="J1"/>
      <c r="K1"/>
      <c r="BA1" s="111"/>
    </row>
    <row r="2" spans="1:165" x14ac:dyDescent="0.25">
      <c r="J2"/>
      <c r="K2"/>
      <c r="BA2" s="111"/>
    </row>
    <row r="3" spans="1:165" x14ac:dyDescent="0.25">
      <c r="J3"/>
      <c r="K3"/>
      <c r="BA3" s="111"/>
    </row>
    <row r="4" spans="1:165" x14ac:dyDescent="0.25">
      <c r="J4"/>
      <c r="K4"/>
      <c r="BA4" s="111"/>
    </row>
    <row r="5" spans="1:165" ht="30" customHeight="1" x14ac:dyDescent="0.25">
      <c r="J5"/>
      <c r="K5"/>
      <c r="BA5" s="111"/>
    </row>
    <row r="6" spans="1:165" s="9" customFormat="1" ht="30" x14ac:dyDescent="0.2">
      <c r="A6" s="262" t="s">
        <v>59</v>
      </c>
      <c r="B6" s="361" t="s">
        <v>65</v>
      </c>
      <c r="C6" s="361"/>
      <c r="D6" s="262" t="s">
        <v>60</v>
      </c>
      <c r="E6" s="318"/>
      <c r="F6" s="358" t="s">
        <v>61</v>
      </c>
      <c r="G6" s="359"/>
      <c r="H6" s="358" t="s">
        <v>62</v>
      </c>
      <c r="I6" s="360"/>
      <c r="J6" s="360"/>
      <c r="K6" s="359"/>
      <c r="L6" s="358" t="s">
        <v>63</v>
      </c>
      <c r="M6" s="360"/>
      <c r="N6" s="359"/>
      <c r="O6" s="362" t="s">
        <v>2</v>
      </c>
      <c r="P6" s="363"/>
      <c r="Q6" s="364"/>
      <c r="R6" s="362" t="s">
        <v>3</v>
      </c>
      <c r="S6" s="363"/>
      <c r="T6" s="364"/>
      <c r="U6" s="362" t="s">
        <v>4</v>
      </c>
      <c r="V6" s="363"/>
      <c r="W6" s="364"/>
      <c r="X6" s="362" t="s">
        <v>830</v>
      </c>
      <c r="Y6" s="363"/>
      <c r="Z6" s="364"/>
      <c r="AA6" s="362" t="s">
        <v>831</v>
      </c>
      <c r="AB6" s="363"/>
      <c r="AC6" s="364"/>
      <c r="AD6" s="362" t="s">
        <v>832</v>
      </c>
      <c r="AE6" s="363"/>
      <c r="AF6" s="364"/>
      <c r="AG6" s="362" t="s">
        <v>1026</v>
      </c>
      <c r="AH6" s="363"/>
      <c r="AI6" s="364"/>
      <c r="AJ6" s="362" t="s">
        <v>1027</v>
      </c>
      <c r="AK6" s="363"/>
      <c r="AL6" s="364"/>
      <c r="AM6" s="362" t="s">
        <v>1028</v>
      </c>
      <c r="AN6" s="363"/>
      <c r="AO6" s="364"/>
      <c r="AP6" s="362" t="s">
        <v>1029</v>
      </c>
      <c r="AQ6" s="363"/>
      <c r="AR6" s="364"/>
      <c r="AS6" s="362" t="s">
        <v>1030</v>
      </c>
      <c r="AT6" s="363"/>
      <c r="AU6" s="364"/>
      <c r="AV6" s="362" t="s">
        <v>1701</v>
      </c>
      <c r="AW6" s="363"/>
      <c r="AX6" s="364"/>
      <c r="AY6" s="410" t="s">
        <v>64</v>
      </c>
      <c r="AZ6" s="410"/>
      <c r="BA6" s="410"/>
      <c r="BB6" s="387" t="s">
        <v>2</v>
      </c>
      <c r="BC6" s="388"/>
      <c r="BD6" s="389"/>
      <c r="BE6" s="387" t="s">
        <v>3</v>
      </c>
      <c r="BF6" s="388"/>
      <c r="BG6" s="389"/>
      <c r="BH6" s="387" t="s">
        <v>4</v>
      </c>
      <c r="BI6" s="388"/>
      <c r="BJ6" s="389"/>
      <c r="BK6" s="387" t="s">
        <v>830</v>
      </c>
      <c r="BL6" s="388"/>
      <c r="BM6" s="389"/>
      <c r="BN6" s="387" t="s">
        <v>831</v>
      </c>
      <c r="BO6" s="388"/>
      <c r="BP6" s="389"/>
      <c r="BQ6" s="387" t="s">
        <v>832</v>
      </c>
      <c r="BR6" s="388"/>
      <c r="BS6" s="389"/>
      <c r="BT6" s="387" t="s">
        <v>1026</v>
      </c>
      <c r="BU6" s="388"/>
      <c r="BV6" s="389"/>
      <c r="BW6" s="387" t="s">
        <v>1027</v>
      </c>
      <c r="BX6" s="388"/>
      <c r="BY6" s="389"/>
      <c r="BZ6" s="387" t="s">
        <v>1028</v>
      </c>
      <c r="CA6" s="388"/>
      <c r="CB6" s="389"/>
      <c r="CC6" s="387" t="s">
        <v>1029</v>
      </c>
      <c r="CD6" s="388"/>
      <c r="CE6" s="389"/>
      <c r="CF6" s="387" t="s">
        <v>1030</v>
      </c>
      <c r="CG6" s="388"/>
      <c r="CH6" s="389"/>
      <c r="CI6" s="387" t="s">
        <v>1701</v>
      </c>
      <c r="CJ6" s="388"/>
      <c r="CK6" s="389"/>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row>
    <row r="7" spans="1:165" s="9" customFormat="1" ht="42.75" customHeight="1" x14ac:dyDescent="0.2">
      <c r="A7" s="262" t="s">
        <v>66</v>
      </c>
      <c r="B7" s="262" t="s">
        <v>82</v>
      </c>
      <c r="C7" s="262" t="s">
        <v>83</v>
      </c>
      <c r="D7" s="262" t="s">
        <v>67</v>
      </c>
      <c r="E7" s="262" t="s">
        <v>68</v>
      </c>
      <c r="F7" s="262" t="s">
        <v>69</v>
      </c>
      <c r="G7" s="262" t="s">
        <v>70</v>
      </c>
      <c r="H7" s="262" t="s">
        <v>71</v>
      </c>
      <c r="I7" s="262" t="s">
        <v>72</v>
      </c>
      <c r="J7" s="12" t="s">
        <v>73</v>
      </c>
      <c r="K7" s="12" t="s">
        <v>74</v>
      </c>
      <c r="L7" s="262" t="s">
        <v>63</v>
      </c>
      <c r="M7" s="262" t="s">
        <v>75</v>
      </c>
      <c r="N7" s="262" t="s">
        <v>76</v>
      </c>
      <c r="O7" s="262" t="s">
        <v>77</v>
      </c>
      <c r="P7" s="262" t="s">
        <v>78</v>
      </c>
      <c r="Q7" s="262" t="s">
        <v>79</v>
      </c>
      <c r="R7" s="262" t="s">
        <v>77</v>
      </c>
      <c r="S7" s="262" t="s">
        <v>78</v>
      </c>
      <c r="T7" s="262" t="s">
        <v>79</v>
      </c>
      <c r="U7" s="262" t="s">
        <v>77</v>
      </c>
      <c r="V7" s="262" t="s">
        <v>78</v>
      </c>
      <c r="W7" s="262" t="s">
        <v>79</v>
      </c>
      <c r="X7" s="262" t="s">
        <v>77</v>
      </c>
      <c r="Y7" s="262" t="s">
        <v>78</v>
      </c>
      <c r="Z7" s="262" t="s">
        <v>79</v>
      </c>
      <c r="AA7" s="262" t="s">
        <v>77</v>
      </c>
      <c r="AB7" s="262" t="s">
        <v>78</v>
      </c>
      <c r="AC7" s="262" t="s">
        <v>79</v>
      </c>
      <c r="AD7" s="262" t="s">
        <v>77</v>
      </c>
      <c r="AE7" s="262" t="s">
        <v>78</v>
      </c>
      <c r="AF7" s="262" t="s">
        <v>79</v>
      </c>
      <c r="AG7" s="262" t="s">
        <v>77</v>
      </c>
      <c r="AH7" s="262" t="s">
        <v>78</v>
      </c>
      <c r="AI7" s="262" t="s">
        <v>79</v>
      </c>
      <c r="AJ7" s="262" t="s">
        <v>77</v>
      </c>
      <c r="AK7" s="262" t="s">
        <v>78</v>
      </c>
      <c r="AL7" s="262" t="s">
        <v>79</v>
      </c>
      <c r="AM7" s="262" t="s">
        <v>77</v>
      </c>
      <c r="AN7" s="262" t="s">
        <v>78</v>
      </c>
      <c r="AO7" s="262" t="s">
        <v>79</v>
      </c>
      <c r="AP7" s="262" t="s">
        <v>77</v>
      </c>
      <c r="AQ7" s="262" t="s">
        <v>78</v>
      </c>
      <c r="AR7" s="262" t="s">
        <v>79</v>
      </c>
      <c r="AS7" s="262" t="s">
        <v>77</v>
      </c>
      <c r="AT7" s="262" t="s">
        <v>78</v>
      </c>
      <c r="AU7" s="262" t="s">
        <v>79</v>
      </c>
      <c r="AV7" s="262" t="s">
        <v>77</v>
      </c>
      <c r="AW7" s="262" t="s">
        <v>78</v>
      </c>
      <c r="AX7" s="262" t="s">
        <v>79</v>
      </c>
      <c r="AY7" s="269" t="s">
        <v>64</v>
      </c>
      <c r="AZ7" s="269" t="s">
        <v>80</v>
      </c>
      <c r="BA7" s="269" t="s">
        <v>81</v>
      </c>
      <c r="BB7" s="269" t="s">
        <v>77</v>
      </c>
      <c r="BC7" s="269" t="s">
        <v>78</v>
      </c>
      <c r="BD7" s="269" t="s">
        <v>79</v>
      </c>
      <c r="BE7" s="269" t="s">
        <v>77</v>
      </c>
      <c r="BF7" s="269" t="s">
        <v>78</v>
      </c>
      <c r="BG7" s="216" t="s">
        <v>79</v>
      </c>
      <c r="BH7" s="269" t="s">
        <v>77</v>
      </c>
      <c r="BI7" s="269" t="s">
        <v>78</v>
      </c>
      <c r="BJ7" s="269" t="s">
        <v>79</v>
      </c>
      <c r="BK7" s="269" t="s">
        <v>77</v>
      </c>
      <c r="BL7" s="269" t="s">
        <v>78</v>
      </c>
      <c r="BM7" s="269" t="s">
        <v>79</v>
      </c>
      <c r="BN7" s="269" t="s">
        <v>77</v>
      </c>
      <c r="BO7" s="269" t="s">
        <v>78</v>
      </c>
      <c r="BP7" s="269" t="s">
        <v>79</v>
      </c>
      <c r="BQ7" s="269" t="s">
        <v>77</v>
      </c>
      <c r="BR7" s="269" t="s">
        <v>78</v>
      </c>
      <c r="BS7" s="269" t="s">
        <v>79</v>
      </c>
      <c r="BT7" s="269" t="s">
        <v>77</v>
      </c>
      <c r="BU7" s="269" t="s">
        <v>78</v>
      </c>
      <c r="BV7" s="269" t="s">
        <v>79</v>
      </c>
      <c r="BW7" s="269" t="s">
        <v>77</v>
      </c>
      <c r="BX7" s="269" t="s">
        <v>78</v>
      </c>
      <c r="BY7" s="269" t="s">
        <v>79</v>
      </c>
      <c r="BZ7" s="269" t="s">
        <v>77</v>
      </c>
      <c r="CA7" s="269" t="s">
        <v>78</v>
      </c>
      <c r="CB7" s="269" t="s">
        <v>79</v>
      </c>
      <c r="CC7" s="269" t="s">
        <v>77</v>
      </c>
      <c r="CD7" s="269" t="s">
        <v>78</v>
      </c>
      <c r="CE7" s="269" t="s">
        <v>79</v>
      </c>
      <c r="CF7" s="269" t="s">
        <v>77</v>
      </c>
      <c r="CG7" s="269" t="s">
        <v>78</v>
      </c>
      <c r="CH7" s="269" t="s">
        <v>79</v>
      </c>
      <c r="CI7" s="269" t="s">
        <v>77</v>
      </c>
      <c r="CJ7" s="269" t="s">
        <v>78</v>
      </c>
      <c r="CK7" s="269" t="s">
        <v>79</v>
      </c>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row>
    <row r="8" spans="1:165" s="4" customFormat="1" ht="43.5" customHeight="1" x14ac:dyDescent="0.2">
      <c r="A8" s="526" t="s">
        <v>84</v>
      </c>
      <c r="B8" s="526" t="s">
        <v>94</v>
      </c>
      <c r="C8" s="526" t="s">
        <v>95</v>
      </c>
      <c r="D8" s="526" t="s">
        <v>85</v>
      </c>
      <c r="E8" s="529" t="s">
        <v>2723</v>
      </c>
      <c r="F8" s="526" t="s">
        <v>17</v>
      </c>
      <c r="G8" s="526" t="s">
        <v>812</v>
      </c>
      <c r="H8" s="526" t="s">
        <v>610</v>
      </c>
      <c r="I8" s="526" t="s">
        <v>611</v>
      </c>
      <c r="J8" s="527">
        <v>584873425</v>
      </c>
      <c r="K8" s="527">
        <v>584873425</v>
      </c>
      <c r="L8" s="370" t="s">
        <v>813</v>
      </c>
      <c r="M8" s="370" t="s">
        <v>814</v>
      </c>
      <c r="N8" s="367">
        <v>0.9</v>
      </c>
      <c r="O8" s="367">
        <v>0.82</v>
      </c>
      <c r="P8" s="528">
        <v>0.91</v>
      </c>
      <c r="Q8" s="524" t="s">
        <v>815</v>
      </c>
      <c r="R8" s="367">
        <v>0.77</v>
      </c>
      <c r="S8" s="523">
        <v>0.86</v>
      </c>
      <c r="T8" s="524" t="s">
        <v>816</v>
      </c>
      <c r="U8" s="367">
        <v>0.93</v>
      </c>
      <c r="V8" s="523">
        <v>1.03</v>
      </c>
      <c r="W8" s="367" t="s">
        <v>817</v>
      </c>
      <c r="X8" s="367">
        <v>0.92</v>
      </c>
      <c r="Y8" s="523">
        <v>1.02</v>
      </c>
      <c r="Z8" s="524" t="s">
        <v>1017</v>
      </c>
      <c r="AA8" s="367">
        <v>0.94</v>
      </c>
      <c r="AB8" s="523">
        <v>1.04</v>
      </c>
      <c r="AC8" s="524" t="s">
        <v>1018</v>
      </c>
      <c r="AD8" s="367">
        <v>0.95</v>
      </c>
      <c r="AE8" s="523">
        <v>1.06</v>
      </c>
      <c r="AF8" s="367" t="s">
        <v>1019</v>
      </c>
      <c r="AG8" s="367">
        <v>0.94</v>
      </c>
      <c r="AH8" s="523">
        <v>1.04</v>
      </c>
      <c r="AI8" s="524" t="s">
        <v>1584</v>
      </c>
      <c r="AJ8" s="367">
        <v>0.94</v>
      </c>
      <c r="AK8" s="523">
        <v>1.04</v>
      </c>
      <c r="AL8" s="524" t="s">
        <v>1585</v>
      </c>
      <c r="AM8" s="367">
        <v>0.94</v>
      </c>
      <c r="AN8" s="523">
        <v>1.05</v>
      </c>
      <c r="AO8" s="367" t="s">
        <v>1586</v>
      </c>
      <c r="AP8" s="367">
        <v>0.94</v>
      </c>
      <c r="AQ8" s="523">
        <v>1.04</v>
      </c>
      <c r="AR8" s="524" t="s">
        <v>1799</v>
      </c>
      <c r="AS8" s="367">
        <v>0.94</v>
      </c>
      <c r="AT8" s="523">
        <v>1.04</v>
      </c>
      <c r="AU8" s="524" t="s">
        <v>1800</v>
      </c>
      <c r="AV8" s="367">
        <v>0.94</v>
      </c>
      <c r="AW8" s="523">
        <v>1.04</v>
      </c>
      <c r="AX8" s="367" t="s">
        <v>1801</v>
      </c>
      <c r="AY8" s="266" t="s">
        <v>818</v>
      </c>
      <c r="AZ8" s="266" t="s">
        <v>819</v>
      </c>
      <c r="BA8" s="264">
        <v>0.9</v>
      </c>
      <c r="BB8" s="78">
        <v>0.83</v>
      </c>
      <c r="BC8" s="78">
        <v>0.93</v>
      </c>
      <c r="BD8" s="78" t="s">
        <v>820</v>
      </c>
      <c r="BE8" s="78">
        <v>0.75</v>
      </c>
      <c r="BF8" s="78">
        <v>0.83</v>
      </c>
      <c r="BG8" s="61" t="s">
        <v>821</v>
      </c>
      <c r="BH8" s="61">
        <v>0.96</v>
      </c>
      <c r="BI8" s="61">
        <v>1.07</v>
      </c>
      <c r="BJ8" s="61" t="s">
        <v>822</v>
      </c>
      <c r="BK8" s="78">
        <v>0.94</v>
      </c>
      <c r="BL8" s="78">
        <v>1.04</v>
      </c>
      <c r="BM8" s="78" t="s">
        <v>1020</v>
      </c>
      <c r="BN8" s="78">
        <v>0.95</v>
      </c>
      <c r="BO8" s="78">
        <v>1.06</v>
      </c>
      <c r="BP8" s="61" t="s">
        <v>1021</v>
      </c>
      <c r="BQ8" s="61">
        <v>0.96</v>
      </c>
      <c r="BR8" s="61">
        <v>1.06</v>
      </c>
      <c r="BS8" s="61" t="s">
        <v>1022</v>
      </c>
      <c r="BT8" s="78">
        <v>0.95</v>
      </c>
      <c r="BU8" s="78">
        <v>1.06</v>
      </c>
      <c r="BV8" s="78" t="s">
        <v>1587</v>
      </c>
      <c r="BW8" s="78">
        <v>0.95299999999999996</v>
      </c>
      <c r="BX8" s="78">
        <v>1.06</v>
      </c>
      <c r="BY8" s="61" t="s">
        <v>1588</v>
      </c>
      <c r="BZ8" s="61">
        <v>0.96</v>
      </c>
      <c r="CA8" s="61">
        <v>1.06</v>
      </c>
      <c r="CB8" s="61" t="s">
        <v>1589</v>
      </c>
      <c r="CC8" s="78">
        <v>0.96</v>
      </c>
      <c r="CD8" s="78">
        <v>1.06</v>
      </c>
      <c r="CE8" s="78" t="s">
        <v>1802</v>
      </c>
      <c r="CF8" s="78">
        <v>0.96</v>
      </c>
      <c r="CG8" s="78">
        <v>1.06</v>
      </c>
      <c r="CH8" s="61" t="s">
        <v>1803</v>
      </c>
      <c r="CI8" s="61">
        <v>0.96</v>
      </c>
      <c r="CJ8" s="61">
        <v>1.06</v>
      </c>
      <c r="CK8" s="61" t="s">
        <v>1804</v>
      </c>
    </row>
    <row r="9" spans="1:165" s="4" customFormat="1" ht="33.75" customHeight="1" x14ac:dyDescent="0.2">
      <c r="A9" s="394"/>
      <c r="B9" s="394"/>
      <c r="C9" s="394"/>
      <c r="D9" s="394"/>
      <c r="E9" s="450"/>
      <c r="F9" s="394"/>
      <c r="G9" s="394"/>
      <c r="H9" s="394"/>
      <c r="I9" s="394"/>
      <c r="J9" s="401"/>
      <c r="K9" s="401"/>
      <c r="L9" s="368" t="s">
        <v>813</v>
      </c>
      <c r="M9" s="368" t="s">
        <v>814</v>
      </c>
      <c r="N9" s="522">
        <v>0.9</v>
      </c>
      <c r="O9" s="522"/>
      <c r="P9" s="380"/>
      <c r="Q9" s="525"/>
      <c r="R9" s="522"/>
      <c r="S9" s="367"/>
      <c r="T9" s="525"/>
      <c r="U9" s="522"/>
      <c r="V9" s="367"/>
      <c r="W9" s="522"/>
      <c r="X9" s="522"/>
      <c r="Y9" s="367"/>
      <c r="Z9" s="525"/>
      <c r="AA9" s="522"/>
      <c r="AB9" s="367"/>
      <c r="AC9" s="525"/>
      <c r="AD9" s="522"/>
      <c r="AE9" s="367"/>
      <c r="AF9" s="522"/>
      <c r="AG9" s="522"/>
      <c r="AH9" s="367"/>
      <c r="AI9" s="525"/>
      <c r="AJ9" s="522"/>
      <c r="AK9" s="367"/>
      <c r="AL9" s="525"/>
      <c r="AM9" s="522"/>
      <c r="AN9" s="367"/>
      <c r="AO9" s="522"/>
      <c r="AP9" s="522"/>
      <c r="AQ9" s="367"/>
      <c r="AR9" s="525"/>
      <c r="AS9" s="522"/>
      <c r="AT9" s="367"/>
      <c r="AU9" s="525"/>
      <c r="AV9" s="522"/>
      <c r="AW9" s="367"/>
      <c r="AX9" s="522"/>
      <c r="AY9" s="11" t="s">
        <v>823</v>
      </c>
      <c r="AZ9" s="11" t="s">
        <v>824</v>
      </c>
      <c r="BA9" s="272">
        <v>0.9</v>
      </c>
      <c r="BB9" s="61">
        <v>0.8</v>
      </c>
      <c r="BC9" s="61">
        <v>0.89</v>
      </c>
      <c r="BD9" s="61" t="s">
        <v>825</v>
      </c>
      <c r="BE9" s="61">
        <v>0.79</v>
      </c>
      <c r="BF9" s="61">
        <v>0.87</v>
      </c>
      <c r="BG9" s="78" t="s">
        <v>826</v>
      </c>
      <c r="BH9" s="78">
        <v>0.79</v>
      </c>
      <c r="BI9" s="78">
        <v>0.87</v>
      </c>
      <c r="BJ9" s="78" t="s">
        <v>827</v>
      </c>
      <c r="BK9" s="61">
        <v>0.73</v>
      </c>
      <c r="BL9" s="61">
        <v>0.81</v>
      </c>
      <c r="BM9" s="61" t="s">
        <v>1023</v>
      </c>
      <c r="BN9" s="61">
        <v>0.74</v>
      </c>
      <c r="BO9" s="61">
        <v>0.82</v>
      </c>
      <c r="BP9" s="78" t="s">
        <v>1024</v>
      </c>
      <c r="BQ9" s="78">
        <v>0.87</v>
      </c>
      <c r="BR9" s="78">
        <v>0.96</v>
      </c>
      <c r="BS9" s="78" t="s">
        <v>1025</v>
      </c>
      <c r="BT9" s="61">
        <v>0.89</v>
      </c>
      <c r="BU9" s="61">
        <v>0.99</v>
      </c>
      <c r="BV9" s="61" t="s">
        <v>1590</v>
      </c>
      <c r="BW9" s="61">
        <v>0.88900000000000001</v>
      </c>
      <c r="BX9" s="61">
        <v>0.99</v>
      </c>
      <c r="BY9" s="78" t="s">
        <v>1591</v>
      </c>
      <c r="BZ9" s="78">
        <v>0.89</v>
      </c>
      <c r="CA9" s="78">
        <v>0.99</v>
      </c>
      <c r="CB9" s="78" t="s">
        <v>1592</v>
      </c>
      <c r="CC9" s="61">
        <v>0.97</v>
      </c>
      <c r="CD9" s="61">
        <v>0.97</v>
      </c>
      <c r="CE9" s="61" t="s">
        <v>1805</v>
      </c>
      <c r="CF9" s="61">
        <v>0.88</v>
      </c>
      <c r="CG9" s="61">
        <v>0.98</v>
      </c>
      <c r="CH9" s="78" t="s">
        <v>1806</v>
      </c>
      <c r="CI9" s="78">
        <v>0.89</v>
      </c>
      <c r="CJ9" s="78">
        <v>0.99</v>
      </c>
      <c r="CK9" s="78" t="s">
        <v>1807</v>
      </c>
    </row>
    <row r="10" spans="1:165" s="4" customFormat="1" ht="57.75" customHeight="1" x14ac:dyDescent="0.2">
      <c r="A10" s="370"/>
      <c r="B10" s="370"/>
      <c r="C10" s="370"/>
      <c r="D10" s="370" t="s">
        <v>85</v>
      </c>
      <c r="E10" s="451"/>
      <c r="F10" s="370"/>
      <c r="G10" s="370"/>
      <c r="H10" s="370" t="s">
        <v>610</v>
      </c>
      <c r="I10" s="370" t="s">
        <v>611</v>
      </c>
      <c r="J10" s="375"/>
      <c r="K10" s="375"/>
      <c r="L10" s="265" t="s">
        <v>828</v>
      </c>
      <c r="M10" s="265" t="s">
        <v>829</v>
      </c>
      <c r="N10" s="279">
        <v>0.85</v>
      </c>
      <c r="O10" s="279"/>
      <c r="P10" s="60"/>
      <c r="Q10" s="279"/>
      <c r="R10" s="279"/>
      <c r="S10" s="60"/>
      <c r="T10" s="279"/>
      <c r="U10" s="279"/>
      <c r="V10" s="60"/>
      <c r="W10" s="279"/>
      <c r="X10" s="279"/>
      <c r="Y10" s="60"/>
      <c r="Z10" s="279"/>
      <c r="AA10" s="279"/>
      <c r="AB10" s="60"/>
      <c r="AC10" s="279"/>
      <c r="AD10" s="279"/>
      <c r="AE10" s="60"/>
      <c r="AF10" s="279"/>
      <c r="AG10" s="279">
        <v>0.92</v>
      </c>
      <c r="AH10" s="60">
        <v>1.08</v>
      </c>
      <c r="AI10" s="279" t="s">
        <v>1593</v>
      </c>
      <c r="AJ10" s="279">
        <v>0.92</v>
      </c>
      <c r="AK10" s="60">
        <v>1.08</v>
      </c>
      <c r="AL10" s="279" t="s">
        <v>1594</v>
      </c>
      <c r="AM10" s="279">
        <v>0.92</v>
      </c>
      <c r="AN10" s="60">
        <v>1.08</v>
      </c>
      <c r="AO10" s="279" t="s">
        <v>1594</v>
      </c>
      <c r="AP10" s="279">
        <v>0.92</v>
      </c>
      <c r="AQ10" s="60">
        <v>1.08</v>
      </c>
      <c r="AR10" s="279" t="s">
        <v>1594</v>
      </c>
      <c r="AS10" s="279">
        <v>0.92</v>
      </c>
      <c r="AT10" s="60">
        <v>1.08</v>
      </c>
      <c r="AU10" s="279" t="s">
        <v>1594</v>
      </c>
      <c r="AV10" s="279" t="s">
        <v>1808</v>
      </c>
      <c r="AW10" s="60">
        <v>1.08</v>
      </c>
      <c r="AX10" s="279" t="s">
        <v>1809</v>
      </c>
      <c r="AY10" s="368" t="s">
        <v>93</v>
      </c>
      <c r="AZ10" s="368"/>
      <c r="BA10" s="368"/>
      <c r="BB10" s="69"/>
      <c r="BC10" s="70"/>
      <c r="BD10" s="69"/>
      <c r="BE10" s="69"/>
      <c r="BF10" s="70"/>
      <c r="BG10" s="69"/>
      <c r="BH10" s="69"/>
      <c r="BI10" s="70"/>
      <c r="BJ10" s="69"/>
      <c r="BK10" s="69"/>
      <c r="BL10" s="70"/>
      <c r="BM10" s="69"/>
      <c r="BN10" s="69"/>
      <c r="BO10" s="70"/>
      <c r="BP10" s="69"/>
      <c r="BQ10" s="69"/>
      <c r="BR10" s="70"/>
      <c r="BS10" s="69"/>
      <c r="BT10" s="69"/>
      <c r="BU10" s="70"/>
      <c r="BV10" s="69"/>
      <c r="BW10" s="69"/>
      <c r="BX10" s="70"/>
      <c r="BY10" s="69"/>
      <c r="BZ10" s="69"/>
      <c r="CA10" s="70"/>
      <c r="CB10" s="69"/>
      <c r="CC10" s="69"/>
      <c r="CD10" s="70"/>
      <c r="CE10" s="69"/>
      <c r="CF10" s="69"/>
      <c r="CG10" s="70"/>
      <c r="CH10" s="69"/>
      <c r="CI10" s="69"/>
      <c r="CJ10" s="70"/>
      <c r="CK10" s="69"/>
    </row>
    <row r="11" spans="1:165" ht="75" x14ac:dyDescent="0.25">
      <c r="E11" s="17"/>
      <c r="O11" s="56" t="s">
        <v>153</v>
      </c>
      <c r="P11" s="57">
        <f>AVERAGE(P8:P10)</f>
        <v>0.91</v>
      </c>
      <c r="R11" s="56" t="s">
        <v>153</v>
      </c>
      <c r="S11" s="57">
        <f>AVERAGE(S8:S10)</f>
        <v>0.86</v>
      </c>
      <c r="U11" s="56" t="s">
        <v>153</v>
      </c>
      <c r="V11" s="57">
        <f>AVERAGE(V8:V10)</f>
        <v>1.03</v>
      </c>
      <c r="X11" s="56" t="s">
        <v>153</v>
      </c>
      <c r="Y11" s="57">
        <f>AVERAGE(Y8:Y10)</f>
        <v>1.02</v>
      </c>
      <c r="AA11" s="56" t="s">
        <v>153</v>
      </c>
      <c r="AB11" s="57">
        <f>AVERAGE(AB8:AB10)</f>
        <v>1.04</v>
      </c>
      <c r="AD11" s="56" t="s">
        <v>153</v>
      </c>
      <c r="AE11" s="57">
        <f>AVERAGE(AE8:AE10)</f>
        <v>1.06</v>
      </c>
      <c r="AG11" s="56" t="s">
        <v>153</v>
      </c>
      <c r="AH11" s="57">
        <f>AVERAGE(AH8:AH10)</f>
        <v>1.06</v>
      </c>
      <c r="AJ11" s="56" t="s">
        <v>153</v>
      </c>
      <c r="AK11" s="57">
        <f>AVERAGE(AK8:AK10)</f>
        <v>1.06</v>
      </c>
      <c r="AM11" s="56" t="s">
        <v>153</v>
      </c>
      <c r="AN11" s="57">
        <f>AVERAGE(AN8:AN10)</f>
        <v>1.0649999999999999</v>
      </c>
      <c r="AP11" s="56" t="s">
        <v>153</v>
      </c>
      <c r="AQ11" s="57">
        <f>AVERAGE(AQ8:AQ10)</f>
        <v>1.06</v>
      </c>
      <c r="AS11" s="56" t="s">
        <v>153</v>
      </c>
      <c r="AT11" s="57">
        <f>AVERAGE(AT8:AT10)</f>
        <v>1.06</v>
      </c>
      <c r="AV11" s="56" t="s">
        <v>153</v>
      </c>
      <c r="AW11" s="57">
        <f>AVERAGE(AW8:AW10)</f>
        <v>1.06</v>
      </c>
      <c r="BB11" s="56" t="s">
        <v>154</v>
      </c>
      <c r="BC11" s="57">
        <f>AVERAGE(BC8:BC10)</f>
        <v>0.91</v>
      </c>
      <c r="BE11" s="56" t="s">
        <v>154</v>
      </c>
      <c r="BF11" s="57">
        <f>AVERAGE(BF8:BF10)</f>
        <v>0.85</v>
      </c>
      <c r="BH11" s="56" t="s">
        <v>154</v>
      </c>
      <c r="BI11" s="57">
        <f>AVERAGE(BI8:BI10)</f>
        <v>0.97</v>
      </c>
      <c r="BK11" s="56" t="s">
        <v>154</v>
      </c>
      <c r="BL11" s="57">
        <f>AVERAGE(BL8:BL10)</f>
        <v>0.92500000000000004</v>
      </c>
      <c r="BN11" s="56" t="s">
        <v>154</v>
      </c>
      <c r="BO11" s="57">
        <f>AVERAGE(BO8:BO10)</f>
        <v>0.94</v>
      </c>
      <c r="BQ11" s="56" t="s">
        <v>154</v>
      </c>
      <c r="BR11" s="57">
        <f>AVERAGE(BR8:BR10)</f>
        <v>1.01</v>
      </c>
      <c r="BT11" s="56" t="s">
        <v>154</v>
      </c>
      <c r="BU11" s="57">
        <f>AVERAGE(BU8:BU10)</f>
        <v>1.0249999999999999</v>
      </c>
      <c r="BW11" s="56" t="s">
        <v>154</v>
      </c>
      <c r="BX11" s="57">
        <f>AVERAGE(BX8:BX10)</f>
        <v>1.0249999999999999</v>
      </c>
      <c r="BZ11" s="56" t="s">
        <v>154</v>
      </c>
      <c r="CA11" s="57">
        <f>AVERAGE(CA8:CA10)</f>
        <v>1.0249999999999999</v>
      </c>
      <c r="CC11" s="56" t="s">
        <v>154</v>
      </c>
      <c r="CD11" s="57">
        <f>AVERAGE(CD8:CD10)</f>
        <v>1.0150000000000001</v>
      </c>
      <c r="CF11" s="56" t="s">
        <v>154</v>
      </c>
      <c r="CG11" s="57">
        <f>AVERAGE(CG8:CG10)</f>
        <v>1.02</v>
      </c>
      <c r="CI11" s="56" t="s">
        <v>154</v>
      </c>
      <c r="CJ11" s="57">
        <f>AVERAGE(CJ8:CJ10)</f>
        <v>1.0249999999999999</v>
      </c>
    </row>
    <row r="12" spans="1:165" x14ac:dyDescent="0.25">
      <c r="E12" s="17"/>
    </row>
    <row r="13" spans="1:165" x14ac:dyDescent="0.25">
      <c r="A13" t="s">
        <v>273</v>
      </c>
      <c r="E13" s="17"/>
    </row>
    <row r="14" spans="1:165" x14ac:dyDescent="0.25">
      <c r="E14" s="17"/>
    </row>
    <row r="15" spans="1:165" x14ac:dyDescent="0.25">
      <c r="E15" s="17"/>
    </row>
    <row r="16" spans="1:165" x14ac:dyDescent="0.25">
      <c r="E16" s="17"/>
    </row>
    <row r="17" spans="5:5" x14ac:dyDescent="0.25">
      <c r="E17" s="17"/>
    </row>
    <row r="18" spans="5:5" x14ac:dyDescent="0.25">
      <c r="E18" s="17"/>
    </row>
  </sheetData>
  <autoFilter ref="A7:BJ10" xr:uid="{00000000-0009-0000-0000-00000C000000}"/>
  <mergeCells count="80">
    <mergeCell ref="AG6:AI6"/>
    <mergeCell ref="B6:C6"/>
    <mergeCell ref="F6:G6"/>
    <mergeCell ref="H6:K6"/>
    <mergeCell ref="L6:N6"/>
    <mergeCell ref="O6:Q6"/>
    <mergeCell ref="CF6:CH6"/>
    <mergeCell ref="CI6:CK6"/>
    <mergeCell ref="BB6:BD6"/>
    <mergeCell ref="BE6:BG6"/>
    <mergeCell ref="BH6:BJ6"/>
    <mergeCell ref="BK6:BM6"/>
    <mergeCell ref="BN6:BP6"/>
    <mergeCell ref="BQ6:BS6"/>
    <mergeCell ref="R6:T6"/>
    <mergeCell ref="U6:W6"/>
    <mergeCell ref="X6:Z6"/>
    <mergeCell ref="AA6:AC6"/>
    <mergeCell ref="AD6:AF6"/>
    <mergeCell ref="BT6:BV6"/>
    <mergeCell ref="BW6:BY6"/>
    <mergeCell ref="BZ6:CB6"/>
    <mergeCell ref="CC6:CE6"/>
    <mergeCell ref="AJ6:AL6"/>
    <mergeCell ref="AM6:AO6"/>
    <mergeCell ref="AP6:AR6"/>
    <mergeCell ref="AS6:AU6"/>
    <mergeCell ref="AV6:AX6"/>
    <mergeCell ref="AY6:BA6"/>
    <mergeCell ref="A8:A10"/>
    <mergeCell ref="B8:B10"/>
    <mergeCell ref="C8:C10"/>
    <mergeCell ref="D8:D10"/>
    <mergeCell ref="E8:E10"/>
    <mergeCell ref="Q8:Q9"/>
    <mergeCell ref="F8:F10"/>
    <mergeCell ref="G8:G10"/>
    <mergeCell ref="H8:H10"/>
    <mergeCell ref="I8:I10"/>
    <mergeCell ref="J8:J10"/>
    <mergeCell ref="K8:K10"/>
    <mergeCell ref="L8:L9"/>
    <mergeCell ref="M8:M9"/>
    <mergeCell ref="N8:N9"/>
    <mergeCell ref="O8:O9"/>
    <mergeCell ref="P8:P9"/>
    <mergeCell ref="AC8:AC9"/>
    <mergeCell ref="R8:R9"/>
    <mergeCell ref="S8:S9"/>
    <mergeCell ref="T8:T9"/>
    <mergeCell ref="U8:U9"/>
    <mergeCell ref="V8:V9"/>
    <mergeCell ref="W8:W9"/>
    <mergeCell ref="X8:X9"/>
    <mergeCell ref="Y8:Y9"/>
    <mergeCell ref="Z8:Z9"/>
    <mergeCell ref="AA8:AA9"/>
    <mergeCell ref="AB8:AB9"/>
    <mergeCell ref="AO8:AO9"/>
    <mergeCell ref="AD8:AD9"/>
    <mergeCell ref="AE8:AE9"/>
    <mergeCell ref="AF8:AF9"/>
    <mergeCell ref="AG8:AG9"/>
    <mergeCell ref="AH8:AH9"/>
    <mergeCell ref="AI8:AI9"/>
    <mergeCell ref="AJ8:AJ9"/>
    <mergeCell ref="AK8:AK9"/>
    <mergeCell ref="AL8:AL9"/>
    <mergeCell ref="AM8:AM9"/>
    <mergeCell ref="AN8:AN9"/>
    <mergeCell ref="AV8:AV9"/>
    <mergeCell ref="AW8:AW9"/>
    <mergeCell ref="AX8:AX9"/>
    <mergeCell ref="AY10:BA10"/>
    <mergeCell ref="AP8:AP9"/>
    <mergeCell ref="AQ8:AQ9"/>
    <mergeCell ref="AR8:AR9"/>
    <mergeCell ref="AS8:AS9"/>
    <mergeCell ref="AT8:AT9"/>
    <mergeCell ref="AU8:AU9"/>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40696-E134-4705-96F2-20F0257D60E8}">
  <sheetPr>
    <tabColor theme="7" tint="-0.249977111117893"/>
  </sheetPr>
  <dimension ref="A1:FR19"/>
  <sheetViews>
    <sheetView showGridLines="0" tabSelected="1" zoomScaleNormal="100" workbookViewId="0">
      <selection activeCell="C1" sqref="C1"/>
    </sheetView>
  </sheetViews>
  <sheetFormatPr baseColWidth="10" defaultColWidth="11.42578125" defaultRowHeight="15" x14ac:dyDescent="0.25"/>
  <cols>
    <col min="1" max="1" width="45.42578125" customWidth="1"/>
    <col min="2" max="2" width="45.7109375" bestFit="1" customWidth="1"/>
    <col min="3" max="3" width="19.42578125" style="3" customWidth="1"/>
    <col min="4" max="4" width="17.7109375" style="3" customWidth="1"/>
    <col min="5" max="5" width="43" style="3" bestFit="1" customWidth="1"/>
    <col min="6" max="6" width="15.5703125" style="3" customWidth="1"/>
    <col min="7" max="7" width="45.7109375" style="3" customWidth="1"/>
    <col min="8" max="8" width="19.42578125" style="1" customWidth="1"/>
    <col min="9" max="9" width="15.5703125" style="1" customWidth="1"/>
    <col min="10" max="11" width="45.7109375" style="3" customWidth="1"/>
    <col min="12" max="12" width="17.7109375" style="5" customWidth="1"/>
    <col min="13" max="13" width="15.28515625" style="3" customWidth="1"/>
    <col min="14" max="14" width="23.42578125" style="3" customWidth="1"/>
    <col min="15" max="15" width="17.7109375" style="5" customWidth="1"/>
    <col min="16" max="16" width="15.28515625" style="3" customWidth="1"/>
    <col min="17" max="17" width="23.42578125" style="3" customWidth="1"/>
    <col min="18" max="18" width="17.7109375" style="5" customWidth="1"/>
    <col min="19" max="19" width="15.28515625" style="3" customWidth="1"/>
    <col min="20" max="20" width="23.42578125" style="3" customWidth="1"/>
    <col min="21" max="21" width="17.7109375" style="5" customWidth="1"/>
    <col min="22" max="22" width="15.28515625" style="3" customWidth="1"/>
    <col min="23" max="23" width="23.42578125" style="3" customWidth="1"/>
    <col min="24" max="24" width="17.7109375" style="5" customWidth="1"/>
    <col min="25" max="25" width="15.28515625" style="3" customWidth="1"/>
    <col min="26" max="26" width="23.42578125" style="3" customWidth="1"/>
    <col min="27" max="27" width="17.7109375" style="5" customWidth="1"/>
    <col min="28" max="28" width="15.28515625" style="3" customWidth="1"/>
    <col min="29" max="29" width="23.42578125" style="3" customWidth="1"/>
    <col min="30" max="30" width="17.7109375" style="5" customWidth="1"/>
    <col min="31" max="31" width="15.28515625" style="3" customWidth="1"/>
    <col min="32" max="32" width="23.42578125" style="3" customWidth="1"/>
    <col min="33" max="33" width="17.7109375" style="5" customWidth="1"/>
    <col min="34" max="34" width="15.28515625" style="3" customWidth="1"/>
    <col min="35" max="35" width="23.42578125" style="3" customWidth="1"/>
    <col min="36" max="36" width="17.7109375" style="5" customWidth="1"/>
    <col min="37" max="37" width="15.28515625" style="3" customWidth="1"/>
    <col min="38" max="38" width="23.42578125" style="3" customWidth="1"/>
    <col min="39" max="39" width="17.7109375" style="5" customWidth="1"/>
    <col min="40" max="40" width="15.28515625" style="3" customWidth="1"/>
    <col min="41" max="41" width="23.42578125" style="3" customWidth="1"/>
    <col min="42" max="42" width="17.7109375" style="5" customWidth="1"/>
    <col min="43" max="43" width="15.28515625" style="3" customWidth="1"/>
    <col min="44" max="44" width="23.42578125" style="3" customWidth="1"/>
    <col min="45" max="45" width="17.7109375" style="5" customWidth="1"/>
    <col min="46" max="46" width="15.28515625" style="3" customWidth="1"/>
    <col min="47" max="47" width="23.42578125" style="3" customWidth="1"/>
    <col min="48" max="48" width="17.7109375" style="5" customWidth="1"/>
    <col min="49" max="50" width="45.7109375" style="2" customWidth="1"/>
    <col min="51" max="51" width="15.28515625" style="6" customWidth="1"/>
    <col min="52" max="52" width="15.28515625" style="3" customWidth="1"/>
    <col min="53" max="53" width="23.42578125" style="3" customWidth="1"/>
    <col min="54" max="54" width="17.7109375" style="5" customWidth="1"/>
    <col min="55" max="55" width="15.28515625" style="3" customWidth="1"/>
    <col min="56" max="56" width="23.42578125" style="3" customWidth="1"/>
    <col min="57" max="57" width="17.7109375" style="5" customWidth="1"/>
    <col min="58" max="58" width="15.28515625" style="3" customWidth="1"/>
    <col min="59" max="59" width="23.42578125" style="3" customWidth="1"/>
    <col min="60" max="60" width="17.7109375" style="5" customWidth="1"/>
    <col min="61" max="61" width="15.28515625" style="3" customWidth="1"/>
    <col min="62" max="62" width="23.42578125" style="3" customWidth="1"/>
    <col min="63" max="63" width="17.7109375" style="5" customWidth="1"/>
    <col min="64" max="64" width="15.28515625" style="3" customWidth="1"/>
    <col min="65" max="65" width="23.42578125" style="3" customWidth="1"/>
    <col min="66" max="66" width="17.7109375" style="5" customWidth="1"/>
    <col min="67" max="67" width="15.28515625" style="3" customWidth="1"/>
    <col min="68" max="68" width="23.42578125" style="3" customWidth="1"/>
    <col min="69" max="69" width="31.5703125" style="5" customWidth="1"/>
    <col min="70" max="70" width="15.28515625" style="3" customWidth="1"/>
    <col min="71" max="71" width="23.42578125" style="3" customWidth="1"/>
    <col min="72" max="72" width="17.7109375" style="5" customWidth="1"/>
    <col min="73" max="73" width="15.28515625" style="3" customWidth="1"/>
    <col min="74" max="74" width="23.42578125" style="3" customWidth="1"/>
    <col min="75" max="75" width="17.7109375" style="5" customWidth="1"/>
    <col min="76" max="76" width="15.28515625" style="3" customWidth="1"/>
    <col min="77" max="77" width="23.42578125" style="3" customWidth="1"/>
    <col min="78" max="78" width="31.5703125" style="5" customWidth="1"/>
    <col min="79" max="79" width="15.28515625" style="3" customWidth="1"/>
    <col min="80" max="80" width="23.42578125" style="3" customWidth="1"/>
    <col min="81" max="81" width="17.7109375" style="5" customWidth="1"/>
    <col min="82" max="82" width="15.28515625" style="3" customWidth="1"/>
    <col min="83" max="83" width="23.42578125" style="3" customWidth="1"/>
    <col min="84" max="84" width="17.7109375" style="5" customWidth="1"/>
    <col min="85" max="85" width="15.28515625" style="3" customWidth="1"/>
    <col min="86" max="86" width="23.42578125" style="3" customWidth="1"/>
    <col min="87" max="87" width="31.5703125" style="5" customWidth="1"/>
    <col min="88" max="88" width="30.140625" style="10" bestFit="1" customWidth="1"/>
    <col min="89" max="89" width="45.7109375" style="10" bestFit="1" customWidth="1"/>
    <col min="90" max="174" width="11.42578125" style="7"/>
  </cols>
  <sheetData>
    <row r="1" spans="1:174" x14ac:dyDescent="0.25">
      <c r="H1"/>
      <c r="I1"/>
      <c r="AY1" s="111"/>
    </row>
    <row r="2" spans="1:174" x14ac:dyDescent="0.25">
      <c r="H2"/>
      <c r="I2"/>
      <c r="AY2" s="111"/>
    </row>
    <row r="3" spans="1:174" x14ac:dyDescent="0.25">
      <c r="H3"/>
      <c r="I3"/>
      <c r="AY3" s="111"/>
    </row>
    <row r="4" spans="1:174" x14ac:dyDescent="0.25">
      <c r="H4"/>
      <c r="I4"/>
      <c r="AY4" s="111"/>
    </row>
    <row r="5" spans="1:174" x14ac:dyDescent="0.25">
      <c r="H5"/>
      <c r="I5"/>
      <c r="AY5" s="111"/>
    </row>
    <row r="6" spans="1:174" s="9" customFormat="1" ht="30" x14ac:dyDescent="0.2">
      <c r="A6" s="262" t="s">
        <v>59</v>
      </c>
      <c r="B6" s="262" t="s">
        <v>60</v>
      </c>
      <c r="C6" s="318"/>
      <c r="D6" s="358" t="s">
        <v>61</v>
      </c>
      <c r="E6" s="359"/>
      <c r="F6" s="358" t="s">
        <v>62</v>
      </c>
      <c r="G6" s="360"/>
      <c r="H6" s="360"/>
      <c r="I6" s="359"/>
      <c r="J6" s="361" t="s">
        <v>63</v>
      </c>
      <c r="K6" s="361"/>
      <c r="L6" s="361"/>
      <c r="M6" s="362" t="s">
        <v>2</v>
      </c>
      <c r="N6" s="363"/>
      <c r="O6" s="364"/>
      <c r="P6" s="362" t="s">
        <v>3</v>
      </c>
      <c r="Q6" s="363"/>
      <c r="R6" s="364"/>
      <c r="S6" s="362" t="s">
        <v>4</v>
      </c>
      <c r="T6" s="363"/>
      <c r="U6" s="364"/>
      <c r="V6" s="362" t="s">
        <v>830</v>
      </c>
      <c r="W6" s="363"/>
      <c r="X6" s="364"/>
      <c r="Y6" s="362" t="s">
        <v>831</v>
      </c>
      <c r="Z6" s="363"/>
      <c r="AA6" s="364"/>
      <c r="AB6" s="362" t="s">
        <v>832</v>
      </c>
      <c r="AC6" s="363"/>
      <c r="AD6" s="364"/>
      <c r="AE6" s="362" t="s">
        <v>1026</v>
      </c>
      <c r="AF6" s="363"/>
      <c r="AG6" s="364"/>
      <c r="AH6" s="362" t="s">
        <v>1027</v>
      </c>
      <c r="AI6" s="363"/>
      <c r="AJ6" s="364"/>
      <c r="AK6" s="362" t="s">
        <v>1028</v>
      </c>
      <c r="AL6" s="363"/>
      <c r="AM6" s="364"/>
      <c r="AN6" s="362" t="s">
        <v>1029</v>
      </c>
      <c r="AO6" s="363"/>
      <c r="AP6" s="364"/>
      <c r="AQ6" s="362" t="s">
        <v>1030</v>
      </c>
      <c r="AR6" s="363"/>
      <c r="AS6" s="364"/>
      <c r="AT6" s="362" t="s">
        <v>1701</v>
      </c>
      <c r="AU6" s="363"/>
      <c r="AV6" s="364"/>
      <c r="AW6" s="410" t="s">
        <v>64</v>
      </c>
      <c r="AX6" s="410"/>
      <c r="AY6" s="410"/>
      <c r="AZ6" s="387" t="s">
        <v>2</v>
      </c>
      <c r="BA6" s="388"/>
      <c r="BB6" s="389"/>
      <c r="BC6" s="387" t="s">
        <v>3</v>
      </c>
      <c r="BD6" s="388"/>
      <c r="BE6" s="389"/>
      <c r="BF6" s="387" t="s">
        <v>4</v>
      </c>
      <c r="BG6" s="388"/>
      <c r="BH6" s="389"/>
      <c r="BI6" s="387" t="s">
        <v>833</v>
      </c>
      <c r="BJ6" s="388"/>
      <c r="BK6" s="389"/>
      <c r="BL6" s="387" t="s">
        <v>831</v>
      </c>
      <c r="BM6" s="388"/>
      <c r="BN6" s="389"/>
      <c r="BO6" s="387" t="s">
        <v>832</v>
      </c>
      <c r="BP6" s="388"/>
      <c r="BQ6" s="389"/>
      <c r="BR6" s="387" t="s">
        <v>1026</v>
      </c>
      <c r="BS6" s="388"/>
      <c r="BT6" s="389"/>
      <c r="BU6" s="387" t="s">
        <v>1027</v>
      </c>
      <c r="BV6" s="388"/>
      <c r="BW6" s="389"/>
      <c r="BX6" s="387" t="s">
        <v>1028</v>
      </c>
      <c r="BY6" s="388"/>
      <c r="BZ6" s="389"/>
      <c r="CA6" s="387" t="s">
        <v>1029</v>
      </c>
      <c r="CB6" s="388"/>
      <c r="CC6" s="389"/>
      <c r="CD6" s="387" t="s">
        <v>1030</v>
      </c>
      <c r="CE6" s="388"/>
      <c r="CF6" s="389"/>
      <c r="CG6" s="387" t="s">
        <v>1701</v>
      </c>
      <c r="CH6" s="388"/>
      <c r="CI6" s="389"/>
      <c r="CJ6" s="361" t="s">
        <v>65</v>
      </c>
      <c r="CK6" s="361"/>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row>
    <row r="7" spans="1:174" s="9" customFormat="1" ht="49.5" customHeight="1" x14ac:dyDescent="0.2">
      <c r="A7" s="262" t="s">
        <v>66</v>
      </c>
      <c r="B7" s="262" t="s">
        <v>67</v>
      </c>
      <c r="C7" s="262" t="s">
        <v>68</v>
      </c>
      <c r="D7" s="262" t="s">
        <v>69</v>
      </c>
      <c r="E7" s="262" t="s">
        <v>70</v>
      </c>
      <c r="F7" s="262" t="s">
        <v>71</v>
      </c>
      <c r="G7" s="262" t="s">
        <v>72</v>
      </c>
      <c r="H7" s="12" t="s">
        <v>73</v>
      </c>
      <c r="I7" s="12" t="s">
        <v>74</v>
      </c>
      <c r="J7" s="262" t="s">
        <v>63</v>
      </c>
      <c r="K7" s="262" t="s">
        <v>75</v>
      </c>
      <c r="L7" s="262" t="s">
        <v>76</v>
      </c>
      <c r="M7" s="262" t="s">
        <v>77</v>
      </c>
      <c r="N7" s="262" t="s">
        <v>78</v>
      </c>
      <c r="O7" s="262" t="s">
        <v>79</v>
      </c>
      <c r="P7" s="262" t="s">
        <v>77</v>
      </c>
      <c r="Q7" s="262" t="s">
        <v>78</v>
      </c>
      <c r="R7" s="262" t="s">
        <v>79</v>
      </c>
      <c r="S7" s="262" t="s">
        <v>77</v>
      </c>
      <c r="T7" s="262" t="s">
        <v>78</v>
      </c>
      <c r="U7" s="262" t="s">
        <v>79</v>
      </c>
      <c r="V7" s="262" t="s">
        <v>77</v>
      </c>
      <c r="W7" s="262" t="s">
        <v>78</v>
      </c>
      <c r="X7" s="262" t="s">
        <v>79</v>
      </c>
      <c r="Y7" s="262" t="s">
        <v>77</v>
      </c>
      <c r="Z7" s="262" t="s">
        <v>78</v>
      </c>
      <c r="AA7" s="262" t="s">
        <v>79</v>
      </c>
      <c r="AB7" s="262" t="s">
        <v>77</v>
      </c>
      <c r="AC7" s="262" t="s">
        <v>78</v>
      </c>
      <c r="AD7" s="262" t="s">
        <v>79</v>
      </c>
      <c r="AE7" s="262" t="s">
        <v>77</v>
      </c>
      <c r="AF7" s="262" t="s">
        <v>78</v>
      </c>
      <c r="AG7" s="262" t="s">
        <v>79</v>
      </c>
      <c r="AH7" s="262" t="s">
        <v>77</v>
      </c>
      <c r="AI7" s="262" t="s">
        <v>78</v>
      </c>
      <c r="AJ7" s="262" t="s">
        <v>79</v>
      </c>
      <c r="AK7" s="262" t="s">
        <v>77</v>
      </c>
      <c r="AL7" s="262" t="s">
        <v>78</v>
      </c>
      <c r="AM7" s="262" t="s">
        <v>79</v>
      </c>
      <c r="AN7" s="262" t="s">
        <v>77</v>
      </c>
      <c r="AO7" s="262" t="s">
        <v>78</v>
      </c>
      <c r="AP7" s="262" t="s">
        <v>79</v>
      </c>
      <c r="AQ7" s="262" t="s">
        <v>77</v>
      </c>
      <c r="AR7" s="262" t="s">
        <v>78</v>
      </c>
      <c r="AS7" s="262" t="s">
        <v>79</v>
      </c>
      <c r="AT7" s="262" t="s">
        <v>77</v>
      </c>
      <c r="AU7" s="262" t="s">
        <v>78</v>
      </c>
      <c r="AV7" s="262" t="s">
        <v>79</v>
      </c>
      <c r="AW7" s="269" t="s">
        <v>64</v>
      </c>
      <c r="AX7" s="269" t="s">
        <v>80</v>
      </c>
      <c r="AY7" s="269" t="s">
        <v>81</v>
      </c>
      <c r="AZ7" s="269" t="s">
        <v>77</v>
      </c>
      <c r="BA7" s="269" t="s">
        <v>78</v>
      </c>
      <c r="BB7" s="269" t="s">
        <v>79</v>
      </c>
      <c r="BC7" s="269" t="s">
        <v>77</v>
      </c>
      <c r="BD7" s="269" t="s">
        <v>78</v>
      </c>
      <c r="BE7" s="269" t="s">
        <v>79</v>
      </c>
      <c r="BF7" s="269" t="s">
        <v>77</v>
      </c>
      <c r="BG7" s="269" t="s">
        <v>78</v>
      </c>
      <c r="BH7" s="269" t="s">
        <v>79</v>
      </c>
      <c r="BI7" s="269" t="s">
        <v>77</v>
      </c>
      <c r="BJ7" s="269" t="s">
        <v>78</v>
      </c>
      <c r="BK7" s="269" t="s">
        <v>79</v>
      </c>
      <c r="BL7" s="269" t="s">
        <v>77</v>
      </c>
      <c r="BM7" s="269" t="s">
        <v>78</v>
      </c>
      <c r="BN7" s="269" t="s">
        <v>79</v>
      </c>
      <c r="BO7" s="269" t="s">
        <v>77</v>
      </c>
      <c r="BP7" s="269" t="s">
        <v>78</v>
      </c>
      <c r="BQ7" s="269" t="s">
        <v>79</v>
      </c>
      <c r="BR7" s="269" t="s">
        <v>77</v>
      </c>
      <c r="BS7" s="269" t="s">
        <v>78</v>
      </c>
      <c r="BT7" s="269" t="s">
        <v>79</v>
      </c>
      <c r="BU7" s="269" t="s">
        <v>77</v>
      </c>
      <c r="BV7" s="269" t="s">
        <v>78</v>
      </c>
      <c r="BW7" s="269" t="s">
        <v>79</v>
      </c>
      <c r="BX7" s="269" t="s">
        <v>77</v>
      </c>
      <c r="BY7" s="269" t="s">
        <v>78</v>
      </c>
      <c r="BZ7" s="269" t="s">
        <v>79</v>
      </c>
      <c r="CA7" s="269" t="s">
        <v>77</v>
      </c>
      <c r="CB7" s="269" t="s">
        <v>78</v>
      </c>
      <c r="CC7" s="269" t="s">
        <v>79</v>
      </c>
      <c r="CD7" s="269" t="s">
        <v>77</v>
      </c>
      <c r="CE7" s="269" t="s">
        <v>78</v>
      </c>
      <c r="CF7" s="269" t="s">
        <v>79</v>
      </c>
      <c r="CG7" s="269" t="s">
        <v>77</v>
      </c>
      <c r="CH7" s="269" t="s">
        <v>78</v>
      </c>
      <c r="CI7" s="269" t="s">
        <v>79</v>
      </c>
      <c r="CJ7" s="262" t="s">
        <v>82</v>
      </c>
      <c r="CK7" s="262" t="s">
        <v>83</v>
      </c>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row>
    <row r="8" spans="1:174" s="4" customFormat="1" ht="33.75" customHeight="1" x14ac:dyDescent="0.2">
      <c r="A8" s="369" t="s">
        <v>84</v>
      </c>
      <c r="B8" s="369" t="s">
        <v>85</v>
      </c>
      <c r="C8" s="369" t="s">
        <v>2731</v>
      </c>
      <c r="D8" s="369" t="s">
        <v>787</v>
      </c>
      <c r="E8" s="449" t="s">
        <v>788</v>
      </c>
      <c r="F8" s="369" t="s">
        <v>610</v>
      </c>
      <c r="G8" s="369" t="s">
        <v>611</v>
      </c>
      <c r="H8" s="374">
        <v>210736667</v>
      </c>
      <c r="I8" s="13">
        <v>83066667</v>
      </c>
      <c r="J8" s="265" t="s">
        <v>789</v>
      </c>
      <c r="K8" s="265" t="s">
        <v>790</v>
      </c>
      <c r="L8" s="272">
        <v>1</v>
      </c>
      <c r="M8" s="279">
        <v>1</v>
      </c>
      <c r="N8" s="60">
        <f>L8/12</f>
        <v>8.3333333333333329E-2</v>
      </c>
      <c r="O8" s="279" t="s">
        <v>791</v>
      </c>
      <c r="P8" s="279">
        <v>1</v>
      </c>
      <c r="Q8" s="60">
        <f>$N$8*2</f>
        <v>0.16666666666666666</v>
      </c>
      <c r="R8" s="279" t="s">
        <v>792</v>
      </c>
      <c r="S8" s="279">
        <v>1</v>
      </c>
      <c r="T8" s="60">
        <f>$N$8*3</f>
        <v>0.25</v>
      </c>
      <c r="U8" s="279" t="s">
        <v>793</v>
      </c>
      <c r="V8" s="279">
        <v>1</v>
      </c>
      <c r="W8" s="60">
        <f>(V8/12)*4</f>
        <v>0.33333333333333331</v>
      </c>
      <c r="X8" s="279" t="s">
        <v>834</v>
      </c>
      <c r="Y8" s="279">
        <v>1</v>
      </c>
      <c r="Z8" s="60">
        <f>(Y8/12)*5</f>
        <v>0.41666666666666663</v>
      </c>
      <c r="AA8" s="279" t="s">
        <v>836</v>
      </c>
      <c r="AB8" s="279">
        <v>1</v>
      </c>
      <c r="AC8" s="60">
        <f>(AB8/12)*6</f>
        <v>0.5</v>
      </c>
      <c r="AD8" s="279" t="s">
        <v>839</v>
      </c>
      <c r="AE8" s="279">
        <v>1</v>
      </c>
      <c r="AF8" s="60">
        <f>(AE8/12)*7</f>
        <v>0.58333333333333326</v>
      </c>
      <c r="AG8" s="279" t="s">
        <v>1542</v>
      </c>
      <c r="AH8" s="279">
        <v>1</v>
      </c>
      <c r="AI8" s="60">
        <f>(AH8/12)*8</f>
        <v>0.66666666666666663</v>
      </c>
      <c r="AJ8" s="279" t="s">
        <v>1543</v>
      </c>
      <c r="AK8" s="279">
        <v>1</v>
      </c>
      <c r="AL8" s="60">
        <f>(AK8/12)*9</f>
        <v>0.75</v>
      </c>
      <c r="AM8" s="279" t="s">
        <v>1544</v>
      </c>
      <c r="AN8" s="279">
        <v>1</v>
      </c>
      <c r="AO8" s="60">
        <f>(AN8/12)*10</f>
        <v>0.83333333333333326</v>
      </c>
      <c r="AP8" s="279" t="s">
        <v>1811</v>
      </c>
      <c r="AQ8" s="279">
        <v>1</v>
      </c>
      <c r="AR8" s="60">
        <f>(AQ8/12)*11</f>
        <v>0.91666666666666663</v>
      </c>
      <c r="AS8" s="279" t="s">
        <v>1812</v>
      </c>
      <c r="AT8" s="279">
        <v>1</v>
      </c>
      <c r="AU8" s="60">
        <f>(AT8/12)*12</f>
        <v>1</v>
      </c>
      <c r="AV8" s="279" t="s">
        <v>1813</v>
      </c>
      <c r="AW8" s="368" t="s">
        <v>93</v>
      </c>
      <c r="AX8" s="368"/>
      <c r="AY8" s="368"/>
      <c r="AZ8" s="69"/>
      <c r="BA8" s="70"/>
      <c r="BB8" s="69"/>
      <c r="BC8" s="69"/>
      <c r="BD8" s="70"/>
      <c r="BE8" s="69"/>
      <c r="BF8" s="69"/>
      <c r="BG8" s="70"/>
      <c r="BH8" s="69"/>
      <c r="BI8" s="69"/>
      <c r="BJ8" s="70"/>
      <c r="BK8" s="69"/>
      <c r="BL8" s="69"/>
      <c r="BM8" s="70"/>
      <c r="BN8" s="69"/>
      <c r="BO8" s="69"/>
      <c r="BP8" s="70"/>
      <c r="BQ8" s="69"/>
      <c r="BR8" s="69"/>
      <c r="BS8" s="70"/>
      <c r="BT8" s="69"/>
      <c r="BU8" s="69"/>
      <c r="BV8" s="70"/>
      <c r="BW8" s="69"/>
      <c r="BX8" s="69"/>
      <c r="BY8" s="70"/>
      <c r="BZ8" s="69"/>
      <c r="CA8" s="69"/>
      <c r="CB8" s="70"/>
      <c r="CC8" s="69"/>
      <c r="CD8" s="69"/>
      <c r="CE8" s="70"/>
      <c r="CF8" s="69"/>
      <c r="CG8" s="69"/>
      <c r="CH8" s="70"/>
      <c r="CI8" s="69"/>
      <c r="CJ8" s="11" t="s">
        <v>728</v>
      </c>
      <c r="CK8" s="11" t="s">
        <v>729</v>
      </c>
    </row>
    <row r="9" spans="1:174" s="4" customFormat="1" ht="84.75" customHeight="1" x14ac:dyDescent="0.2">
      <c r="A9" s="394"/>
      <c r="B9" s="394"/>
      <c r="C9" s="394"/>
      <c r="D9" s="394"/>
      <c r="E9" s="450"/>
      <c r="F9" s="394"/>
      <c r="G9" s="394"/>
      <c r="H9" s="401"/>
      <c r="I9" s="13">
        <v>44370000</v>
      </c>
      <c r="J9" s="265" t="s">
        <v>794</v>
      </c>
      <c r="K9" s="265" t="s">
        <v>795</v>
      </c>
      <c r="L9" s="272">
        <v>1</v>
      </c>
      <c r="M9" s="279">
        <v>1</v>
      </c>
      <c r="N9" s="60">
        <f>L9/12</f>
        <v>8.3333333333333329E-2</v>
      </c>
      <c r="O9" s="279" t="s">
        <v>796</v>
      </c>
      <c r="P9" s="279">
        <v>1</v>
      </c>
      <c r="Q9" s="60">
        <f>$N$8*2</f>
        <v>0.16666666666666666</v>
      </c>
      <c r="R9" s="279" t="s">
        <v>797</v>
      </c>
      <c r="S9" s="279">
        <v>1</v>
      </c>
      <c r="T9" s="60">
        <f>$N$8*3</f>
        <v>0.25</v>
      </c>
      <c r="U9" s="279" t="s">
        <v>798</v>
      </c>
      <c r="V9" s="279">
        <v>1</v>
      </c>
      <c r="W9" s="60">
        <f>(V9/12)*4</f>
        <v>0.33333333333333331</v>
      </c>
      <c r="X9" s="279" t="s">
        <v>835</v>
      </c>
      <c r="Y9" s="279">
        <v>1</v>
      </c>
      <c r="Z9" s="60">
        <f>(Y9/12)*5</f>
        <v>0.41666666666666663</v>
      </c>
      <c r="AA9" s="279" t="s">
        <v>835</v>
      </c>
      <c r="AB9" s="279">
        <v>1</v>
      </c>
      <c r="AC9" s="60">
        <f>(AB9/12)*6</f>
        <v>0.5</v>
      </c>
      <c r="AD9" s="279" t="s">
        <v>837</v>
      </c>
      <c r="AE9" s="279">
        <v>1</v>
      </c>
      <c r="AF9" s="60">
        <f>(AE9/12)*7</f>
        <v>0.58333333333333326</v>
      </c>
      <c r="AG9" s="279" t="s">
        <v>1545</v>
      </c>
      <c r="AH9" s="279">
        <v>1</v>
      </c>
      <c r="AI9" s="60">
        <f>(AH9/12)*8</f>
        <v>0.66666666666666663</v>
      </c>
      <c r="AJ9" s="279" t="s">
        <v>1546</v>
      </c>
      <c r="AK9" s="279">
        <v>1</v>
      </c>
      <c r="AL9" s="60">
        <f>(AK9/12)*9</f>
        <v>0.75</v>
      </c>
      <c r="AM9" s="279" t="s">
        <v>1547</v>
      </c>
      <c r="AN9" s="279">
        <f>30/30</f>
        <v>1</v>
      </c>
      <c r="AO9" s="60">
        <f>(AN9/12)*10</f>
        <v>0.83333333333333326</v>
      </c>
      <c r="AP9" s="279" t="s">
        <v>1814</v>
      </c>
      <c r="AQ9" s="279">
        <f>46/46</f>
        <v>1</v>
      </c>
      <c r="AR9" s="60">
        <f>(AQ9/12)*11</f>
        <v>0.91666666666666663</v>
      </c>
      <c r="AS9" s="279" t="s">
        <v>1815</v>
      </c>
      <c r="AT9" s="279">
        <f>37/37</f>
        <v>1</v>
      </c>
      <c r="AU9" s="60">
        <f>(AT9/12)*12</f>
        <v>1</v>
      </c>
      <c r="AV9" s="279" t="s">
        <v>1816</v>
      </c>
      <c r="AW9" s="368" t="s">
        <v>93</v>
      </c>
      <c r="AX9" s="368"/>
      <c r="AY9" s="368"/>
      <c r="AZ9" s="69"/>
      <c r="BA9" s="70"/>
      <c r="BB9" s="69"/>
      <c r="BC9" s="69"/>
      <c r="BD9" s="70"/>
      <c r="BE9" s="69"/>
      <c r="BF9" s="69"/>
      <c r="BG9" s="70"/>
      <c r="BH9" s="69"/>
      <c r="BI9" s="69"/>
      <c r="BJ9" s="70"/>
      <c r="BK9" s="69"/>
      <c r="BL9" s="69"/>
      <c r="BM9" s="70"/>
      <c r="BN9" s="69"/>
      <c r="BO9" s="69"/>
      <c r="BP9" s="70"/>
      <c r="BQ9" s="69"/>
      <c r="BR9" s="69"/>
      <c r="BS9" s="70"/>
      <c r="BT9" s="69"/>
      <c r="BU9" s="69"/>
      <c r="BV9" s="70"/>
      <c r="BW9" s="69"/>
      <c r="BX9" s="69"/>
      <c r="BY9" s="70"/>
      <c r="BZ9" s="69"/>
      <c r="CA9" s="69"/>
      <c r="CB9" s="70"/>
      <c r="CC9" s="69"/>
      <c r="CD9" s="69"/>
      <c r="CE9" s="70"/>
      <c r="CF9" s="69"/>
      <c r="CG9" s="69"/>
      <c r="CH9" s="70"/>
      <c r="CI9" s="69"/>
      <c r="CJ9" s="11" t="s">
        <v>728</v>
      </c>
      <c r="CK9" s="11" t="s">
        <v>799</v>
      </c>
    </row>
    <row r="10" spans="1:174" s="4" customFormat="1" ht="53.45" customHeight="1" x14ac:dyDescent="0.2">
      <c r="A10" s="394"/>
      <c r="B10" s="394"/>
      <c r="C10" s="394"/>
      <c r="D10" s="394"/>
      <c r="E10" s="450"/>
      <c r="F10" s="394"/>
      <c r="G10" s="394"/>
      <c r="H10" s="401"/>
      <c r="I10" s="374">
        <v>83300000</v>
      </c>
      <c r="J10" s="369" t="s">
        <v>800</v>
      </c>
      <c r="K10" s="369" t="s">
        <v>801</v>
      </c>
      <c r="L10" s="371">
        <v>1</v>
      </c>
      <c r="M10" s="366"/>
      <c r="N10" s="366"/>
      <c r="O10" s="366" t="s">
        <v>802</v>
      </c>
      <c r="P10" s="366"/>
      <c r="Q10" s="366"/>
      <c r="R10" s="366" t="s">
        <v>802</v>
      </c>
      <c r="S10" s="366">
        <v>0.25</v>
      </c>
      <c r="T10" s="366">
        <f>S10</f>
        <v>0.25</v>
      </c>
      <c r="U10" s="366" t="s">
        <v>803</v>
      </c>
      <c r="V10" s="366">
        <v>0.25</v>
      </c>
      <c r="W10" s="366">
        <f>V10</f>
        <v>0.25</v>
      </c>
      <c r="X10" s="366" t="s">
        <v>802</v>
      </c>
      <c r="Y10" s="366">
        <v>0.25</v>
      </c>
      <c r="Z10" s="366">
        <f>Y10</f>
        <v>0.25</v>
      </c>
      <c r="AA10" s="366" t="s">
        <v>802</v>
      </c>
      <c r="AB10" s="366">
        <v>0.5</v>
      </c>
      <c r="AC10" s="366">
        <f>AB10</f>
        <v>0.5</v>
      </c>
      <c r="AD10" s="366" t="s">
        <v>838</v>
      </c>
      <c r="AE10" s="366">
        <v>0.5</v>
      </c>
      <c r="AF10" s="366">
        <f>AE10</f>
        <v>0.5</v>
      </c>
      <c r="AG10" s="366" t="s">
        <v>802</v>
      </c>
      <c r="AH10" s="366">
        <v>0.5</v>
      </c>
      <c r="AI10" s="366">
        <f>AH10</f>
        <v>0.5</v>
      </c>
      <c r="AJ10" s="366" t="s">
        <v>802</v>
      </c>
      <c r="AK10" s="366">
        <v>0.68400000000000005</v>
      </c>
      <c r="AL10" s="366">
        <f>AK10</f>
        <v>0.68400000000000005</v>
      </c>
      <c r="AM10" s="366" t="s">
        <v>1548</v>
      </c>
      <c r="AN10" s="366">
        <v>0.68400000000000005</v>
      </c>
      <c r="AO10" s="366">
        <f>AN10</f>
        <v>0.68400000000000005</v>
      </c>
      <c r="AP10" s="366" t="s">
        <v>802</v>
      </c>
      <c r="AQ10" s="366">
        <v>0.68400000000000005</v>
      </c>
      <c r="AR10" s="366">
        <f>AQ10</f>
        <v>0.68400000000000005</v>
      </c>
      <c r="AS10" s="366" t="s">
        <v>802</v>
      </c>
      <c r="AT10" s="366">
        <v>1</v>
      </c>
      <c r="AU10" s="366">
        <f>AT10</f>
        <v>1</v>
      </c>
      <c r="AV10" s="366" t="s">
        <v>1817</v>
      </c>
      <c r="AW10" s="14" t="s">
        <v>804</v>
      </c>
      <c r="AX10" s="14" t="s">
        <v>805</v>
      </c>
      <c r="AY10" s="279">
        <v>1</v>
      </c>
      <c r="AZ10" s="279"/>
      <c r="BA10" s="60"/>
      <c r="BB10" s="279" t="s">
        <v>802</v>
      </c>
      <c r="BC10" s="279"/>
      <c r="BD10" s="60"/>
      <c r="BE10" s="279" t="s">
        <v>802</v>
      </c>
      <c r="BF10" s="279">
        <v>0.4</v>
      </c>
      <c r="BG10" s="60">
        <v>0.4</v>
      </c>
      <c r="BH10" s="279" t="s">
        <v>806</v>
      </c>
      <c r="BI10" s="279">
        <v>0.4</v>
      </c>
      <c r="BJ10" s="60">
        <v>0.4</v>
      </c>
      <c r="BK10" s="279" t="s">
        <v>802</v>
      </c>
      <c r="BL10" s="279">
        <v>0.4</v>
      </c>
      <c r="BM10" s="60">
        <v>0.4</v>
      </c>
      <c r="BN10" s="279" t="s">
        <v>802</v>
      </c>
      <c r="BO10" s="279">
        <v>0.6</v>
      </c>
      <c r="BP10" s="60">
        <f>BO10</f>
        <v>0.6</v>
      </c>
      <c r="BQ10" s="279" t="s">
        <v>843</v>
      </c>
      <c r="BR10" s="279">
        <v>0.6</v>
      </c>
      <c r="BS10" s="60">
        <f>BR10</f>
        <v>0.6</v>
      </c>
      <c r="BT10" s="279" t="s">
        <v>802</v>
      </c>
      <c r="BU10" s="279">
        <v>0.6</v>
      </c>
      <c r="BV10" s="60">
        <f>BU10</f>
        <v>0.6</v>
      </c>
      <c r="BW10" s="279" t="s">
        <v>802</v>
      </c>
      <c r="BX10" s="279">
        <v>0.8</v>
      </c>
      <c r="BY10" s="60">
        <f>BX10</f>
        <v>0.8</v>
      </c>
      <c r="BZ10" s="279" t="s">
        <v>1549</v>
      </c>
      <c r="CA10" s="279">
        <v>0.8</v>
      </c>
      <c r="CB10" s="60">
        <f>CA10</f>
        <v>0.8</v>
      </c>
      <c r="CC10" s="279" t="s">
        <v>1810</v>
      </c>
      <c r="CD10" s="279">
        <v>0.8</v>
      </c>
      <c r="CE10" s="60">
        <f>CD10</f>
        <v>0.8</v>
      </c>
      <c r="CF10" s="279" t="s">
        <v>1810</v>
      </c>
      <c r="CG10" s="279">
        <v>1</v>
      </c>
      <c r="CH10" s="60">
        <f>CG10</f>
        <v>1</v>
      </c>
      <c r="CI10" s="279" t="s">
        <v>1818</v>
      </c>
      <c r="CJ10" s="11" t="s">
        <v>728</v>
      </c>
      <c r="CK10" s="11" t="s">
        <v>729</v>
      </c>
    </row>
    <row r="11" spans="1:174" s="4" customFormat="1" ht="63" customHeight="1" x14ac:dyDescent="0.2">
      <c r="A11" s="370"/>
      <c r="B11" s="370"/>
      <c r="C11" s="370"/>
      <c r="D11" s="370"/>
      <c r="E11" s="451"/>
      <c r="F11" s="370"/>
      <c r="G11" s="370"/>
      <c r="H11" s="375"/>
      <c r="I11" s="375"/>
      <c r="J11" s="370"/>
      <c r="K11" s="370"/>
      <c r="L11" s="372"/>
      <c r="M11" s="367"/>
      <c r="N11" s="367"/>
      <c r="O11" s="367"/>
      <c r="P11" s="367"/>
      <c r="Q11" s="367"/>
      <c r="R11" s="367"/>
      <c r="S11" s="367"/>
      <c r="T11" s="367"/>
      <c r="U11" s="367"/>
      <c r="V11" s="367"/>
      <c r="W11" s="367"/>
      <c r="X11" s="367"/>
      <c r="Y11" s="367"/>
      <c r="Z11" s="367"/>
      <c r="AA11" s="367"/>
      <c r="AB11" s="367"/>
      <c r="AC11" s="367"/>
      <c r="AD11" s="367"/>
      <c r="AE11" s="367"/>
      <c r="AF11" s="367"/>
      <c r="AG11" s="367"/>
      <c r="AH11" s="367"/>
      <c r="AI11" s="367"/>
      <c r="AJ11" s="367"/>
      <c r="AK11" s="367"/>
      <c r="AL11" s="367"/>
      <c r="AM11" s="367"/>
      <c r="AN11" s="367"/>
      <c r="AO11" s="367"/>
      <c r="AP11" s="367"/>
      <c r="AQ11" s="367"/>
      <c r="AR11" s="367"/>
      <c r="AS11" s="367"/>
      <c r="AT11" s="367"/>
      <c r="AU11" s="367"/>
      <c r="AV11" s="367"/>
      <c r="AW11" s="14" t="s">
        <v>807</v>
      </c>
      <c r="AX11" s="14" t="s">
        <v>808</v>
      </c>
      <c r="AY11" s="268">
        <v>14</v>
      </c>
      <c r="AZ11" s="268">
        <v>0</v>
      </c>
      <c r="BA11" s="268">
        <v>0</v>
      </c>
      <c r="BB11" s="279" t="s">
        <v>809</v>
      </c>
      <c r="BC11" s="268">
        <v>2</v>
      </c>
      <c r="BD11" s="268">
        <f>BC11/10</f>
        <v>0.2</v>
      </c>
      <c r="BE11" s="279" t="s">
        <v>810</v>
      </c>
      <c r="BF11" s="268">
        <v>4</v>
      </c>
      <c r="BG11" s="268">
        <f>BF11/10</f>
        <v>0.4</v>
      </c>
      <c r="BH11" s="279" t="s">
        <v>811</v>
      </c>
      <c r="BI11" s="268">
        <v>6</v>
      </c>
      <c r="BJ11" s="268">
        <f>BI11/10</f>
        <v>0.6</v>
      </c>
      <c r="BK11" s="279" t="s">
        <v>840</v>
      </c>
      <c r="BL11" s="268">
        <v>8</v>
      </c>
      <c r="BM11" s="268">
        <f>BL11/10</f>
        <v>0.8</v>
      </c>
      <c r="BN11" s="279" t="s">
        <v>841</v>
      </c>
      <c r="BO11" s="268">
        <v>10</v>
      </c>
      <c r="BP11" s="268">
        <f>BO11/10</f>
        <v>1</v>
      </c>
      <c r="BQ11" s="279" t="s">
        <v>842</v>
      </c>
      <c r="BR11" s="268">
        <v>12</v>
      </c>
      <c r="BS11" s="268">
        <f>BR11/10</f>
        <v>1.2</v>
      </c>
      <c r="BT11" s="279" t="s">
        <v>1550</v>
      </c>
      <c r="BU11" s="268">
        <v>13</v>
      </c>
      <c r="BV11" s="268">
        <f>BU11/$AY$11</f>
        <v>0.9285714285714286</v>
      </c>
      <c r="BW11" s="279" t="s">
        <v>1551</v>
      </c>
      <c r="BX11" s="268">
        <v>13</v>
      </c>
      <c r="BY11" s="268">
        <f>BX11/$AY$11</f>
        <v>0.9285714285714286</v>
      </c>
      <c r="BZ11" s="279" t="s">
        <v>1552</v>
      </c>
      <c r="CA11" s="268">
        <v>13</v>
      </c>
      <c r="CB11" s="268">
        <f>CA11/14</f>
        <v>0.9285714285714286</v>
      </c>
      <c r="CC11" s="279" t="s">
        <v>1819</v>
      </c>
      <c r="CD11" s="268">
        <v>13</v>
      </c>
      <c r="CE11" s="268">
        <f>CD11/$AY$11</f>
        <v>0.9285714285714286</v>
      </c>
      <c r="CF11" s="279" t="s">
        <v>1820</v>
      </c>
      <c r="CG11" s="268">
        <v>14</v>
      </c>
      <c r="CH11" s="268">
        <f>CG11/$AY$11</f>
        <v>1</v>
      </c>
      <c r="CI11" s="279" t="s">
        <v>1821</v>
      </c>
      <c r="CJ11" s="11" t="s">
        <v>728</v>
      </c>
      <c r="CK11" s="11" t="s">
        <v>729</v>
      </c>
    </row>
    <row r="12" spans="1:174" ht="75" x14ac:dyDescent="0.25">
      <c r="M12" s="56" t="s">
        <v>153</v>
      </c>
      <c r="N12" s="57">
        <f>AVERAGE(N8:N11)</f>
        <v>8.3333333333333329E-2</v>
      </c>
      <c r="P12" s="56" t="s">
        <v>153</v>
      </c>
      <c r="Q12" s="57">
        <f>AVERAGE(Q8:Q11)</f>
        <v>0.16666666666666666</v>
      </c>
      <c r="S12" s="56" t="s">
        <v>153</v>
      </c>
      <c r="T12" s="57">
        <f>AVERAGE(T8:T11)</f>
        <v>0.25</v>
      </c>
      <c r="V12" s="56" t="s">
        <v>153</v>
      </c>
      <c r="W12" s="57">
        <f>AVERAGE(W8:W11)</f>
        <v>0.30555555555555552</v>
      </c>
      <c r="Y12" s="56" t="s">
        <v>153</v>
      </c>
      <c r="Z12" s="57">
        <f>AVERAGE(Z8:Z11)</f>
        <v>0.3611111111111111</v>
      </c>
      <c r="AB12" s="56" t="s">
        <v>153</v>
      </c>
      <c r="AC12" s="57">
        <f>AVERAGE(AC8:AC11)</f>
        <v>0.5</v>
      </c>
      <c r="AE12" s="56" t="s">
        <v>153</v>
      </c>
      <c r="AF12" s="57">
        <f>AVERAGE(AF8:AF11)</f>
        <v>0.55555555555555547</v>
      </c>
      <c r="AH12" s="56" t="s">
        <v>153</v>
      </c>
      <c r="AI12" s="57">
        <f>AVERAGE(AI8:AI11)</f>
        <v>0.61111111111111105</v>
      </c>
      <c r="AK12" s="56" t="s">
        <v>153</v>
      </c>
      <c r="AL12" s="57">
        <f>AVERAGE(AL8:AL11)</f>
        <v>0.72800000000000009</v>
      </c>
      <c r="AN12" s="56" t="s">
        <v>153</v>
      </c>
      <c r="AO12" s="57">
        <f>AVERAGE(AO8:AO11)</f>
        <v>0.78355555555555556</v>
      </c>
      <c r="AQ12" s="56" t="s">
        <v>153</v>
      </c>
      <c r="AR12" s="57">
        <f>AVERAGE(AR8:AR11)</f>
        <v>0.83911111111111103</v>
      </c>
      <c r="AT12" s="56" t="s">
        <v>153</v>
      </c>
      <c r="AU12" s="57">
        <f>AVERAGE(AU8:AU11)</f>
        <v>1</v>
      </c>
      <c r="AZ12" s="56" t="s">
        <v>154</v>
      </c>
      <c r="BA12" s="57">
        <f>AVERAGE(BA10:BA11)</f>
        <v>0</v>
      </c>
      <c r="BC12" s="56" t="s">
        <v>154</v>
      </c>
      <c r="BD12" s="57">
        <f>AVERAGE(BD10:BD11)</f>
        <v>0.2</v>
      </c>
      <c r="BF12" s="56" t="s">
        <v>154</v>
      </c>
      <c r="BG12" s="57">
        <f>AVERAGE(BG10:BG11)</f>
        <v>0.4</v>
      </c>
      <c r="BH12" s="7"/>
      <c r="BI12" s="56" t="s">
        <v>154</v>
      </c>
      <c r="BJ12" s="57">
        <f>AVERAGE(BJ10:BJ11)</f>
        <v>0.5</v>
      </c>
      <c r="BL12" s="56" t="s">
        <v>154</v>
      </c>
      <c r="BM12" s="57">
        <f>AVERAGE(BM10:BM11)</f>
        <v>0.60000000000000009</v>
      </c>
      <c r="BO12" s="56" t="s">
        <v>154</v>
      </c>
      <c r="BP12" s="57">
        <f>AVERAGE(BP10:BP11)</f>
        <v>0.8</v>
      </c>
      <c r="BQ12" s="7"/>
      <c r="BR12" s="56" t="s">
        <v>154</v>
      </c>
      <c r="BS12" s="57">
        <f>AVERAGE(BS10:BS11)</f>
        <v>0.89999999999999991</v>
      </c>
      <c r="BU12" s="56" t="s">
        <v>154</v>
      </c>
      <c r="BV12" s="57">
        <f>AVERAGE(BV10:BV11)</f>
        <v>0.76428571428571423</v>
      </c>
      <c r="BX12" s="56" t="s">
        <v>154</v>
      </c>
      <c r="BY12" s="57">
        <f>AVERAGE(BY10:BY11)</f>
        <v>0.86428571428571432</v>
      </c>
      <c r="BZ12" s="7"/>
      <c r="CA12" s="56" t="s">
        <v>154</v>
      </c>
      <c r="CB12" s="57">
        <f>AVERAGE(CB10:CB11)</f>
        <v>0.86428571428571432</v>
      </c>
      <c r="CD12" s="56" t="s">
        <v>154</v>
      </c>
      <c r="CE12" s="57">
        <f>AVERAGE(CE10:CE11)</f>
        <v>0.86428571428571432</v>
      </c>
      <c r="CG12" s="56" t="s">
        <v>154</v>
      </c>
      <c r="CH12" s="57">
        <f>AVERAGE(CH10:CH11)</f>
        <v>1</v>
      </c>
      <c r="CI12" s="7"/>
      <c r="CJ12" s="7"/>
      <c r="CK12" s="7"/>
      <c r="FO12"/>
      <c r="FP12"/>
      <c r="FQ12"/>
      <c r="FR12"/>
    </row>
    <row r="13" spans="1:174" s="4" customFormat="1" ht="38.25" customHeight="1" x14ac:dyDescent="0.25">
      <c r="A13"/>
      <c r="B13"/>
      <c r="C13" s="3"/>
      <c r="D13" s="3"/>
      <c r="E13" s="17"/>
      <c r="F13" s="3"/>
      <c r="G13" s="3"/>
      <c r="H13" s="1"/>
      <c r="I13" s="1"/>
      <c r="J13" s="3"/>
      <c r="K13" s="3"/>
      <c r="L13" s="5"/>
      <c r="M13" s="3"/>
      <c r="N13" s="3"/>
      <c r="O13" s="5"/>
      <c r="P13" s="3"/>
      <c r="Q13" s="3"/>
      <c r="R13" s="5"/>
      <c r="S13" s="3"/>
      <c r="T13" s="3"/>
      <c r="U13" s="5"/>
      <c r="V13" s="3"/>
      <c r="W13" s="3"/>
      <c r="X13" s="5"/>
      <c r="Y13" s="3"/>
      <c r="Z13" s="3"/>
      <c r="AA13" s="5"/>
      <c r="AB13" s="3"/>
      <c r="AC13" s="3"/>
      <c r="AD13" s="5"/>
      <c r="AE13" s="3"/>
      <c r="AF13" s="3"/>
      <c r="AG13" s="5"/>
      <c r="AH13" s="3"/>
      <c r="AI13" s="3"/>
      <c r="AJ13" s="5"/>
      <c r="AK13" s="3"/>
      <c r="AL13" s="3"/>
      <c r="AM13" s="5"/>
      <c r="AN13" s="3"/>
      <c r="AO13" s="3"/>
      <c r="AP13" s="5"/>
      <c r="AQ13" s="3"/>
      <c r="AR13" s="3"/>
      <c r="AS13" s="5"/>
      <c r="AT13" s="3"/>
      <c r="AU13" s="3"/>
      <c r="AV13" s="5"/>
      <c r="AW13" s="2"/>
      <c r="AX13" s="2"/>
      <c r="AY13" s="6"/>
      <c r="AZ13" s="3"/>
      <c r="BA13" s="3"/>
      <c r="BB13" s="5"/>
      <c r="BC13" s="3"/>
      <c r="BD13" s="3"/>
      <c r="BE13" s="5"/>
      <c r="BF13" s="3"/>
      <c r="BG13" s="3"/>
      <c r="BH13" s="5"/>
      <c r="BI13" s="3"/>
      <c r="BJ13" s="3"/>
      <c r="BK13" s="5"/>
      <c r="BL13" s="3"/>
      <c r="BM13" s="3"/>
      <c r="BN13" s="5"/>
      <c r="BO13" s="3"/>
      <c r="BP13" s="3"/>
      <c r="BQ13" s="5"/>
      <c r="BR13" s="3"/>
      <c r="BS13" s="3"/>
      <c r="BT13" s="5"/>
      <c r="BU13" s="3"/>
      <c r="BV13" s="3"/>
      <c r="BW13" s="5"/>
      <c r="BX13" s="3"/>
      <c r="BY13" s="3"/>
      <c r="BZ13" s="5"/>
      <c r="CA13" s="3"/>
      <c r="CB13" s="3"/>
      <c r="CC13" s="5"/>
      <c r="CD13" s="3"/>
      <c r="CE13" s="3"/>
      <c r="CF13" s="5"/>
      <c r="CG13" s="3"/>
      <c r="CH13" s="3"/>
      <c r="CI13" s="5"/>
      <c r="CJ13" s="10"/>
      <c r="CK13" s="10"/>
    </row>
    <row r="14" spans="1:174" ht="38.25" customHeight="1" x14ac:dyDescent="0.25">
      <c r="E14" s="17"/>
    </row>
    <row r="15" spans="1:174" ht="38.25" customHeight="1" x14ac:dyDescent="0.25">
      <c r="A15" t="s">
        <v>273</v>
      </c>
      <c r="E15" s="17"/>
    </row>
    <row r="16" spans="1:174" x14ac:dyDescent="0.25">
      <c r="E16" s="17"/>
    </row>
    <row r="17" spans="5:5" x14ac:dyDescent="0.25">
      <c r="E17" s="17"/>
    </row>
    <row r="18" spans="5:5" x14ac:dyDescent="0.25">
      <c r="E18" s="17"/>
    </row>
    <row r="19" spans="5:5" x14ac:dyDescent="0.25">
      <c r="E19" s="17"/>
    </row>
  </sheetData>
  <autoFilter ref="A7:CJ15" xr:uid="{00000000-0009-0000-0000-000000000000}"/>
  <mergeCells count="79">
    <mergeCell ref="AH6:AJ6"/>
    <mergeCell ref="D6:E6"/>
    <mergeCell ref="F6:I6"/>
    <mergeCell ref="J6:L6"/>
    <mergeCell ref="M6:O6"/>
    <mergeCell ref="P6:R6"/>
    <mergeCell ref="CG6:CI6"/>
    <mergeCell ref="CJ6:CK6"/>
    <mergeCell ref="BC6:BE6"/>
    <mergeCell ref="BF6:BH6"/>
    <mergeCell ref="BI6:BK6"/>
    <mergeCell ref="BL6:BN6"/>
    <mergeCell ref="BO6:BQ6"/>
    <mergeCell ref="BR6:BT6"/>
    <mergeCell ref="S6:U6"/>
    <mergeCell ref="V6:X6"/>
    <mergeCell ref="Y6:AA6"/>
    <mergeCell ref="AB6:AD6"/>
    <mergeCell ref="AE6:AG6"/>
    <mergeCell ref="BU6:BW6"/>
    <mergeCell ref="BX6:BZ6"/>
    <mergeCell ref="CA6:CC6"/>
    <mergeCell ref="CD6:CF6"/>
    <mergeCell ref="AK6:AM6"/>
    <mergeCell ref="AN6:AP6"/>
    <mergeCell ref="AQ6:AS6"/>
    <mergeCell ref="AT6:AV6"/>
    <mergeCell ref="AW6:AY6"/>
    <mergeCell ref="AZ6:BB6"/>
    <mergeCell ref="A8:A11"/>
    <mergeCell ref="B8:B11"/>
    <mergeCell ref="C8:C11"/>
    <mergeCell ref="D8:D11"/>
    <mergeCell ref="E8:E11"/>
    <mergeCell ref="S10:S11"/>
    <mergeCell ref="F8:F11"/>
    <mergeCell ref="G8:G11"/>
    <mergeCell ref="H8:H11"/>
    <mergeCell ref="AW8:AY8"/>
    <mergeCell ref="AW9:AY9"/>
    <mergeCell ref="I10:I11"/>
    <mergeCell ref="J10:J11"/>
    <mergeCell ref="K10:K11"/>
    <mergeCell ref="L10:L11"/>
    <mergeCell ref="M10:M11"/>
    <mergeCell ref="N10:N11"/>
    <mergeCell ref="O10:O11"/>
    <mergeCell ref="P10:P11"/>
    <mergeCell ref="Q10:Q11"/>
    <mergeCell ref="R10:R11"/>
    <mergeCell ref="AE10:AE11"/>
    <mergeCell ref="T10:T11"/>
    <mergeCell ref="U10:U11"/>
    <mergeCell ref="V10:V11"/>
    <mergeCell ref="W10:W11"/>
    <mergeCell ref="X10:X11"/>
    <mergeCell ref="Y10:Y11"/>
    <mergeCell ref="Z10:Z11"/>
    <mergeCell ref="AA10:AA11"/>
    <mergeCell ref="AB10:AB11"/>
    <mergeCell ref="AC10:AC11"/>
    <mergeCell ref="AD10:AD11"/>
    <mergeCell ref="AQ10:AQ11"/>
    <mergeCell ref="AF10:AF11"/>
    <mergeCell ref="AG10:AG11"/>
    <mergeCell ref="AH10:AH11"/>
    <mergeCell ref="AI10:AI11"/>
    <mergeCell ref="AJ10:AJ11"/>
    <mergeCell ref="AK10:AK11"/>
    <mergeCell ref="AL10:AL11"/>
    <mergeCell ref="AM10:AM11"/>
    <mergeCell ref="AN10:AN11"/>
    <mergeCell ref="AO10:AO11"/>
    <mergeCell ref="AP10:AP11"/>
    <mergeCell ref="AR10:AR11"/>
    <mergeCell ref="AS10:AS11"/>
    <mergeCell ref="AT10:AT11"/>
    <mergeCell ref="AU10:AU11"/>
    <mergeCell ref="AV10:AV11"/>
  </mergeCells>
  <conditionalFormatting sqref="BZ10:BZ12">
    <cfRule type="duplicateValues" dxfId="2" priority="3"/>
  </conditionalFormatting>
  <conditionalFormatting sqref="BQ10:BQ12">
    <cfRule type="duplicateValues" dxfId="1" priority="2"/>
  </conditionalFormatting>
  <conditionalFormatting sqref="CI10:CI12">
    <cfRule type="duplicateValues" dxfId="0" priority="1"/>
  </conditionalFormatting>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88FFD-7754-4353-88C6-2EC1C1705CBD}">
  <sheetPr>
    <tabColor theme="2" tint="-0.749992370372631"/>
  </sheetPr>
  <dimension ref="A1:EE19"/>
  <sheetViews>
    <sheetView showGridLines="0" zoomScale="80" zoomScaleNormal="80" workbookViewId="0">
      <selection activeCell="C8" sqref="C8:C9"/>
    </sheetView>
  </sheetViews>
  <sheetFormatPr baseColWidth="10" defaultColWidth="11.42578125" defaultRowHeight="15" x14ac:dyDescent="0.25"/>
  <cols>
    <col min="1" max="1" width="45.42578125" customWidth="1"/>
    <col min="2" max="2" width="45.7109375" bestFit="1" customWidth="1"/>
    <col min="3" max="3" width="19.42578125" style="3" customWidth="1"/>
    <col min="4" max="4" width="17.7109375" style="3" customWidth="1"/>
    <col min="5" max="5" width="43" style="3" bestFit="1" customWidth="1"/>
    <col min="6" max="6" width="15.5703125" style="3" bestFit="1" customWidth="1"/>
    <col min="7" max="7" width="45.7109375" style="3" bestFit="1" customWidth="1"/>
    <col min="8" max="8" width="19.42578125" style="1" customWidth="1"/>
    <col min="9" max="9" width="15.5703125" style="1" customWidth="1"/>
    <col min="10" max="11" width="45.7109375" style="3" bestFit="1" customWidth="1"/>
    <col min="12" max="12" width="17.7109375" style="5" bestFit="1" customWidth="1"/>
    <col min="13" max="13" width="15.28515625" style="3" customWidth="1"/>
    <col min="14" max="14" width="23.42578125" style="64" customWidth="1"/>
    <col min="15" max="15" width="17.7109375" style="5" bestFit="1" customWidth="1"/>
    <col min="16" max="16" width="15.28515625" style="3" customWidth="1"/>
    <col min="17" max="17" width="23.42578125" style="64" customWidth="1"/>
    <col min="18" max="18" width="17.7109375" style="5" bestFit="1" customWidth="1"/>
    <col min="19" max="19" width="15.28515625" style="3" customWidth="1"/>
    <col min="20" max="20" width="23.42578125" style="64" customWidth="1"/>
    <col min="21" max="21" width="17.7109375" style="5" bestFit="1" customWidth="1"/>
    <col min="22" max="48" width="17.7109375" style="5" customWidth="1"/>
    <col min="49" max="49" width="30.140625" style="10" bestFit="1" customWidth="1"/>
    <col min="50" max="50" width="45.7109375" style="10" bestFit="1" customWidth="1"/>
    <col min="51" max="135" width="11.42578125" style="7"/>
  </cols>
  <sheetData>
    <row r="1" spans="1:135" x14ac:dyDescent="0.25">
      <c r="H1"/>
      <c r="I1"/>
    </row>
    <row r="2" spans="1:135" x14ac:dyDescent="0.25">
      <c r="H2"/>
      <c r="I2"/>
    </row>
    <row r="3" spans="1:135" x14ac:dyDescent="0.25">
      <c r="H3"/>
      <c r="I3"/>
    </row>
    <row r="4" spans="1:135" x14ac:dyDescent="0.25">
      <c r="H4"/>
      <c r="I4"/>
    </row>
    <row r="5" spans="1:135" x14ac:dyDescent="0.25">
      <c r="H5"/>
      <c r="I5"/>
      <c r="N5" s="65"/>
      <c r="Q5" s="65"/>
      <c r="T5" s="65"/>
    </row>
    <row r="6" spans="1:135" s="9" customFormat="1" ht="30" x14ac:dyDescent="0.2">
      <c r="A6" s="252" t="s">
        <v>59</v>
      </c>
      <c r="B6" s="252" t="s">
        <v>60</v>
      </c>
      <c r="C6" s="318"/>
      <c r="D6" s="358" t="s">
        <v>61</v>
      </c>
      <c r="E6" s="359"/>
      <c r="F6" s="358" t="s">
        <v>62</v>
      </c>
      <c r="G6" s="360"/>
      <c r="H6" s="360"/>
      <c r="I6" s="359"/>
      <c r="J6" s="361" t="s">
        <v>63</v>
      </c>
      <c r="K6" s="361"/>
      <c r="L6" s="361"/>
      <c r="M6" s="362" t="s">
        <v>2</v>
      </c>
      <c r="N6" s="363"/>
      <c r="O6" s="364"/>
      <c r="P6" s="362" t="s">
        <v>3</v>
      </c>
      <c r="Q6" s="363"/>
      <c r="R6" s="364"/>
      <c r="S6" s="362" t="s">
        <v>4</v>
      </c>
      <c r="T6" s="363"/>
      <c r="U6" s="364"/>
      <c r="V6" s="362" t="s">
        <v>830</v>
      </c>
      <c r="W6" s="363"/>
      <c r="X6" s="364"/>
      <c r="Y6" s="362" t="s">
        <v>831</v>
      </c>
      <c r="Z6" s="363"/>
      <c r="AA6" s="364"/>
      <c r="AB6" s="362" t="s">
        <v>832</v>
      </c>
      <c r="AC6" s="363"/>
      <c r="AD6" s="363"/>
      <c r="AE6" s="365" t="s">
        <v>1026</v>
      </c>
      <c r="AF6" s="365"/>
      <c r="AG6" s="365"/>
      <c r="AH6" s="365" t="s">
        <v>1027</v>
      </c>
      <c r="AI6" s="365"/>
      <c r="AJ6" s="365"/>
      <c r="AK6" s="365" t="s">
        <v>1028</v>
      </c>
      <c r="AL6" s="365"/>
      <c r="AM6" s="365"/>
      <c r="AN6" s="365" t="s">
        <v>1029</v>
      </c>
      <c r="AO6" s="365"/>
      <c r="AP6" s="365"/>
      <c r="AQ6" s="365" t="s">
        <v>1030</v>
      </c>
      <c r="AR6" s="365"/>
      <c r="AS6" s="365"/>
      <c r="AT6" s="365" t="s">
        <v>1701</v>
      </c>
      <c r="AU6" s="365"/>
      <c r="AV6" s="365"/>
      <c r="AW6" s="359" t="s">
        <v>65</v>
      </c>
      <c r="AX6" s="361"/>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row>
    <row r="7" spans="1:135" s="9" customFormat="1" ht="49.5" customHeight="1" x14ac:dyDescent="0.2">
      <c r="A7" s="252" t="s">
        <v>66</v>
      </c>
      <c r="B7" s="252" t="s">
        <v>67</v>
      </c>
      <c r="C7" s="252" t="s">
        <v>68</v>
      </c>
      <c r="D7" s="252" t="s">
        <v>69</v>
      </c>
      <c r="E7" s="252" t="s">
        <v>70</v>
      </c>
      <c r="F7" s="252" t="s">
        <v>71</v>
      </c>
      <c r="G7" s="252" t="s">
        <v>72</v>
      </c>
      <c r="H7" s="12" t="s">
        <v>73</v>
      </c>
      <c r="I7" s="12" t="s">
        <v>74</v>
      </c>
      <c r="J7" s="252" t="s">
        <v>63</v>
      </c>
      <c r="K7" s="252" t="s">
        <v>75</v>
      </c>
      <c r="L7" s="252" t="s">
        <v>76</v>
      </c>
      <c r="M7" s="252" t="s">
        <v>77</v>
      </c>
      <c r="N7" s="66" t="s">
        <v>78</v>
      </c>
      <c r="O7" s="252" t="s">
        <v>79</v>
      </c>
      <c r="P7" s="252" t="s">
        <v>77</v>
      </c>
      <c r="Q7" s="66" t="s">
        <v>78</v>
      </c>
      <c r="R7" s="252" t="s">
        <v>79</v>
      </c>
      <c r="S7" s="252" t="s">
        <v>77</v>
      </c>
      <c r="T7" s="66" t="s">
        <v>78</v>
      </c>
      <c r="U7" s="252" t="s">
        <v>79</v>
      </c>
      <c r="V7" s="252" t="s">
        <v>77</v>
      </c>
      <c r="W7" s="66" t="s">
        <v>78</v>
      </c>
      <c r="X7" s="252" t="s">
        <v>79</v>
      </c>
      <c r="Y7" s="252" t="s">
        <v>77</v>
      </c>
      <c r="Z7" s="66" t="s">
        <v>78</v>
      </c>
      <c r="AA7" s="252" t="s">
        <v>79</v>
      </c>
      <c r="AB7" s="252" t="s">
        <v>77</v>
      </c>
      <c r="AC7" s="66" t="s">
        <v>78</v>
      </c>
      <c r="AD7" s="252" t="s">
        <v>79</v>
      </c>
      <c r="AE7" s="252" t="s">
        <v>77</v>
      </c>
      <c r="AF7" s="66" t="s">
        <v>78</v>
      </c>
      <c r="AG7" s="252" t="s">
        <v>79</v>
      </c>
      <c r="AH7" s="252" t="s">
        <v>77</v>
      </c>
      <c r="AI7" s="66" t="s">
        <v>78</v>
      </c>
      <c r="AJ7" s="252" t="s">
        <v>79</v>
      </c>
      <c r="AK7" s="252" t="s">
        <v>77</v>
      </c>
      <c r="AL7" s="66" t="s">
        <v>78</v>
      </c>
      <c r="AM7" s="252" t="s">
        <v>79</v>
      </c>
      <c r="AN7" s="252" t="s">
        <v>77</v>
      </c>
      <c r="AO7" s="66" t="s">
        <v>78</v>
      </c>
      <c r="AP7" s="252" t="s">
        <v>79</v>
      </c>
      <c r="AQ7" s="252" t="s">
        <v>77</v>
      </c>
      <c r="AR7" s="66" t="s">
        <v>78</v>
      </c>
      <c r="AS7" s="252" t="s">
        <v>79</v>
      </c>
      <c r="AT7" s="252" t="s">
        <v>77</v>
      </c>
      <c r="AU7" s="66" t="s">
        <v>78</v>
      </c>
      <c r="AV7" s="252" t="s">
        <v>79</v>
      </c>
      <c r="AW7" s="252" t="s">
        <v>82</v>
      </c>
      <c r="AX7" s="252" t="s">
        <v>83</v>
      </c>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row>
    <row r="8" spans="1:135" s="4" customFormat="1" ht="33.75" customHeight="1" x14ac:dyDescent="0.2">
      <c r="A8" s="368" t="s">
        <v>84</v>
      </c>
      <c r="B8" s="368" t="s">
        <v>229</v>
      </c>
      <c r="C8" s="368" t="s">
        <v>11</v>
      </c>
      <c r="D8" s="368" t="s">
        <v>785</v>
      </c>
      <c r="E8" s="373" t="s">
        <v>785</v>
      </c>
      <c r="F8" s="251" t="s">
        <v>88</v>
      </c>
      <c r="G8" s="14" t="s">
        <v>276</v>
      </c>
      <c r="H8" s="374">
        <f>+I8+I9</f>
        <v>294365663</v>
      </c>
      <c r="I8" s="13">
        <v>100000000</v>
      </c>
      <c r="J8" s="369" t="s">
        <v>786</v>
      </c>
      <c r="K8" s="369" t="s">
        <v>145</v>
      </c>
      <c r="L8" s="371">
        <v>1</v>
      </c>
      <c r="M8" s="366">
        <v>0</v>
      </c>
      <c r="N8" s="366">
        <v>0</v>
      </c>
      <c r="O8" s="366" t="s">
        <v>346</v>
      </c>
      <c r="P8" s="366">
        <v>0</v>
      </c>
      <c r="Q8" s="366">
        <v>0</v>
      </c>
      <c r="R8" s="366" t="s">
        <v>346</v>
      </c>
      <c r="S8" s="366">
        <v>0</v>
      </c>
      <c r="T8" s="366">
        <v>0</v>
      </c>
      <c r="U8" s="366" t="s">
        <v>346</v>
      </c>
      <c r="V8" s="366">
        <v>0</v>
      </c>
      <c r="W8" s="366">
        <v>0</v>
      </c>
      <c r="X8" s="366" t="s">
        <v>346</v>
      </c>
      <c r="Y8" s="366">
        <v>0</v>
      </c>
      <c r="Z8" s="366">
        <v>0</v>
      </c>
      <c r="AA8" s="366" t="s">
        <v>346</v>
      </c>
      <c r="AB8" s="366">
        <v>0.99</v>
      </c>
      <c r="AC8" s="366">
        <v>0.99</v>
      </c>
      <c r="AD8" s="366" t="s">
        <v>1218</v>
      </c>
      <c r="AE8" s="366">
        <v>0.99</v>
      </c>
      <c r="AF8" s="366">
        <v>0.99</v>
      </c>
      <c r="AG8" s="366" t="s">
        <v>346</v>
      </c>
      <c r="AH8" s="366">
        <v>0.99</v>
      </c>
      <c r="AI8" s="366">
        <v>0.99</v>
      </c>
      <c r="AJ8" s="366" t="s">
        <v>346</v>
      </c>
      <c r="AK8" s="366">
        <v>0.99</v>
      </c>
      <c r="AL8" s="366">
        <v>0.99</v>
      </c>
      <c r="AM8" s="366" t="s">
        <v>346</v>
      </c>
      <c r="AN8" s="366">
        <v>0.99</v>
      </c>
      <c r="AO8" s="366">
        <v>0.99</v>
      </c>
      <c r="AP8" s="366" t="s">
        <v>346</v>
      </c>
      <c r="AQ8" s="366">
        <v>0.99</v>
      </c>
      <c r="AR8" s="366">
        <v>0.99</v>
      </c>
      <c r="AS8" s="366" t="s">
        <v>346</v>
      </c>
      <c r="AT8" s="366">
        <v>0.98</v>
      </c>
      <c r="AU8" s="366">
        <v>0.98</v>
      </c>
      <c r="AV8" s="366" t="s">
        <v>1721</v>
      </c>
      <c r="AW8" s="376" t="s">
        <v>106</v>
      </c>
      <c r="AX8" s="376" t="s">
        <v>107</v>
      </c>
    </row>
    <row r="9" spans="1:135" s="4" customFormat="1" ht="33.75" customHeight="1" x14ac:dyDescent="0.2">
      <c r="A9" s="368"/>
      <c r="B9" s="368"/>
      <c r="C9" s="368"/>
      <c r="D9" s="368"/>
      <c r="E9" s="373"/>
      <c r="F9" s="251" t="s">
        <v>610</v>
      </c>
      <c r="G9" s="251" t="s">
        <v>611</v>
      </c>
      <c r="H9" s="375"/>
      <c r="I9" s="13">
        <v>194365663</v>
      </c>
      <c r="J9" s="370"/>
      <c r="K9" s="370"/>
      <c r="L9" s="372"/>
      <c r="M9" s="367"/>
      <c r="N9" s="367"/>
      <c r="O9" s="367"/>
      <c r="P9" s="367"/>
      <c r="Q9" s="367"/>
      <c r="R9" s="367"/>
      <c r="S9" s="367"/>
      <c r="T9" s="367"/>
      <c r="U9" s="367"/>
      <c r="V9" s="367"/>
      <c r="W9" s="367"/>
      <c r="X9" s="367"/>
      <c r="Y9" s="367"/>
      <c r="Z9" s="367"/>
      <c r="AA9" s="367"/>
      <c r="AB9" s="367"/>
      <c r="AC9" s="367"/>
      <c r="AD9" s="367"/>
      <c r="AE9" s="367"/>
      <c r="AF9" s="367"/>
      <c r="AG9" s="367"/>
      <c r="AH9" s="367"/>
      <c r="AI9" s="367"/>
      <c r="AJ9" s="367"/>
      <c r="AK9" s="367"/>
      <c r="AL9" s="367"/>
      <c r="AM9" s="367"/>
      <c r="AN9" s="367"/>
      <c r="AO9" s="367"/>
      <c r="AP9" s="367"/>
      <c r="AQ9" s="367"/>
      <c r="AR9" s="367"/>
      <c r="AS9" s="367"/>
      <c r="AT9" s="367"/>
      <c r="AU9" s="367"/>
      <c r="AV9" s="367"/>
      <c r="AW9" s="377"/>
      <c r="AX9" s="377"/>
    </row>
    <row r="10" spans="1:135" ht="75" x14ac:dyDescent="0.25">
      <c r="M10" s="56" t="s">
        <v>153</v>
      </c>
      <c r="N10" s="67">
        <f>AVERAGE(N8:N9)</f>
        <v>0</v>
      </c>
      <c r="P10" s="56" t="s">
        <v>153</v>
      </c>
      <c r="Q10" s="67">
        <f>AVERAGE(Q8:Q9)</f>
        <v>0</v>
      </c>
      <c r="S10" s="56" t="s">
        <v>153</v>
      </c>
      <c r="T10" s="67">
        <f>AVERAGE(T8:T9)</f>
        <v>0</v>
      </c>
      <c r="V10" s="56" t="s">
        <v>153</v>
      </c>
      <c r="W10" s="67">
        <f>AVERAGE(W8:W9)</f>
        <v>0</v>
      </c>
      <c r="Y10" s="56" t="s">
        <v>153</v>
      </c>
      <c r="Z10" s="67">
        <f>AVERAGE(Z8:Z9)</f>
        <v>0</v>
      </c>
      <c r="AB10" s="56" t="s">
        <v>153</v>
      </c>
      <c r="AC10" s="67">
        <f>AVERAGE(AC8:AC9)</f>
        <v>0.99</v>
      </c>
      <c r="AE10" s="56" t="s">
        <v>153</v>
      </c>
      <c r="AF10" s="67">
        <f>AVERAGE(AF8:AF9)</f>
        <v>0.99</v>
      </c>
      <c r="AH10" s="56" t="s">
        <v>153</v>
      </c>
      <c r="AI10" s="67">
        <f>AVERAGE(AI8:AI9)</f>
        <v>0.99</v>
      </c>
      <c r="AK10" s="56" t="s">
        <v>153</v>
      </c>
      <c r="AL10" s="67">
        <f>AVERAGE(AL8:AL9)</f>
        <v>0.99</v>
      </c>
      <c r="AN10" s="56" t="s">
        <v>153</v>
      </c>
      <c r="AO10" s="67">
        <f>AVERAGE(AO8:AO9)</f>
        <v>0.99</v>
      </c>
      <c r="AQ10" s="56" t="s">
        <v>153</v>
      </c>
      <c r="AR10" s="67">
        <f>AVERAGE(AR8:AR9)</f>
        <v>0.99</v>
      </c>
      <c r="AT10" s="56" t="s">
        <v>153</v>
      </c>
      <c r="AU10" s="67">
        <f>AVERAGE(AU8:AU9)</f>
        <v>0.98</v>
      </c>
      <c r="AW10" s="7"/>
      <c r="AX10" s="7"/>
      <c r="EB10"/>
      <c r="EC10"/>
      <c r="ED10"/>
      <c r="EE10"/>
    </row>
    <row r="11" spans="1:135" s="4" customFormat="1" ht="38.25" customHeight="1" x14ac:dyDescent="0.25">
      <c r="A11"/>
      <c r="B11"/>
      <c r="C11" s="3"/>
      <c r="D11" s="3"/>
      <c r="E11" s="17"/>
      <c r="F11" s="3"/>
      <c r="G11" s="3"/>
      <c r="H11" s="1"/>
      <c r="I11" s="1"/>
      <c r="J11" s="3"/>
      <c r="K11" s="3"/>
      <c r="L11" s="5"/>
      <c r="M11" s="3"/>
      <c r="N11" s="64"/>
      <c r="O11" s="5"/>
      <c r="P11" s="3"/>
      <c r="Q11" s="64"/>
      <c r="R11" s="5"/>
      <c r="S11" s="3"/>
      <c r="T11" s="64"/>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10"/>
      <c r="AX11" s="10"/>
    </row>
    <row r="12" spans="1:135" ht="38.25" customHeight="1" x14ac:dyDescent="0.25">
      <c r="E12" s="17"/>
    </row>
    <row r="13" spans="1:135" ht="38.25" customHeight="1" x14ac:dyDescent="0.25">
      <c r="A13" t="s">
        <v>273</v>
      </c>
      <c r="E13" s="17"/>
    </row>
    <row r="14" spans="1:135" x14ac:dyDescent="0.25">
      <c r="E14" s="17"/>
    </row>
    <row r="15" spans="1:135" x14ac:dyDescent="0.25">
      <c r="E15" s="17"/>
    </row>
    <row r="16" spans="1:135" x14ac:dyDescent="0.25">
      <c r="E16" s="17"/>
    </row>
    <row r="17" spans="5:5" x14ac:dyDescent="0.25">
      <c r="E17" s="17"/>
    </row>
    <row r="18" spans="5:5" x14ac:dyDescent="0.25">
      <c r="E18" s="17"/>
    </row>
    <row r="19" spans="5:5" x14ac:dyDescent="0.25">
      <c r="E19" s="17"/>
    </row>
  </sheetData>
  <autoFilter ref="A7:AN13" xr:uid="{00000000-0009-0000-0000-000000000000}"/>
  <mergeCells count="63">
    <mergeCell ref="AQ6:AS6"/>
    <mergeCell ref="AT6:AV6"/>
    <mergeCell ref="AW6:AX6"/>
    <mergeCell ref="AP8:AP9"/>
    <mergeCell ref="AQ8:AQ9"/>
    <mergeCell ref="AR8:AR9"/>
    <mergeCell ref="AS8:AS9"/>
    <mergeCell ref="AT8:AT9"/>
    <mergeCell ref="AU8:AU9"/>
    <mergeCell ref="AV8:AV9"/>
    <mergeCell ref="AW8:AW9"/>
    <mergeCell ref="AX8:AX9"/>
    <mergeCell ref="AN6:AP6"/>
    <mergeCell ref="AN8:AN9"/>
    <mergeCell ref="AO8:AO9"/>
    <mergeCell ref="S8:S9"/>
    <mergeCell ref="T8:T9"/>
    <mergeCell ref="U8:U9"/>
    <mergeCell ref="Z8:Z9"/>
    <mergeCell ref="M8:M9"/>
    <mergeCell ref="N8:N9"/>
    <mergeCell ref="O8:O9"/>
    <mergeCell ref="P8:P9"/>
    <mergeCell ref="Q8:Q9"/>
    <mergeCell ref="L8:L9"/>
    <mergeCell ref="E8:E9"/>
    <mergeCell ref="H8:H9"/>
    <mergeCell ref="J8:J9"/>
    <mergeCell ref="R8:R9"/>
    <mergeCell ref="A8:A9"/>
    <mergeCell ref="B8:B9"/>
    <mergeCell ref="C8:C9"/>
    <mergeCell ref="D8:D9"/>
    <mergeCell ref="K8:K9"/>
    <mergeCell ref="V8:V9"/>
    <mergeCell ref="W8:W9"/>
    <mergeCell ref="X8:X9"/>
    <mergeCell ref="Y8:Y9"/>
    <mergeCell ref="AB6:AD6"/>
    <mergeCell ref="V6:X6"/>
    <mergeCell ref="Y6:AA6"/>
    <mergeCell ref="AA8:AA9"/>
    <mergeCell ref="AB8:AB9"/>
    <mergeCell ref="AC8:AC9"/>
    <mergeCell ref="AD8:AD9"/>
    <mergeCell ref="AM8:AM9"/>
    <mergeCell ref="AF8:AF9"/>
    <mergeCell ref="AE8:AE9"/>
    <mergeCell ref="AK8:AK9"/>
    <mergeCell ref="AL8:AL9"/>
    <mergeCell ref="AG8:AG9"/>
    <mergeCell ref="AJ8:AJ9"/>
    <mergeCell ref="AI8:AI9"/>
    <mergeCell ref="AH8:AH9"/>
    <mergeCell ref="D6:E6"/>
    <mergeCell ref="F6:I6"/>
    <mergeCell ref="J6:L6"/>
    <mergeCell ref="M6:O6"/>
    <mergeCell ref="AK6:AM6"/>
    <mergeCell ref="AE6:AG6"/>
    <mergeCell ref="AH6:AJ6"/>
    <mergeCell ref="P6:R6"/>
    <mergeCell ref="S6:U6"/>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1A8CD-5B31-4306-ABDA-38EF01D8D33F}">
  <sheetPr>
    <tabColor theme="5" tint="-0.249977111117893"/>
  </sheetPr>
  <dimension ref="A1:FR32"/>
  <sheetViews>
    <sheetView showGridLines="0" zoomScale="80" zoomScaleNormal="80" workbookViewId="0">
      <selection activeCell="C8" sqref="C8:C18"/>
    </sheetView>
  </sheetViews>
  <sheetFormatPr baseColWidth="10" defaultColWidth="11.42578125" defaultRowHeight="15" x14ac:dyDescent="0.25"/>
  <cols>
    <col min="1" max="1" width="45.42578125" customWidth="1"/>
    <col min="2" max="2" width="45.7109375" bestFit="1" customWidth="1"/>
    <col min="3" max="3" width="19.42578125" style="3" customWidth="1"/>
    <col min="4" max="4" width="15.140625" style="3" bestFit="1" customWidth="1"/>
    <col min="5" max="5" width="43" style="3" bestFit="1" customWidth="1"/>
    <col min="6" max="6" width="15.5703125" style="3" bestFit="1" customWidth="1"/>
    <col min="7" max="7" width="45.7109375" style="3" bestFit="1" customWidth="1"/>
    <col min="8" max="8" width="19.42578125" style="1" customWidth="1"/>
    <col min="9" max="9" width="15.5703125" style="1" customWidth="1"/>
    <col min="10" max="11" width="45.7109375" style="3" bestFit="1" customWidth="1"/>
    <col min="12" max="12" width="17.7109375" style="5" bestFit="1" customWidth="1"/>
    <col min="13" max="13" width="22.42578125" style="3" customWidth="1"/>
    <col min="14" max="14" width="23.42578125" style="3" customWidth="1"/>
    <col min="15" max="15" width="30.42578125" style="5" customWidth="1"/>
    <col min="16" max="16" width="15.28515625" style="3" customWidth="1"/>
    <col min="17" max="17" width="23.42578125" style="3" customWidth="1"/>
    <col min="18" max="18" width="41.5703125" style="5" customWidth="1"/>
    <col min="19" max="19" width="15.28515625" style="3" customWidth="1"/>
    <col min="20" max="20" width="23.42578125" style="3" customWidth="1"/>
    <col min="21" max="21" width="41.5703125" style="5" customWidth="1"/>
    <col min="22" max="22" width="26.42578125" style="5" bestFit="1" customWidth="1"/>
    <col min="23" max="23" width="25.7109375" style="5" customWidth="1"/>
    <col min="24" max="24" width="41.5703125" style="5" customWidth="1"/>
    <col min="25" max="25" width="26.42578125" style="5" bestFit="1" customWidth="1"/>
    <col min="26" max="26" width="21.42578125" style="5" customWidth="1"/>
    <col min="27" max="27" width="41.5703125" style="5" customWidth="1"/>
    <col min="28" max="28" width="26.42578125" style="5" bestFit="1" customWidth="1"/>
    <col min="29" max="30" width="41.5703125" style="5" customWidth="1"/>
    <col min="31" max="31" width="18.5703125" style="5" customWidth="1"/>
    <col min="32" max="32" width="16.28515625" style="5" customWidth="1"/>
    <col min="33" max="33" width="32.140625" style="5" customWidth="1"/>
    <col min="34" max="35" width="17.7109375" style="5" customWidth="1"/>
    <col min="36" max="39" width="38.140625" style="5" customWidth="1"/>
    <col min="40" max="40" width="26.42578125" style="5" bestFit="1" customWidth="1"/>
    <col min="41" max="41" width="17.28515625" style="5" customWidth="1"/>
    <col min="42" max="42" width="45.140625" style="5" customWidth="1"/>
    <col min="43" max="43" width="26.42578125" style="5" bestFit="1" customWidth="1"/>
    <col min="44" max="44" width="25.5703125" style="5" customWidth="1"/>
    <col min="45" max="45" width="46.5703125" style="5" customWidth="1"/>
    <col min="46" max="46" width="19.5703125" style="5" customWidth="1"/>
    <col min="47" max="47" width="23" style="5" customWidth="1"/>
    <col min="48" max="48" width="36.85546875" style="5" customWidth="1"/>
    <col min="49" max="50" width="45.7109375" style="2" bestFit="1" customWidth="1"/>
    <col min="51" max="51" width="15.28515625" style="6" bestFit="1" customWidth="1"/>
    <col min="52" max="52" width="15.28515625" style="3" customWidth="1"/>
    <col min="53" max="53" width="23.42578125" style="3" customWidth="1"/>
    <col min="54" max="54" width="36.28515625" style="5" customWidth="1"/>
    <col min="55" max="55" width="15.28515625" style="3" customWidth="1"/>
    <col min="56" max="56" width="23.42578125" style="3" customWidth="1"/>
    <col min="57" max="57" width="38.7109375" style="5" customWidth="1"/>
    <col min="58" max="58" width="15.28515625" style="3" customWidth="1"/>
    <col min="59" max="59" width="23.42578125" style="3" customWidth="1"/>
    <col min="60" max="60" width="37.42578125" style="5" customWidth="1"/>
    <col min="61" max="61" width="18.7109375" style="5" customWidth="1"/>
    <col min="62" max="62" width="23.85546875" style="5" customWidth="1"/>
    <col min="63" max="63" width="37.42578125" style="5" customWidth="1"/>
    <col min="64" max="64" width="16.140625" style="5" customWidth="1"/>
    <col min="65" max="65" width="20.28515625" style="5" customWidth="1"/>
    <col min="66" max="66" width="37.42578125" style="5" customWidth="1"/>
    <col min="67" max="67" width="17.5703125" style="5" customWidth="1"/>
    <col min="68" max="68" width="17.28515625" style="5" customWidth="1"/>
    <col min="69" max="78" width="26" style="5" customWidth="1"/>
    <col min="79" max="79" width="16" style="5" customWidth="1"/>
    <col min="80" max="81" width="26" style="5" customWidth="1"/>
    <col min="82" max="82" width="16" style="5" customWidth="1"/>
    <col min="83" max="84" width="26" style="5" customWidth="1"/>
    <col min="85" max="85" width="14.42578125" style="5" customWidth="1"/>
    <col min="86" max="87" width="26" style="5" customWidth="1"/>
    <col min="88" max="88" width="30.140625" style="10" bestFit="1" customWidth="1"/>
    <col min="89" max="89" width="45.7109375" style="10" bestFit="1" customWidth="1"/>
    <col min="90" max="174" width="11.42578125" style="7"/>
  </cols>
  <sheetData>
    <row r="1" spans="1:174" x14ac:dyDescent="0.25">
      <c r="H1"/>
      <c r="I1"/>
      <c r="AY1" s="111"/>
    </row>
    <row r="2" spans="1:174" x14ac:dyDescent="0.25">
      <c r="H2"/>
      <c r="I2"/>
      <c r="AY2" s="111"/>
    </row>
    <row r="3" spans="1:174" x14ac:dyDescent="0.25">
      <c r="H3"/>
      <c r="I3"/>
      <c r="AY3" s="111"/>
    </row>
    <row r="4" spans="1:174" x14ac:dyDescent="0.25">
      <c r="H4"/>
      <c r="I4"/>
      <c r="AY4" s="111"/>
    </row>
    <row r="5" spans="1:174" x14ac:dyDescent="0.25">
      <c r="H5"/>
      <c r="I5"/>
      <c r="AY5" s="111"/>
    </row>
    <row r="6" spans="1:174" s="9" customFormat="1" ht="30" x14ac:dyDescent="0.2">
      <c r="A6" s="252" t="s">
        <v>59</v>
      </c>
      <c r="B6" s="252" t="s">
        <v>60</v>
      </c>
      <c r="C6" s="318"/>
      <c r="D6" s="358" t="s">
        <v>61</v>
      </c>
      <c r="E6" s="359"/>
      <c r="F6" s="358" t="s">
        <v>62</v>
      </c>
      <c r="G6" s="360"/>
      <c r="H6" s="360"/>
      <c r="I6" s="359"/>
      <c r="J6" s="361" t="s">
        <v>63</v>
      </c>
      <c r="K6" s="361"/>
      <c r="L6" s="361"/>
      <c r="M6" s="362" t="s">
        <v>2</v>
      </c>
      <c r="N6" s="363"/>
      <c r="O6" s="364"/>
      <c r="P6" s="362" t="s">
        <v>3</v>
      </c>
      <c r="Q6" s="363"/>
      <c r="R6" s="364"/>
      <c r="S6" s="362" t="s">
        <v>4</v>
      </c>
      <c r="T6" s="363"/>
      <c r="U6" s="364"/>
      <c r="V6" s="362" t="s">
        <v>830</v>
      </c>
      <c r="W6" s="363"/>
      <c r="X6" s="364"/>
      <c r="Y6" s="362" t="s">
        <v>831</v>
      </c>
      <c r="Z6" s="363"/>
      <c r="AA6" s="364"/>
      <c r="AB6" s="362" t="s">
        <v>832</v>
      </c>
      <c r="AC6" s="363"/>
      <c r="AD6" s="364"/>
      <c r="AE6" s="362" t="s">
        <v>1026</v>
      </c>
      <c r="AF6" s="363"/>
      <c r="AG6" s="364"/>
      <c r="AH6" s="363" t="s">
        <v>1027</v>
      </c>
      <c r="AI6" s="363"/>
      <c r="AJ6" s="364"/>
      <c r="AK6" s="362" t="s">
        <v>1028</v>
      </c>
      <c r="AL6" s="363"/>
      <c r="AM6" s="364"/>
      <c r="AN6" s="362" t="s">
        <v>1029</v>
      </c>
      <c r="AO6" s="363"/>
      <c r="AP6" s="364"/>
      <c r="AQ6" s="363" t="s">
        <v>1030</v>
      </c>
      <c r="AR6" s="363"/>
      <c r="AS6" s="364"/>
      <c r="AT6" s="362" t="s">
        <v>1701</v>
      </c>
      <c r="AU6" s="363"/>
      <c r="AV6" s="364"/>
      <c r="AW6" s="410" t="s">
        <v>64</v>
      </c>
      <c r="AX6" s="410"/>
      <c r="AY6" s="410"/>
      <c r="AZ6" s="387" t="s">
        <v>2</v>
      </c>
      <c r="BA6" s="388"/>
      <c r="BB6" s="389"/>
      <c r="BC6" s="387" t="s">
        <v>3</v>
      </c>
      <c r="BD6" s="388"/>
      <c r="BE6" s="389"/>
      <c r="BF6" s="387" t="s">
        <v>4</v>
      </c>
      <c r="BG6" s="388"/>
      <c r="BH6" s="389"/>
      <c r="BI6" s="384" t="s">
        <v>830</v>
      </c>
      <c r="BJ6" s="385"/>
      <c r="BK6" s="386"/>
      <c r="BL6" s="384" t="s">
        <v>831</v>
      </c>
      <c r="BM6" s="385"/>
      <c r="BN6" s="386"/>
      <c r="BO6" s="384" t="s">
        <v>832</v>
      </c>
      <c r="BP6" s="385"/>
      <c r="BQ6" s="386"/>
      <c r="BR6" s="384" t="s">
        <v>1026</v>
      </c>
      <c r="BS6" s="385"/>
      <c r="BT6" s="385"/>
      <c r="BU6" s="385" t="s">
        <v>1027</v>
      </c>
      <c r="BV6" s="385"/>
      <c r="BW6" s="386"/>
      <c r="BX6" s="384" t="s">
        <v>1028</v>
      </c>
      <c r="BY6" s="385"/>
      <c r="BZ6" s="386"/>
      <c r="CA6" s="384" t="s">
        <v>1029</v>
      </c>
      <c r="CB6" s="385"/>
      <c r="CC6" s="385"/>
      <c r="CD6" s="385" t="s">
        <v>1030</v>
      </c>
      <c r="CE6" s="385"/>
      <c r="CF6" s="386"/>
      <c r="CG6" s="384" t="s">
        <v>1701</v>
      </c>
      <c r="CH6" s="385"/>
      <c r="CI6" s="386"/>
      <c r="CJ6" s="361" t="s">
        <v>65</v>
      </c>
      <c r="CK6" s="361"/>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row>
    <row r="7" spans="1:174" s="9" customFormat="1" ht="49.5" customHeight="1" x14ac:dyDescent="0.2">
      <c r="A7" s="252" t="s">
        <v>66</v>
      </c>
      <c r="B7" s="252" t="s">
        <v>67</v>
      </c>
      <c r="C7" s="252" t="s">
        <v>68</v>
      </c>
      <c r="D7" s="252" t="s">
        <v>69</v>
      </c>
      <c r="E7" s="252" t="s">
        <v>70</v>
      </c>
      <c r="F7" s="252" t="s">
        <v>71</v>
      </c>
      <c r="G7" s="252" t="s">
        <v>72</v>
      </c>
      <c r="H7" s="12" t="s">
        <v>73</v>
      </c>
      <c r="I7" s="12" t="s">
        <v>74</v>
      </c>
      <c r="J7" s="252" t="s">
        <v>63</v>
      </c>
      <c r="K7" s="252" t="s">
        <v>75</v>
      </c>
      <c r="L7" s="252" t="s">
        <v>76</v>
      </c>
      <c r="M7" s="252" t="s">
        <v>77</v>
      </c>
      <c r="N7" s="252" t="s">
        <v>78</v>
      </c>
      <c r="O7" s="252" t="s">
        <v>79</v>
      </c>
      <c r="P7" s="252" t="s">
        <v>77</v>
      </c>
      <c r="Q7" s="252" t="s">
        <v>78</v>
      </c>
      <c r="R7" s="252" t="s">
        <v>79</v>
      </c>
      <c r="S7" s="252" t="s">
        <v>77</v>
      </c>
      <c r="T7" s="252" t="s">
        <v>78</v>
      </c>
      <c r="U7" s="252" t="s">
        <v>79</v>
      </c>
      <c r="V7" s="252" t="s">
        <v>77</v>
      </c>
      <c r="W7" s="252" t="s">
        <v>78</v>
      </c>
      <c r="X7" s="252" t="s">
        <v>79</v>
      </c>
      <c r="Y7" s="252" t="s">
        <v>77</v>
      </c>
      <c r="Z7" s="252" t="s">
        <v>78</v>
      </c>
      <c r="AA7" s="252" t="s">
        <v>79</v>
      </c>
      <c r="AB7" s="252" t="s">
        <v>77</v>
      </c>
      <c r="AC7" s="252" t="s">
        <v>78</v>
      </c>
      <c r="AD7" s="252" t="s">
        <v>79</v>
      </c>
      <c r="AE7" s="252" t="s">
        <v>77</v>
      </c>
      <c r="AF7" s="252" t="s">
        <v>78</v>
      </c>
      <c r="AG7" s="252" t="s">
        <v>79</v>
      </c>
      <c r="AH7" s="252" t="s">
        <v>77</v>
      </c>
      <c r="AI7" s="252" t="s">
        <v>78</v>
      </c>
      <c r="AJ7" s="252" t="s">
        <v>79</v>
      </c>
      <c r="AK7" s="252" t="s">
        <v>77</v>
      </c>
      <c r="AL7" s="252" t="s">
        <v>78</v>
      </c>
      <c r="AM7" s="252" t="s">
        <v>79</v>
      </c>
      <c r="AN7" s="252" t="s">
        <v>77</v>
      </c>
      <c r="AO7" s="252" t="s">
        <v>78</v>
      </c>
      <c r="AP7" s="252" t="s">
        <v>79</v>
      </c>
      <c r="AQ7" s="252" t="s">
        <v>77</v>
      </c>
      <c r="AR7" s="252" t="s">
        <v>78</v>
      </c>
      <c r="AS7" s="252" t="s">
        <v>79</v>
      </c>
      <c r="AT7" s="252" t="s">
        <v>77</v>
      </c>
      <c r="AU7" s="252" t="s">
        <v>78</v>
      </c>
      <c r="AV7" s="252" t="s">
        <v>79</v>
      </c>
      <c r="AW7" s="256" t="s">
        <v>64</v>
      </c>
      <c r="AX7" s="256" t="s">
        <v>80</v>
      </c>
      <c r="AY7" s="256" t="s">
        <v>81</v>
      </c>
      <c r="AZ7" s="256" t="s">
        <v>77</v>
      </c>
      <c r="BA7" s="256" t="s">
        <v>78</v>
      </c>
      <c r="BB7" s="256" t="s">
        <v>79</v>
      </c>
      <c r="BC7" s="256" t="s">
        <v>77</v>
      </c>
      <c r="BD7" s="256" t="s">
        <v>78</v>
      </c>
      <c r="BE7" s="256" t="s">
        <v>79</v>
      </c>
      <c r="BF7" s="256" t="s">
        <v>77</v>
      </c>
      <c r="BG7" s="256" t="s">
        <v>78</v>
      </c>
      <c r="BH7" s="256" t="s">
        <v>79</v>
      </c>
      <c r="BI7" s="256" t="s">
        <v>77</v>
      </c>
      <c r="BJ7" s="256" t="s">
        <v>78</v>
      </c>
      <c r="BK7" s="256" t="s">
        <v>79</v>
      </c>
      <c r="BL7" s="256" t="s">
        <v>77</v>
      </c>
      <c r="BM7" s="256" t="s">
        <v>78</v>
      </c>
      <c r="BN7" s="256" t="s">
        <v>79</v>
      </c>
      <c r="BO7" s="256" t="s">
        <v>77</v>
      </c>
      <c r="BP7" s="256" t="s">
        <v>78</v>
      </c>
      <c r="BQ7" s="256" t="s">
        <v>79</v>
      </c>
      <c r="BR7" s="256" t="s">
        <v>77</v>
      </c>
      <c r="BS7" s="256" t="s">
        <v>78</v>
      </c>
      <c r="BT7" s="256" t="s">
        <v>79</v>
      </c>
      <c r="BU7" s="256" t="s">
        <v>77</v>
      </c>
      <c r="BV7" s="256" t="s">
        <v>78</v>
      </c>
      <c r="BW7" s="256" t="s">
        <v>79</v>
      </c>
      <c r="BX7" s="256" t="s">
        <v>77</v>
      </c>
      <c r="BY7" s="256" t="s">
        <v>78</v>
      </c>
      <c r="BZ7" s="256" t="s">
        <v>79</v>
      </c>
      <c r="CA7" s="256" t="s">
        <v>77</v>
      </c>
      <c r="CB7" s="256" t="s">
        <v>78</v>
      </c>
      <c r="CC7" s="256" t="s">
        <v>79</v>
      </c>
      <c r="CD7" s="256" t="s">
        <v>77</v>
      </c>
      <c r="CE7" s="256" t="s">
        <v>78</v>
      </c>
      <c r="CF7" s="256" t="s">
        <v>79</v>
      </c>
      <c r="CG7" s="256" t="s">
        <v>77</v>
      </c>
      <c r="CH7" s="256" t="s">
        <v>78</v>
      </c>
      <c r="CI7" s="256" t="s">
        <v>79</v>
      </c>
      <c r="CJ7" s="252" t="s">
        <v>82</v>
      </c>
      <c r="CK7" s="252" t="s">
        <v>83</v>
      </c>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row>
    <row r="8" spans="1:174" s="4" customFormat="1" ht="36" x14ac:dyDescent="0.2">
      <c r="A8" s="369" t="s">
        <v>84</v>
      </c>
      <c r="B8" s="369" t="s">
        <v>85</v>
      </c>
      <c r="C8" s="398" t="s">
        <v>2724</v>
      </c>
      <c r="D8" s="369" t="s">
        <v>7</v>
      </c>
      <c r="E8" s="398" t="s">
        <v>87</v>
      </c>
      <c r="F8" s="369" t="s">
        <v>88</v>
      </c>
      <c r="G8" s="369" t="s">
        <v>89</v>
      </c>
      <c r="H8" s="374">
        <v>1247390478</v>
      </c>
      <c r="I8" s="13">
        <v>162796422</v>
      </c>
      <c r="J8" s="251" t="s">
        <v>90</v>
      </c>
      <c r="K8" s="251" t="s">
        <v>91</v>
      </c>
      <c r="L8" s="257">
        <v>1</v>
      </c>
      <c r="M8" s="259">
        <v>0</v>
      </c>
      <c r="N8" s="63">
        <v>0</v>
      </c>
      <c r="O8" s="60" t="s">
        <v>92</v>
      </c>
      <c r="P8" s="259">
        <v>0</v>
      </c>
      <c r="Q8" s="63">
        <v>0</v>
      </c>
      <c r="R8" s="60" t="s">
        <v>92</v>
      </c>
      <c r="S8" s="259">
        <v>0</v>
      </c>
      <c r="T8" s="63">
        <v>0</v>
      </c>
      <c r="U8" s="60" t="s">
        <v>92</v>
      </c>
      <c r="V8" s="259">
        <v>0</v>
      </c>
      <c r="W8" s="63">
        <v>0</v>
      </c>
      <c r="X8" s="60" t="s">
        <v>92</v>
      </c>
      <c r="Y8" s="259">
        <v>0</v>
      </c>
      <c r="Z8" s="63">
        <v>0</v>
      </c>
      <c r="AA8" s="60" t="s">
        <v>92</v>
      </c>
      <c r="AB8" s="259">
        <v>0</v>
      </c>
      <c r="AC8" s="63">
        <v>0</v>
      </c>
      <c r="AD8" s="60" t="s">
        <v>92</v>
      </c>
      <c r="AE8" s="259">
        <v>0</v>
      </c>
      <c r="AF8" s="63">
        <v>0</v>
      </c>
      <c r="AG8" s="60" t="s">
        <v>92</v>
      </c>
      <c r="AH8" s="259">
        <v>0</v>
      </c>
      <c r="AI8" s="63">
        <v>0</v>
      </c>
      <c r="AJ8" s="60" t="s">
        <v>92</v>
      </c>
      <c r="AK8" s="132">
        <v>1</v>
      </c>
      <c r="AL8" s="60">
        <v>1</v>
      </c>
      <c r="AM8" s="60" t="s">
        <v>1219</v>
      </c>
      <c r="AN8" s="132">
        <v>1</v>
      </c>
      <c r="AO8" s="60">
        <v>1</v>
      </c>
      <c r="AP8" s="60" t="s">
        <v>1219</v>
      </c>
      <c r="AQ8" s="132">
        <v>1</v>
      </c>
      <c r="AR8" s="60">
        <v>1</v>
      </c>
      <c r="AS8" s="60" t="s">
        <v>1219</v>
      </c>
      <c r="AT8" s="132">
        <v>1</v>
      </c>
      <c r="AU8" s="60">
        <v>1</v>
      </c>
      <c r="AV8" s="60" t="s">
        <v>1219</v>
      </c>
      <c r="AW8" s="368" t="s">
        <v>93</v>
      </c>
      <c r="AX8" s="368"/>
      <c r="AY8" s="368"/>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11" t="s">
        <v>94</v>
      </c>
      <c r="CK8" s="11" t="s">
        <v>95</v>
      </c>
    </row>
    <row r="9" spans="1:174" s="4" customFormat="1" ht="33.75" customHeight="1" x14ac:dyDescent="0.2">
      <c r="A9" s="394"/>
      <c r="B9" s="394"/>
      <c r="C9" s="399"/>
      <c r="D9" s="394"/>
      <c r="E9" s="399"/>
      <c r="F9" s="394"/>
      <c r="G9" s="394"/>
      <c r="H9" s="401"/>
      <c r="I9" s="374">
        <v>43907500</v>
      </c>
      <c r="J9" s="368" t="s">
        <v>96</v>
      </c>
      <c r="K9" s="368" t="s">
        <v>97</v>
      </c>
      <c r="L9" s="393">
        <v>2</v>
      </c>
      <c r="M9" s="366">
        <v>0.03</v>
      </c>
      <c r="N9" s="366">
        <v>0.03</v>
      </c>
      <c r="O9" s="378" t="s">
        <v>98</v>
      </c>
      <c r="P9" s="366">
        <v>0.1</v>
      </c>
      <c r="Q9" s="366">
        <v>0.1</v>
      </c>
      <c r="R9" s="378" t="s">
        <v>99</v>
      </c>
      <c r="S9" s="366">
        <v>0.1</v>
      </c>
      <c r="T9" s="366">
        <v>0.1</v>
      </c>
      <c r="U9" s="378" t="s">
        <v>100</v>
      </c>
      <c r="V9" s="378">
        <v>0.1</v>
      </c>
      <c r="W9" s="378">
        <v>0.1</v>
      </c>
      <c r="X9" s="378" t="s">
        <v>844</v>
      </c>
      <c r="Y9" s="378">
        <v>0.2</v>
      </c>
      <c r="Z9" s="378">
        <v>0.2</v>
      </c>
      <c r="AA9" s="378" t="s">
        <v>845</v>
      </c>
      <c r="AB9" s="378">
        <v>0.4</v>
      </c>
      <c r="AC9" s="378">
        <v>0.4</v>
      </c>
      <c r="AD9" s="378" t="s">
        <v>846</v>
      </c>
      <c r="AE9" s="253"/>
      <c r="AF9" s="253"/>
      <c r="AG9" s="253"/>
      <c r="AH9" s="253"/>
      <c r="AI9" s="253"/>
      <c r="AJ9" s="253"/>
      <c r="AK9" s="253"/>
      <c r="AL9" s="253"/>
      <c r="AM9" s="253"/>
      <c r="AN9" s="378">
        <v>0.65</v>
      </c>
      <c r="AO9" s="378">
        <v>0.65</v>
      </c>
      <c r="AP9" s="378" t="s">
        <v>1722</v>
      </c>
      <c r="AQ9" s="378">
        <v>0.85</v>
      </c>
      <c r="AR9" s="378">
        <v>0.85</v>
      </c>
      <c r="AS9" s="378" t="s">
        <v>1723</v>
      </c>
      <c r="AT9" s="378">
        <v>1</v>
      </c>
      <c r="AU9" s="378">
        <v>1</v>
      </c>
      <c r="AV9" s="378" t="s">
        <v>1724</v>
      </c>
      <c r="AW9" s="11" t="s">
        <v>101</v>
      </c>
      <c r="AX9" s="11" t="s">
        <v>102</v>
      </c>
      <c r="AY9" s="258">
        <v>1</v>
      </c>
      <c r="AZ9" s="259">
        <v>0.05</v>
      </c>
      <c r="BA9" s="60">
        <v>0.05</v>
      </c>
      <c r="BB9" s="84" t="s">
        <v>103</v>
      </c>
      <c r="BC9" s="259">
        <v>0.05</v>
      </c>
      <c r="BD9" s="259">
        <v>0.05</v>
      </c>
      <c r="BE9" s="84" t="s">
        <v>104</v>
      </c>
      <c r="BF9" s="259">
        <v>0.05</v>
      </c>
      <c r="BG9" s="259">
        <v>0.05</v>
      </c>
      <c r="BH9" s="84" t="s">
        <v>105</v>
      </c>
      <c r="BI9" s="60">
        <v>0.05</v>
      </c>
      <c r="BJ9" s="60">
        <v>0.05</v>
      </c>
      <c r="BK9" s="84" t="s">
        <v>858</v>
      </c>
      <c r="BL9" s="60">
        <v>0.05</v>
      </c>
      <c r="BM9" s="60">
        <v>0.05</v>
      </c>
      <c r="BN9" s="84" t="s">
        <v>860</v>
      </c>
      <c r="BO9" s="60">
        <v>0.4</v>
      </c>
      <c r="BP9" s="60">
        <v>0.4</v>
      </c>
      <c r="BQ9" s="84" t="s">
        <v>863</v>
      </c>
      <c r="BR9" s="60">
        <v>0.65</v>
      </c>
      <c r="BS9" s="60">
        <v>0.65</v>
      </c>
      <c r="BT9" s="84" t="s">
        <v>1233</v>
      </c>
      <c r="BU9" s="60">
        <v>0.65</v>
      </c>
      <c r="BV9" s="60">
        <v>0.65</v>
      </c>
      <c r="BW9" s="84" t="s">
        <v>1235</v>
      </c>
      <c r="BX9" s="60">
        <v>0.65</v>
      </c>
      <c r="BY9" s="60">
        <v>0.65</v>
      </c>
      <c r="BZ9" s="84" t="s">
        <v>1236</v>
      </c>
      <c r="CA9" s="60">
        <v>0.8</v>
      </c>
      <c r="CB9" s="60">
        <v>0.8</v>
      </c>
      <c r="CC9" s="84" t="s">
        <v>1725</v>
      </c>
      <c r="CD9" s="60">
        <v>0.85</v>
      </c>
      <c r="CE9" s="60">
        <v>0.85</v>
      </c>
      <c r="CF9" s="84" t="s">
        <v>1726</v>
      </c>
      <c r="CG9" s="60">
        <v>1</v>
      </c>
      <c r="CH9" s="60">
        <v>1</v>
      </c>
      <c r="CI9" s="84" t="s">
        <v>1727</v>
      </c>
      <c r="CJ9" s="11" t="s">
        <v>106</v>
      </c>
      <c r="CK9" s="11" t="s">
        <v>107</v>
      </c>
    </row>
    <row r="10" spans="1:174" s="4" customFormat="1" ht="57.75" customHeight="1" x14ac:dyDescent="0.2">
      <c r="A10" s="394"/>
      <c r="B10" s="394"/>
      <c r="C10" s="399"/>
      <c r="D10" s="394"/>
      <c r="E10" s="399"/>
      <c r="F10" s="394"/>
      <c r="G10" s="394"/>
      <c r="H10" s="401"/>
      <c r="I10" s="401"/>
      <c r="J10" s="368"/>
      <c r="K10" s="368"/>
      <c r="L10" s="393"/>
      <c r="M10" s="402"/>
      <c r="N10" s="402"/>
      <c r="O10" s="379"/>
      <c r="P10" s="402"/>
      <c r="Q10" s="402"/>
      <c r="R10" s="379"/>
      <c r="S10" s="402"/>
      <c r="T10" s="402"/>
      <c r="U10" s="379"/>
      <c r="V10" s="379"/>
      <c r="W10" s="379"/>
      <c r="X10" s="379"/>
      <c r="Y10" s="379"/>
      <c r="Z10" s="379"/>
      <c r="AA10" s="379"/>
      <c r="AB10" s="379"/>
      <c r="AC10" s="379"/>
      <c r="AD10" s="379"/>
      <c r="AE10" s="254">
        <v>0.65</v>
      </c>
      <c r="AF10" s="254">
        <v>0.65</v>
      </c>
      <c r="AG10" s="254" t="s">
        <v>1220</v>
      </c>
      <c r="AH10" s="254">
        <v>0.65</v>
      </c>
      <c r="AI10" s="254">
        <v>0.65</v>
      </c>
      <c r="AJ10" s="254" t="s">
        <v>1221</v>
      </c>
      <c r="AK10" s="254">
        <v>0.65</v>
      </c>
      <c r="AL10" s="254">
        <v>0.65</v>
      </c>
      <c r="AM10" s="254" t="s">
        <v>1222</v>
      </c>
      <c r="AN10" s="379"/>
      <c r="AO10" s="379"/>
      <c r="AP10" s="379"/>
      <c r="AQ10" s="379"/>
      <c r="AR10" s="379"/>
      <c r="AS10" s="379"/>
      <c r="AT10" s="379"/>
      <c r="AU10" s="379"/>
      <c r="AV10" s="379"/>
      <c r="AW10" s="11" t="s">
        <v>108</v>
      </c>
      <c r="AX10" s="11" t="s">
        <v>102</v>
      </c>
      <c r="AY10" s="258">
        <v>1</v>
      </c>
      <c r="AZ10" s="259">
        <v>0.05</v>
      </c>
      <c r="BA10" s="60">
        <v>0.05</v>
      </c>
      <c r="BB10" s="84" t="s">
        <v>103</v>
      </c>
      <c r="BC10" s="259">
        <v>0.25</v>
      </c>
      <c r="BD10" s="60">
        <v>0.25</v>
      </c>
      <c r="BE10" s="84" t="s">
        <v>109</v>
      </c>
      <c r="BF10" s="259">
        <v>0.25</v>
      </c>
      <c r="BG10" s="60">
        <v>0.25</v>
      </c>
      <c r="BH10" s="84" t="s">
        <v>110</v>
      </c>
      <c r="BI10" s="60">
        <v>0.25</v>
      </c>
      <c r="BJ10" s="60">
        <v>0.25</v>
      </c>
      <c r="BK10" s="84" t="s">
        <v>859</v>
      </c>
      <c r="BL10" s="60">
        <v>0.3</v>
      </c>
      <c r="BM10" s="60">
        <v>0.3</v>
      </c>
      <c r="BN10" s="84" t="s">
        <v>861</v>
      </c>
      <c r="BO10" s="60">
        <v>0.4</v>
      </c>
      <c r="BP10" s="60">
        <v>0.4</v>
      </c>
      <c r="BQ10" s="84" t="s">
        <v>863</v>
      </c>
      <c r="BR10" s="60">
        <v>0.65</v>
      </c>
      <c r="BS10" s="60">
        <v>0.65</v>
      </c>
      <c r="BT10" s="84" t="s">
        <v>1233</v>
      </c>
      <c r="BU10" s="60">
        <v>0.65</v>
      </c>
      <c r="BV10" s="60">
        <v>0.65</v>
      </c>
      <c r="BW10" s="84" t="s">
        <v>1235</v>
      </c>
      <c r="BX10" s="60">
        <v>0.65</v>
      </c>
      <c r="BY10" s="60">
        <v>0.65</v>
      </c>
      <c r="BZ10" s="84" t="s">
        <v>1236</v>
      </c>
      <c r="CA10" s="60">
        <v>0.8</v>
      </c>
      <c r="CB10" s="60">
        <v>0.8</v>
      </c>
      <c r="CC10" s="84" t="s">
        <v>1725</v>
      </c>
      <c r="CD10" s="60">
        <v>0.85</v>
      </c>
      <c r="CE10" s="60">
        <v>0.85</v>
      </c>
      <c r="CF10" s="84" t="s">
        <v>1726</v>
      </c>
      <c r="CG10" s="60">
        <v>1</v>
      </c>
      <c r="CH10" s="60">
        <v>1</v>
      </c>
      <c r="CI10" s="84" t="s">
        <v>1727</v>
      </c>
      <c r="CJ10" s="11" t="s">
        <v>106</v>
      </c>
      <c r="CK10" s="11" t="s">
        <v>107</v>
      </c>
    </row>
    <row r="11" spans="1:174" s="4" customFormat="1" ht="33.75" customHeight="1" x14ac:dyDescent="0.2">
      <c r="A11" s="394"/>
      <c r="B11" s="394"/>
      <c r="C11" s="399"/>
      <c r="D11" s="394"/>
      <c r="E11" s="399"/>
      <c r="F11" s="394"/>
      <c r="G11" s="394"/>
      <c r="H11" s="401"/>
      <c r="I11" s="375"/>
      <c r="J11" s="368"/>
      <c r="K11" s="368"/>
      <c r="L11" s="393"/>
      <c r="M11" s="367"/>
      <c r="N11" s="367"/>
      <c r="O11" s="380"/>
      <c r="P11" s="367"/>
      <c r="Q11" s="367"/>
      <c r="R11" s="380"/>
      <c r="S11" s="367"/>
      <c r="T11" s="367"/>
      <c r="U11" s="380"/>
      <c r="V11" s="380"/>
      <c r="W11" s="380"/>
      <c r="X11" s="380"/>
      <c r="Y11" s="380"/>
      <c r="Z11" s="380"/>
      <c r="AA11" s="380"/>
      <c r="AB11" s="380"/>
      <c r="AC11" s="380"/>
      <c r="AD11" s="380"/>
      <c r="AE11" s="255"/>
      <c r="AF11" s="255"/>
      <c r="AG11" s="255"/>
      <c r="AH11" s="255"/>
      <c r="AI11" s="255"/>
      <c r="AJ11" s="255"/>
      <c r="AK11" s="255"/>
      <c r="AL11" s="255"/>
      <c r="AM11" s="255"/>
      <c r="AN11" s="380"/>
      <c r="AO11" s="380"/>
      <c r="AP11" s="380"/>
      <c r="AQ11" s="380"/>
      <c r="AR11" s="380"/>
      <c r="AS11" s="380"/>
      <c r="AT11" s="380"/>
      <c r="AU11" s="380"/>
      <c r="AV11" s="380"/>
      <c r="AW11" s="11" t="s">
        <v>111</v>
      </c>
      <c r="AX11" s="11" t="s">
        <v>112</v>
      </c>
      <c r="AY11" s="258">
        <v>1</v>
      </c>
      <c r="AZ11" s="259">
        <v>0</v>
      </c>
      <c r="BA11" s="60">
        <v>0</v>
      </c>
      <c r="BB11" s="60" t="s">
        <v>113</v>
      </c>
      <c r="BC11" s="259">
        <v>0</v>
      </c>
      <c r="BD11" s="60">
        <v>0</v>
      </c>
      <c r="BE11" s="60" t="s">
        <v>114</v>
      </c>
      <c r="BF11" s="259">
        <v>0</v>
      </c>
      <c r="BG11" s="60">
        <v>0</v>
      </c>
      <c r="BH11" s="60" t="s">
        <v>115</v>
      </c>
      <c r="BI11" s="60">
        <v>0</v>
      </c>
      <c r="BJ11" s="60">
        <v>0</v>
      </c>
      <c r="BK11" s="60" t="s">
        <v>857</v>
      </c>
      <c r="BL11" s="60">
        <v>0.2</v>
      </c>
      <c r="BM11" s="60">
        <v>0.2</v>
      </c>
      <c r="BN11" s="60" t="s">
        <v>862</v>
      </c>
      <c r="BO11" s="60">
        <v>0.5</v>
      </c>
      <c r="BP11" s="60">
        <v>0.5</v>
      </c>
      <c r="BQ11" s="130" t="s">
        <v>864</v>
      </c>
      <c r="BR11" s="60">
        <v>0.62</v>
      </c>
      <c r="BS11" s="60">
        <v>0.62</v>
      </c>
      <c r="BT11" s="130" t="s">
        <v>1234</v>
      </c>
      <c r="BU11" s="60">
        <v>0.67</v>
      </c>
      <c r="BV11" s="60">
        <v>0.67</v>
      </c>
      <c r="BW11" s="60" t="s">
        <v>1237</v>
      </c>
      <c r="BX11" s="60">
        <v>0.8</v>
      </c>
      <c r="BY11" s="60">
        <v>0.8</v>
      </c>
      <c r="BZ11" s="60" t="s">
        <v>1238</v>
      </c>
      <c r="CA11" s="60">
        <v>0.8</v>
      </c>
      <c r="CB11" s="60">
        <v>0.8</v>
      </c>
      <c r="CC11" s="130" t="s">
        <v>1728</v>
      </c>
      <c r="CD11" s="60">
        <v>1</v>
      </c>
      <c r="CE11" s="60">
        <v>1</v>
      </c>
      <c r="CF11" s="60" t="s">
        <v>1729</v>
      </c>
      <c r="CG11" s="60">
        <v>1</v>
      </c>
      <c r="CH11" s="60">
        <v>1</v>
      </c>
      <c r="CI11" s="60" t="s">
        <v>1729</v>
      </c>
      <c r="CJ11" s="11" t="s">
        <v>106</v>
      </c>
      <c r="CK11" s="11" t="s">
        <v>107</v>
      </c>
    </row>
    <row r="12" spans="1:174" s="4" customFormat="1" ht="75.75" customHeight="1" x14ac:dyDescent="0.2">
      <c r="A12" s="394"/>
      <c r="B12" s="394"/>
      <c r="C12" s="399"/>
      <c r="D12" s="394"/>
      <c r="E12" s="399"/>
      <c r="F12" s="394"/>
      <c r="G12" s="394"/>
      <c r="H12" s="401"/>
      <c r="I12" s="13">
        <v>433071719</v>
      </c>
      <c r="J12" s="251" t="s">
        <v>116</v>
      </c>
      <c r="K12" s="251" t="s">
        <v>117</v>
      </c>
      <c r="L12" s="258">
        <v>0.96</v>
      </c>
      <c r="M12" s="80">
        <v>4.2000000000000003E-2</v>
      </c>
      <c r="N12" s="80">
        <v>4.2000000000000003E-2</v>
      </c>
      <c r="O12" s="60" t="s">
        <v>118</v>
      </c>
      <c r="P12" s="80">
        <v>0.13200000000000001</v>
      </c>
      <c r="Q12" s="80">
        <v>0.13200000000000001</v>
      </c>
      <c r="R12" s="60" t="s">
        <v>119</v>
      </c>
      <c r="S12" s="80">
        <v>0.217</v>
      </c>
      <c r="T12" s="80">
        <v>0.217</v>
      </c>
      <c r="U12" s="81" t="s">
        <v>120</v>
      </c>
      <c r="V12" s="109">
        <v>0.30299999999999999</v>
      </c>
      <c r="W12" s="109">
        <v>0.30299999999999999</v>
      </c>
      <c r="X12" s="60" t="s">
        <v>849</v>
      </c>
      <c r="Y12" s="109">
        <v>0.39100000000000001</v>
      </c>
      <c r="Z12" s="109">
        <v>0.39100000000000001</v>
      </c>
      <c r="AA12" s="60" t="s">
        <v>848</v>
      </c>
      <c r="AB12" s="76">
        <v>0.49380000000000002</v>
      </c>
      <c r="AC12" s="76">
        <v>0.49380000000000002</v>
      </c>
      <c r="AD12" s="60" t="s">
        <v>847</v>
      </c>
      <c r="AE12" s="76">
        <v>0.61739999999999995</v>
      </c>
      <c r="AF12" s="76">
        <v>0.61739999999999995</v>
      </c>
      <c r="AG12" s="60" t="s">
        <v>1223</v>
      </c>
      <c r="AH12" s="76">
        <v>0.68230000000000002</v>
      </c>
      <c r="AI12" s="76">
        <v>0.68230000000000002</v>
      </c>
      <c r="AJ12" s="60" t="s">
        <v>1224</v>
      </c>
      <c r="AK12" s="224">
        <v>0.76149999999999995</v>
      </c>
      <c r="AL12" s="224">
        <v>0.76149999999999995</v>
      </c>
      <c r="AM12" s="225" t="s">
        <v>1264</v>
      </c>
      <c r="AN12" s="224">
        <v>0.83440000000000003</v>
      </c>
      <c r="AO12" s="224">
        <v>0.83440000000000003</v>
      </c>
      <c r="AP12" s="225" t="s">
        <v>1730</v>
      </c>
      <c r="AQ12" s="224">
        <v>0.89449999999999996</v>
      </c>
      <c r="AR12" s="224">
        <v>0.89439999999999997</v>
      </c>
      <c r="AS12" s="225" t="s">
        <v>1731</v>
      </c>
      <c r="AT12" s="224">
        <v>0.9899</v>
      </c>
      <c r="AU12" s="224">
        <v>0.9899</v>
      </c>
      <c r="AV12" s="225" t="s">
        <v>1732</v>
      </c>
      <c r="AW12" s="368" t="s">
        <v>93</v>
      </c>
      <c r="AX12" s="368"/>
      <c r="AY12" s="368"/>
      <c r="AZ12" s="69"/>
      <c r="BA12" s="71"/>
      <c r="BB12" s="69"/>
      <c r="BC12" s="69"/>
      <c r="BD12" s="71"/>
      <c r="BE12" s="69"/>
      <c r="BF12" s="69"/>
      <c r="BG12" s="71"/>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11" t="s">
        <v>106</v>
      </c>
      <c r="CK12" s="11" t="s">
        <v>107</v>
      </c>
    </row>
    <row r="13" spans="1:174" s="4" customFormat="1" ht="116.25" customHeight="1" x14ac:dyDescent="0.2">
      <c r="A13" s="394" t="s">
        <v>84</v>
      </c>
      <c r="B13" s="394" t="s">
        <v>85</v>
      </c>
      <c r="C13" s="399" t="s">
        <v>86</v>
      </c>
      <c r="D13" s="394" t="s">
        <v>7</v>
      </c>
      <c r="E13" s="399" t="s">
        <v>87</v>
      </c>
      <c r="F13" s="394" t="s">
        <v>88</v>
      </c>
      <c r="G13" s="394"/>
      <c r="H13" s="401"/>
      <c r="I13" s="13">
        <v>241722685</v>
      </c>
      <c r="J13" s="251" t="s">
        <v>121</v>
      </c>
      <c r="K13" s="251" t="s">
        <v>122</v>
      </c>
      <c r="L13" s="257">
        <v>7</v>
      </c>
      <c r="M13" s="259">
        <v>0</v>
      </c>
      <c r="N13" s="63">
        <v>0</v>
      </c>
      <c r="O13" s="60" t="s">
        <v>123</v>
      </c>
      <c r="P13" s="259">
        <v>0.04</v>
      </c>
      <c r="Q13" s="259">
        <v>0.04</v>
      </c>
      <c r="R13" s="60" t="s">
        <v>124</v>
      </c>
      <c r="S13" s="259">
        <v>0.12</v>
      </c>
      <c r="T13" s="259">
        <v>0.12</v>
      </c>
      <c r="U13" s="60" t="s">
        <v>125</v>
      </c>
      <c r="V13" s="60">
        <v>0.24</v>
      </c>
      <c r="W13" s="60">
        <v>0.24</v>
      </c>
      <c r="X13" s="60" t="s">
        <v>850</v>
      </c>
      <c r="Y13" s="60">
        <v>0.28000000000000003</v>
      </c>
      <c r="Z13" s="60">
        <v>0.28000000000000003</v>
      </c>
      <c r="AA13" s="60" t="s">
        <v>851</v>
      </c>
      <c r="AB13" s="60">
        <v>0.36</v>
      </c>
      <c r="AC13" s="60">
        <v>0.36</v>
      </c>
      <c r="AD13" s="60" t="s">
        <v>852</v>
      </c>
      <c r="AE13" s="60">
        <v>0.44</v>
      </c>
      <c r="AF13" s="60">
        <v>0.44</v>
      </c>
      <c r="AG13" s="60" t="s">
        <v>1225</v>
      </c>
      <c r="AH13" s="60">
        <v>0.48</v>
      </c>
      <c r="AI13" s="60">
        <v>0.48</v>
      </c>
      <c r="AJ13" s="60" t="s">
        <v>1227</v>
      </c>
      <c r="AK13" s="60">
        <v>0.64</v>
      </c>
      <c r="AL13" s="60">
        <v>0.64</v>
      </c>
      <c r="AM13" s="60" t="s">
        <v>1226</v>
      </c>
      <c r="AN13" s="60">
        <v>0.72</v>
      </c>
      <c r="AO13" s="60">
        <v>0.72</v>
      </c>
      <c r="AP13" s="60" t="s">
        <v>1733</v>
      </c>
      <c r="AQ13" s="60">
        <v>0.76</v>
      </c>
      <c r="AR13" s="60">
        <v>0.76</v>
      </c>
      <c r="AS13" s="60" t="s">
        <v>1734</v>
      </c>
      <c r="AT13" s="60">
        <v>1</v>
      </c>
      <c r="AU13" s="60">
        <v>1</v>
      </c>
      <c r="AV13" s="60" t="s">
        <v>1735</v>
      </c>
      <c r="AW13" s="11" t="s">
        <v>126</v>
      </c>
      <c r="AX13" s="11" t="s">
        <v>127</v>
      </c>
      <c r="AY13" s="15">
        <v>25</v>
      </c>
      <c r="AZ13" s="259">
        <v>0</v>
      </c>
      <c r="BA13" s="60">
        <v>0</v>
      </c>
      <c r="BB13" s="60" t="s">
        <v>128</v>
      </c>
      <c r="BC13" s="259">
        <v>0.04</v>
      </c>
      <c r="BD13" s="60">
        <v>0.04</v>
      </c>
      <c r="BE13" s="60" t="s">
        <v>129</v>
      </c>
      <c r="BF13" s="259">
        <v>0.12</v>
      </c>
      <c r="BG13" s="60">
        <v>0.12</v>
      </c>
      <c r="BH13" s="60" t="s">
        <v>130</v>
      </c>
      <c r="BI13" s="60">
        <v>0.24</v>
      </c>
      <c r="BJ13" s="60">
        <v>0.24</v>
      </c>
      <c r="BK13" s="60" t="s">
        <v>867</v>
      </c>
      <c r="BL13" s="60">
        <v>0.28000000000000003</v>
      </c>
      <c r="BM13" s="60">
        <v>0.28000000000000003</v>
      </c>
      <c r="BN13" s="60" t="s">
        <v>866</v>
      </c>
      <c r="BO13" s="60">
        <v>0.36</v>
      </c>
      <c r="BP13" s="60">
        <v>0.36</v>
      </c>
      <c r="BQ13" s="60" t="s">
        <v>865</v>
      </c>
      <c r="BR13" s="60">
        <v>0.44</v>
      </c>
      <c r="BS13" s="60">
        <v>0.44</v>
      </c>
      <c r="BT13" s="60" t="s">
        <v>1239</v>
      </c>
      <c r="BU13" s="60">
        <v>0.48</v>
      </c>
      <c r="BV13" s="60">
        <v>0.48</v>
      </c>
      <c r="BW13" s="60" t="s">
        <v>1227</v>
      </c>
      <c r="BX13" s="60">
        <v>0.64</v>
      </c>
      <c r="BY13" s="60">
        <v>0.64</v>
      </c>
      <c r="BZ13" s="60" t="s">
        <v>1226</v>
      </c>
      <c r="CA13" s="60">
        <v>0.72</v>
      </c>
      <c r="CB13" s="60">
        <v>0.72</v>
      </c>
      <c r="CC13" s="60" t="s">
        <v>1733</v>
      </c>
      <c r="CD13" s="60">
        <v>0.76</v>
      </c>
      <c r="CE13" s="60">
        <v>0.76</v>
      </c>
      <c r="CF13" s="60" t="s">
        <v>1734</v>
      </c>
      <c r="CG13" s="60">
        <v>1</v>
      </c>
      <c r="CH13" s="60">
        <v>1</v>
      </c>
      <c r="CI13" s="60" t="s">
        <v>1736</v>
      </c>
      <c r="CJ13" s="11" t="s">
        <v>106</v>
      </c>
      <c r="CK13" s="11" t="s">
        <v>107</v>
      </c>
    </row>
    <row r="14" spans="1:174" s="4" customFormat="1" ht="253.5" customHeight="1" x14ac:dyDescent="0.2">
      <c r="A14" s="394"/>
      <c r="B14" s="394"/>
      <c r="C14" s="399"/>
      <c r="D14" s="394"/>
      <c r="E14" s="399"/>
      <c r="F14" s="394"/>
      <c r="G14" s="394"/>
      <c r="H14" s="401"/>
      <c r="I14" s="13">
        <v>93240750</v>
      </c>
      <c r="J14" s="251" t="s">
        <v>131</v>
      </c>
      <c r="K14" s="251" t="s">
        <v>132</v>
      </c>
      <c r="L14" s="257">
        <v>1</v>
      </c>
      <c r="M14" s="259">
        <v>0</v>
      </c>
      <c r="N14" s="63">
        <v>0</v>
      </c>
      <c r="O14" s="60" t="s">
        <v>133</v>
      </c>
      <c r="P14" s="80">
        <v>8.3000000000000004E-2</v>
      </c>
      <c r="Q14" s="80">
        <v>8.3000000000000004E-2</v>
      </c>
      <c r="R14" s="60" t="s">
        <v>134</v>
      </c>
      <c r="S14" s="80">
        <v>0.23599999999999999</v>
      </c>
      <c r="T14" s="80">
        <v>0.23599999999999999</v>
      </c>
      <c r="U14" s="60" t="s">
        <v>135</v>
      </c>
      <c r="V14" s="109">
        <v>0.39600000000000002</v>
      </c>
      <c r="W14" s="109">
        <v>0.39600000000000002</v>
      </c>
      <c r="X14" s="60" t="s">
        <v>855</v>
      </c>
      <c r="Y14" s="109">
        <v>0.54600000000000004</v>
      </c>
      <c r="Z14" s="109">
        <v>0.54600000000000004</v>
      </c>
      <c r="AA14" s="60" t="s">
        <v>854</v>
      </c>
      <c r="AB14" s="109">
        <v>0.63800000000000001</v>
      </c>
      <c r="AC14" s="109">
        <v>0.63800000000000001</v>
      </c>
      <c r="AD14" s="60" t="s">
        <v>853</v>
      </c>
      <c r="AE14" s="76">
        <v>0.72499999999999998</v>
      </c>
      <c r="AF14" s="76">
        <v>0.72499999999999998</v>
      </c>
      <c r="AG14" s="60" t="s">
        <v>1230</v>
      </c>
      <c r="AH14" s="109">
        <v>0.82199999999999995</v>
      </c>
      <c r="AI14" s="109">
        <v>0.82199999999999995</v>
      </c>
      <c r="AJ14" s="60" t="s">
        <v>1229</v>
      </c>
      <c r="AK14" s="109">
        <v>0.878</v>
      </c>
      <c r="AL14" s="109">
        <v>0.878</v>
      </c>
      <c r="AM14" s="60" t="s">
        <v>1228</v>
      </c>
      <c r="AN14" s="109">
        <v>0.92300000000000004</v>
      </c>
      <c r="AO14" s="109">
        <v>0.92300000000000004</v>
      </c>
      <c r="AP14" s="60" t="s">
        <v>1737</v>
      </c>
      <c r="AQ14" s="109">
        <v>0.93100000000000005</v>
      </c>
      <c r="AR14" s="109">
        <v>0.93100000000000005</v>
      </c>
      <c r="AS14" s="60" t="s">
        <v>1738</v>
      </c>
      <c r="AT14" s="109">
        <v>0.95899999999999996</v>
      </c>
      <c r="AU14" s="109">
        <v>0.95899999999999996</v>
      </c>
      <c r="AV14" s="60" t="s">
        <v>1739</v>
      </c>
      <c r="AW14" s="11" t="s">
        <v>136</v>
      </c>
      <c r="AX14" s="11" t="s">
        <v>102</v>
      </c>
      <c r="AY14" s="258">
        <v>1</v>
      </c>
      <c r="AZ14" s="259">
        <v>0</v>
      </c>
      <c r="BA14" s="63">
        <v>0</v>
      </c>
      <c r="BB14" s="60" t="s">
        <v>133</v>
      </c>
      <c r="BC14" s="80">
        <v>8.3000000000000004E-2</v>
      </c>
      <c r="BD14" s="80">
        <v>8.3000000000000004E-2</v>
      </c>
      <c r="BE14" s="60" t="s">
        <v>134</v>
      </c>
      <c r="BF14" s="80">
        <v>0.23599999999999999</v>
      </c>
      <c r="BG14" s="80">
        <v>0.23599999999999999</v>
      </c>
      <c r="BH14" s="60" t="s">
        <v>135</v>
      </c>
      <c r="BI14" s="109">
        <v>0.39600000000000002</v>
      </c>
      <c r="BJ14" s="109">
        <v>0.39600000000000002</v>
      </c>
      <c r="BK14" s="60" t="s">
        <v>855</v>
      </c>
      <c r="BL14" s="109">
        <v>0.54600000000000004</v>
      </c>
      <c r="BM14" s="109">
        <v>0.54600000000000004</v>
      </c>
      <c r="BN14" s="60" t="s">
        <v>854</v>
      </c>
      <c r="BO14" s="109">
        <v>0.63800000000000001</v>
      </c>
      <c r="BP14" s="109">
        <v>0.63800000000000001</v>
      </c>
      <c r="BQ14" s="60" t="s">
        <v>853</v>
      </c>
      <c r="BR14" s="76">
        <v>0.72499999999999998</v>
      </c>
      <c r="BS14" s="76">
        <v>0.72499999999999998</v>
      </c>
      <c r="BT14" s="60" t="s">
        <v>1230</v>
      </c>
      <c r="BU14" s="109">
        <v>0.82199999999999995</v>
      </c>
      <c r="BV14" s="109">
        <v>0.82199999999999995</v>
      </c>
      <c r="BW14" s="60" t="s">
        <v>1229</v>
      </c>
      <c r="BX14" s="109">
        <v>0.878</v>
      </c>
      <c r="BY14" s="109">
        <v>0.878</v>
      </c>
      <c r="BZ14" s="60" t="s">
        <v>1228</v>
      </c>
      <c r="CA14" s="76">
        <v>0.92300000000000004</v>
      </c>
      <c r="CB14" s="76">
        <v>0.92300000000000004</v>
      </c>
      <c r="CC14" s="60" t="s">
        <v>1737</v>
      </c>
      <c r="CD14" s="109">
        <v>0.93100000000000005</v>
      </c>
      <c r="CE14" s="109">
        <v>0.93100000000000005</v>
      </c>
      <c r="CF14" s="60" t="s">
        <v>1738</v>
      </c>
      <c r="CG14" s="109">
        <v>0.95899999999999996</v>
      </c>
      <c r="CH14" s="109">
        <v>0.95899999999999996</v>
      </c>
      <c r="CI14" s="60" t="s">
        <v>1739</v>
      </c>
      <c r="CJ14" s="11" t="s">
        <v>106</v>
      </c>
      <c r="CK14" s="11" t="s">
        <v>107</v>
      </c>
    </row>
    <row r="15" spans="1:174" s="4" customFormat="1" ht="33.75" customHeight="1" x14ac:dyDescent="0.2">
      <c r="A15" s="394"/>
      <c r="B15" s="394"/>
      <c r="C15" s="399"/>
      <c r="D15" s="394"/>
      <c r="E15" s="399"/>
      <c r="F15" s="394"/>
      <c r="G15" s="394"/>
      <c r="H15" s="401"/>
      <c r="I15" s="374">
        <v>193975402</v>
      </c>
      <c r="J15" s="369" t="s">
        <v>137</v>
      </c>
      <c r="K15" s="369" t="s">
        <v>138</v>
      </c>
      <c r="L15" s="371">
        <v>1</v>
      </c>
      <c r="M15" s="366">
        <v>0</v>
      </c>
      <c r="N15" s="403">
        <v>0</v>
      </c>
      <c r="O15" s="378" t="s">
        <v>139</v>
      </c>
      <c r="P15" s="366">
        <v>0</v>
      </c>
      <c r="Q15" s="403">
        <v>0</v>
      </c>
      <c r="R15" s="378" t="s">
        <v>139</v>
      </c>
      <c r="S15" s="366">
        <v>0.27</v>
      </c>
      <c r="T15" s="403">
        <v>0.27</v>
      </c>
      <c r="U15" s="378" t="s">
        <v>140</v>
      </c>
      <c r="V15" s="378">
        <v>0.27</v>
      </c>
      <c r="W15" s="395">
        <v>0.27</v>
      </c>
      <c r="X15" s="378" t="s">
        <v>139</v>
      </c>
      <c r="Y15" s="378">
        <v>0.27</v>
      </c>
      <c r="Z15" s="395">
        <v>0.27</v>
      </c>
      <c r="AA15" s="378" t="s">
        <v>139</v>
      </c>
      <c r="AB15" s="378">
        <v>0.27</v>
      </c>
      <c r="AC15" s="378">
        <v>0.27</v>
      </c>
      <c r="AD15" s="378" t="s">
        <v>872</v>
      </c>
      <c r="AE15" s="253"/>
      <c r="AF15" s="253"/>
      <c r="AG15" s="378" t="s">
        <v>1231</v>
      </c>
      <c r="AH15" s="253"/>
      <c r="AI15" s="253"/>
      <c r="AJ15" s="378" t="s">
        <v>1231</v>
      </c>
      <c r="AK15" s="381">
        <v>0.51</v>
      </c>
      <c r="AL15" s="381">
        <v>0.51</v>
      </c>
      <c r="AM15" s="381" t="s">
        <v>1740</v>
      </c>
      <c r="AN15" s="390">
        <v>0.73599999999999999</v>
      </c>
      <c r="AO15" s="390">
        <v>0.73599999999999999</v>
      </c>
      <c r="AP15" s="381" t="s">
        <v>1741</v>
      </c>
      <c r="AQ15" s="407">
        <v>0.73599999999999999</v>
      </c>
      <c r="AR15" s="407">
        <v>0.73599999999999999</v>
      </c>
      <c r="AS15" s="378" t="s">
        <v>1742</v>
      </c>
      <c r="AT15" s="390">
        <v>0.99399999999999999</v>
      </c>
      <c r="AU15" s="390">
        <v>0.99399999999999999</v>
      </c>
      <c r="AV15" s="381" t="s">
        <v>1743</v>
      </c>
      <c r="AW15" s="11" t="s">
        <v>141</v>
      </c>
      <c r="AX15" s="11" t="s">
        <v>142</v>
      </c>
      <c r="AY15" s="15">
        <v>17</v>
      </c>
      <c r="AZ15" s="259">
        <v>0</v>
      </c>
      <c r="BA15" s="60">
        <v>0</v>
      </c>
      <c r="BB15" s="60" t="s">
        <v>143</v>
      </c>
      <c r="BC15" s="259">
        <v>0</v>
      </c>
      <c r="BD15" s="60">
        <v>0</v>
      </c>
      <c r="BE15" s="60" t="s">
        <v>143</v>
      </c>
      <c r="BF15" s="259">
        <v>0</v>
      </c>
      <c r="BG15" s="60">
        <v>0</v>
      </c>
      <c r="BH15" s="60" t="s">
        <v>143</v>
      </c>
      <c r="BI15" s="131">
        <v>1</v>
      </c>
      <c r="BJ15" s="60">
        <v>0.25</v>
      </c>
      <c r="BK15" s="60" t="s">
        <v>868</v>
      </c>
      <c r="BL15" s="131">
        <v>1</v>
      </c>
      <c r="BM15" s="60">
        <v>0.25</v>
      </c>
      <c r="BN15" s="60" t="s">
        <v>868</v>
      </c>
      <c r="BO15" s="132">
        <v>2</v>
      </c>
      <c r="BP15" s="60">
        <v>0.5</v>
      </c>
      <c r="BQ15" s="60" t="s">
        <v>869</v>
      </c>
      <c r="BR15" s="132">
        <v>2</v>
      </c>
      <c r="BS15" s="60">
        <v>0.5</v>
      </c>
      <c r="BT15" s="60" t="s">
        <v>869</v>
      </c>
      <c r="BU15" s="132">
        <v>2</v>
      </c>
      <c r="BV15" s="60">
        <v>0.5</v>
      </c>
      <c r="BW15" s="60" t="s">
        <v>139</v>
      </c>
      <c r="BX15" s="132">
        <v>3</v>
      </c>
      <c r="BY15" s="60">
        <v>0.75</v>
      </c>
      <c r="BZ15" s="60" t="s">
        <v>1240</v>
      </c>
      <c r="CA15" s="132">
        <v>3</v>
      </c>
      <c r="CB15" s="60">
        <v>0.75</v>
      </c>
      <c r="CC15" s="60" t="s">
        <v>1240</v>
      </c>
      <c r="CD15" s="132">
        <v>3</v>
      </c>
      <c r="CE15" s="60">
        <v>0.75</v>
      </c>
      <c r="CF15" s="60" t="s">
        <v>1240</v>
      </c>
      <c r="CG15" s="132">
        <v>4</v>
      </c>
      <c r="CH15" s="60">
        <v>1</v>
      </c>
      <c r="CI15" s="60" t="s">
        <v>1744</v>
      </c>
      <c r="CJ15" s="11" t="s">
        <v>106</v>
      </c>
      <c r="CK15" s="11" t="s">
        <v>107</v>
      </c>
    </row>
    <row r="16" spans="1:174" s="4" customFormat="1" ht="33.75" customHeight="1" x14ac:dyDescent="0.2">
      <c r="A16" s="394"/>
      <c r="B16" s="394"/>
      <c r="C16" s="399"/>
      <c r="D16" s="394"/>
      <c r="E16" s="399"/>
      <c r="F16" s="394"/>
      <c r="G16" s="394"/>
      <c r="H16" s="401"/>
      <c r="I16" s="401"/>
      <c r="J16" s="394"/>
      <c r="K16" s="394"/>
      <c r="L16" s="406"/>
      <c r="M16" s="402"/>
      <c r="N16" s="404"/>
      <c r="O16" s="379"/>
      <c r="P16" s="402"/>
      <c r="Q16" s="404"/>
      <c r="R16" s="379"/>
      <c r="S16" s="402"/>
      <c r="T16" s="404"/>
      <c r="U16" s="379"/>
      <c r="V16" s="379"/>
      <c r="W16" s="396"/>
      <c r="X16" s="379"/>
      <c r="Y16" s="379"/>
      <c r="Z16" s="396"/>
      <c r="AA16" s="379"/>
      <c r="AB16" s="379"/>
      <c r="AC16" s="379"/>
      <c r="AD16" s="379"/>
      <c r="AE16" s="254">
        <v>0.51</v>
      </c>
      <c r="AF16" s="254">
        <v>0.51</v>
      </c>
      <c r="AG16" s="379"/>
      <c r="AH16" s="254">
        <v>0.51</v>
      </c>
      <c r="AI16" s="254">
        <v>0.51</v>
      </c>
      <c r="AJ16" s="379"/>
      <c r="AK16" s="382"/>
      <c r="AL16" s="382"/>
      <c r="AM16" s="382"/>
      <c r="AN16" s="391"/>
      <c r="AO16" s="391"/>
      <c r="AP16" s="382"/>
      <c r="AQ16" s="408"/>
      <c r="AR16" s="408"/>
      <c r="AS16" s="379"/>
      <c r="AT16" s="391"/>
      <c r="AU16" s="391"/>
      <c r="AV16" s="382"/>
      <c r="AW16" s="11" t="s">
        <v>144</v>
      </c>
      <c r="AX16" s="11" t="s">
        <v>145</v>
      </c>
      <c r="AY16" s="15" t="s">
        <v>146</v>
      </c>
      <c r="AZ16" s="259">
        <v>0</v>
      </c>
      <c r="BA16" s="60">
        <v>0</v>
      </c>
      <c r="BB16" s="60" t="s">
        <v>147</v>
      </c>
      <c r="BC16" s="259">
        <v>0</v>
      </c>
      <c r="BD16" s="60">
        <v>0</v>
      </c>
      <c r="BE16" s="60" t="s">
        <v>147</v>
      </c>
      <c r="BF16" s="259">
        <v>0</v>
      </c>
      <c r="BG16" s="60">
        <v>0</v>
      </c>
      <c r="BH16" s="60" t="s">
        <v>147</v>
      </c>
      <c r="BI16" s="60">
        <v>0</v>
      </c>
      <c r="BJ16" s="60">
        <v>0</v>
      </c>
      <c r="BK16" s="60" t="s">
        <v>147</v>
      </c>
      <c r="BL16" s="60">
        <v>0</v>
      </c>
      <c r="BM16" s="60">
        <v>0</v>
      </c>
      <c r="BN16" s="60" t="s">
        <v>147</v>
      </c>
      <c r="BO16" s="131">
        <v>0.86199999999999999</v>
      </c>
      <c r="BP16" s="109">
        <v>1.014</v>
      </c>
      <c r="BQ16" s="60" t="s">
        <v>870</v>
      </c>
      <c r="BR16" s="131">
        <v>0.86199999999999999</v>
      </c>
      <c r="BS16" s="109">
        <v>1.014</v>
      </c>
      <c r="BT16" s="60" t="s">
        <v>870</v>
      </c>
      <c r="BU16" s="131">
        <v>0.86199999999999999</v>
      </c>
      <c r="BV16" s="109">
        <v>1.014</v>
      </c>
      <c r="BW16" s="60" t="s">
        <v>870</v>
      </c>
      <c r="BX16" s="131">
        <v>0.86199999999999999</v>
      </c>
      <c r="BY16" s="109">
        <v>1.014</v>
      </c>
      <c r="BZ16" s="60" t="s">
        <v>870</v>
      </c>
      <c r="CA16" s="131">
        <v>0.86199999999999999</v>
      </c>
      <c r="CB16" s="109">
        <v>1.014</v>
      </c>
      <c r="CC16" s="60" t="s">
        <v>870</v>
      </c>
      <c r="CD16" s="131">
        <v>0.86199999999999999</v>
      </c>
      <c r="CE16" s="109">
        <v>1.014</v>
      </c>
      <c r="CF16" s="60" t="s">
        <v>870</v>
      </c>
      <c r="CG16" s="131">
        <v>0.86199999999999999</v>
      </c>
      <c r="CH16" s="109">
        <v>1.014</v>
      </c>
      <c r="CI16" s="60" t="s">
        <v>870</v>
      </c>
      <c r="CJ16" s="11" t="s">
        <v>106</v>
      </c>
      <c r="CK16" s="11" t="s">
        <v>107</v>
      </c>
    </row>
    <row r="17" spans="1:174" s="4" customFormat="1" ht="78" customHeight="1" x14ac:dyDescent="0.2">
      <c r="A17" s="394"/>
      <c r="B17" s="394"/>
      <c r="C17" s="399"/>
      <c r="D17" s="394"/>
      <c r="E17" s="399"/>
      <c r="F17" s="394"/>
      <c r="G17" s="394"/>
      <c r="H17" s="401"/>
      <c r="I17" s="375"/>
      <c r="J17" s="370"/>
      <c r="K17" s="370"/>
      <c r="L17" s="372"/>
      <c r="M17" s="367"/>
      <c r="N17" s="405"/>
      <c r="O17" s="380"/>
      <c r="P17" s="367"/>
      <c r="Q17" s="405"/>
      <c r="R17" s="380"/>
      <c r="S17" s="367"/>
      <c r="T17" s="405"/>
      <c r="U17" s="380"/>
      <c r="V17" s="380"/>
      <c r="W17" s="397"/>
      <c r="X17" s="380"/>
      <c r="Y17" s="380"/>
      <c r="Z17" s="397"/>
      <c r="AA17" s="380"/>
      <c r="AB17" s="380"/>
      <c r="AC17" s="380"/>
      <c r="AD17" s="380"/>
      <c r="AE17" s="255"/>
      <c r="AF17" s="255"/>
      <c r="AG17" s="380"/>
      <c r="AH17" s="255"/>
      <c r="AI17" s="255"/>
      <c r="AJ17" s="380"/>
      <c r="AK17" s="383"/>
      <c r="AL17" s="383"/>
      <c r="AM17" s="383"/>
      <c r="AN17" s="392"/>
      <c r="AO17" s="392"/>
      <c r="AP17" s="383"/>
      <c r="AQ17" s="409"/>
      <c r="AR17" s="409"/>
      <c r="AS17" s="380"/>
      <c r="AT17" s="392"/>
      <c r="AU17" s="392"/>
      <c r="AV17" s="383"/>
      <c r="AW17" s="11" t="s">
        <v>148</v>
      </c>
      <c r="AX17" s="11" t="s">
        <v>149</v>
      </c>
      <c r="AY17" s="15">
        <v>88</v>
      </c>
      <c r="AZ17" s="259">
        <v>0</v>
      </c>
      <c r="BA17" s="60">
        <v>0</v>
      </c>
      <c r="BB17" s="60" t="s">
        <v>147</v>
      </c>
      <c r="BC17" s="259">
        <v>0</v>
      </c>
      <c r="BD17" s="60">
        <v>0</v>
      </c>
      <c r="BE17" s="60" t="s">
        <v>147</v>
      </c>
      <c r="BF17" s="259">
        <v>0</v>
      </c>
      <c r="BG17" s="60">
        <v>0</v>
      </c>
      <c r="BH17" s="60" t="s">
        <v>147</v>
      </c>
      <c r="BI17" s="60">
        <v>0</v>
      </c>
      <c r="BJ17" s="60">
        <v>0</v>
      </c>
      <c r="BK17" s="60" t="s">
        <v>147</v>
      </c>
      <c r="BL17" s="109">
        <v>0.875</v>
      </c>
      <c r="BM17" s="109">
        <v>0.99399999999999999</v>
      </c>
      <c r="BN17" s="60" t="s">
        <v>871</v>
      </c>
      <c r="BO17" s="109">
        <v>0.875</v>
      </c>
      <c r="BP17" s="109">
        <v>0.99399999999999999</v>
      </c>
      <c r="BQ17" s="60" t="s">
        <v>871</v>
      </c>
      <c r="BR17" s="109">
        <v>0.875</v>
      </c>
      <c r="BS17" s="109">
        <v>0.99399999999999999</v>
      </c>
      <c r="BT17" s="60" t="s">
        <v>871</v>
      </c>
      <c r="BU17" s="109">
        <v>0.875</v>
      </c>
      <c r="BV17" s="109">
        <v>0.99399999999999999</v>
      </c>
      <c r="BW17" s="60" t="s">
        <v>871</v>
      </c>
      <c r="BX17" s="109">
        <v>0.875</v>
      </c>
      <c r="BY17" s="109">
        <v>0.99399999999999999</v>
      </c>
      <c r="BZ17" s="60" t="s">
        <v>871</v>
      </c>
      <c r="CA17" s="109">
        <v>0.875</v>
      </c>
      <c r="CB17" s="109">
        <v>0.99399999999999999</v>
      </c>
      <c r="CC17" s="60" t="s">
        <v>871</v>
      </c>
      <c r="CD17" s="109">
        <v>0.875</v>
      </c>
      <c r="CE17" s="109">
        <v>0.99399999999999999</v>
      </c>
      <c r="CF17" s="60" t="s">
        <v>871</v>
      </c>
      <c r="CG17" s="109">
        <v>0.875</v>
      </c>
      <c r="CH17" s="109">
        <v>0.99399999999999999</v>
      </c>
      <c r="CI17" s="60" t="s">
        <v>871</v>
      </c>
      <c r="CJ17" s="11" t="s">
        <v>106</v>
      </c>
      <c r="CK17" s="11" t="s">
        <v>107</v>
      </c>
    </row>
    <row r="18" spans="1:174" s="4" customFormat="1" ht="55.5" customHeight="1" x14ac:dyDescent="0.2">
      <c r="A18" s="370"/>
      <c r="B18" s="370"/>
      <c r="C18" s="400"/>
      <c r="D18" s="370"/>
      <c r="E18" s="400"/>
      <c r="F18" s="370"/>
      <c r="G18" s="370"/>
      <c r="H18" s="375"/>
      <c r="I18" s="13">
        <v>78676000</v>
      </c>
      <c r="J18" s="251" t="s">
        <v>150</v>
      </c>
      <c r="K18" s="251" t="s">
        <v>151</v>
      </c>
      <c r="L18" s="258">
        <v>1</v>
      </c>
      <c r="M18" s="259">
        <v>0</v>
      </c>
      <c r="N18" s="63">
        <v>0</v>
      </c>
      <c r="O18" s="60" t="s">
        <v>139</v>
      </c>
      <c r="P18" s="259">
        <v>0</v>
      </c>
      <c r="Q18" s="63">
        <v>0</v>
      </c>
      <c r="R18" s="60" t="s">
        <v>139</v>
      </c>
      <c r="S18" s="259">
        <v>0.37</v>
      </c>
      <c r="T18" s="259">
        <v>0.37</v>
      </c>
      <c r="U18" s="60" t="s">
        <v>152</v>
      </c>
      <c r="V18" s="60">
        <v>0.37</v>
      </c>
      <c r="W18" s="60">
        <v>0.37</v>
      </c>
      <c r="X18" s="60" t="s">
        <v>139</v>
      </c>
      <c r="Y18" s="60">
        <v>0.37</v>
      </c>
      <c r="Z18" s="60">
        <v>0.37</v>
      </c>
      <c r="AA18" s="60" t="s">
        <v>139</v>
      </c>
      <c r="AB18" s="109">
        <v>0.67700000000000005</v>
      </c>
      <c r="AC18" s="109">
        <v>0.67700000000000005</v>
      </c>
      <c r="AD18" s="60" t="s">
        <v>856</v>
      </c>
      <c r="AE18" s="109">
        <v>0.67700000000000005</v>
      </c>
      <c r="AF18" s="109">
        <v>0.67700000000000005</v>
      </c>
      <c r="AG18" s="60" t="s">
        <v>139</v>
      </c>
      <c r="AH18" s="109">
        <v>0.67700000000000005</v>
      </c>
      <c r="AI18" s="109">
        <v>0.67700000000000005</v>
      </c>
      <c r="AJ18" s="60" t="s">
        <v>139</v>
      </c>
      <c r="AK18" s="60">
        <v>0.78</v>
      </c>
      <c r="AL18" s="60">
        <v>0.78</v>
      </c>
      <c r="AM18" s="60" t="s">
        <v>1232</v>
      </c>
      <c r="AN18" s="60">
        <v>0.78</v>
      </c>
      <c r="AO18" s="60">
        <v>0.78</v>
      </c>
      <c r="AP18" s="60" t="s">
        <v>139</v>
      </c>
      <c r="AQ18" s="60">
        <v>0.78</v>
      </c>
      <c r="AR18" s="60">
        <v>0.78</v>
      </c>
      <c r="AS18" s="60" t="s">
        <v>139</v>
      </c>
      <c r="AT18" s="109">
        <v>0.94399999999999995</v>
      </c>
      <c r="AU18" s="109">
        <v>0.94399999999999995</v>
      </c>
      <c r="AV18" s="60" t="s">
        <v>1745</v>
      </c>
      <c r="AW18" s="368" t="s">
        <v>93</v>
      </c>
      <c r="AX18" s="368"/>
      <c r="AY18" s="368"/>
      <c r="AZ18" s="69"/>
      <c r="BA18" s="71"/>
      <c r="BB18" s="69"/>
      <c r="BC18" s="69"/>
      <c r="BD18" s="71"/>
      <c r="BE18" s="69"/>
      <c r="BF18" s="69"/>
      <c r="BG18" s="71"/>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11" t="s">
        <v>106</v>
      </c>
      <c r="CK18" s="11" t="s">
        <v>107</v>
      </c>
    </row>
    <row r="19" spans="1:174" ht="75" x14ac:dyDescent="0.25">
      <c r="M19" s="56" t="s">
        <v>153</v>
      </c>
      <c r="N19" s="57">
        <v>0.02</v>
      </c>
      <c r="P19" s="56" t="s">
        <v>153</v>
      </c>
      <c r="Q19" s="57">
        <v>8.8999999999999996E-2</v>
      </c>
      <c r="S19" s="56" t="s">
        <v>153</v>
      </c>
      <c r="T19" s="57">
        <v>0.20899999999999999</v>
      </c>
      <c r="V19" s="56" t="s">
        <v>153</v>
      </c>
      <c r="W19" s="57">
        <v>0.28000000000000003</v>
      </c>
      <c r="Y19" s="56" t="s">
        <v>153</v>
      </c>
      <c r="Z19" s="57">
        <v>0.34399999999999997</v>
      </c>
      <c r="AB19" s="56" t="s">
        <v>153</v>
      </c>
      <c r="AC19" s="57">
        <v>0.47299999999999998</v>
      </c>
      <c r="AE19" s="56" t="s">
        <v>153</v>
      </c>
      <c r="AF19" s="57">
        <v>0.60319999999999996</v>
      </c>
      <c r="AH19" s="56" t="s">
        <v>153</v>
      </c>
      <c r="AI19" s="57">
        <v>0.63239999999999996</v>
      </c>
      <c r="AK19" s="56" t="s">
        <v>153</v>
      </c>
      <c r="AL19" s="57">
        <v>0.74560000000000004</v>
      </c>
      <c r="AN19" s="56" t="s">
        <v>153</v>
      </c>
      <c r="AO19" s="57">
        <v>0.80620000000000003</v>
      </c>
      <c r="AQ19" s="56" t="s">
        <v>153</v>
      </c>
      <c r="AR19" s="57">
        <v>0.85019999999999996</v>
      </c>
      <c r="AT19" s="56" t="s">
        <v>153</v>
      </c>
      <c r="AU19" s="57">
        <v>0.98380000000000001</v>
      </c>
      <c r="AZ19" s="56" t="s">
        <v>154</v>
      </c>
      <c r="BA19" s="57">
        <v>0.02</v>
      </c>
      <c r="BC19" s="56" t="s">
        <v>154</v>
      </c>
      <c r="BD19" s="57">
        <v>0.08</v>
      </c>
      <c r="BF19" s="56" t="s">
        <v>154</v>
      </c>
      <c r="BG19" s="57">
        <v>0.13100000000000001</v>
      </c>
      <c r="BH19" s="7"/>
      <c r="BI19" s="56" t="s">
        <v>154</v>
      </c>
      <c r="BJ19" s="57">
        <v>0.19800000000000001</v>
      </c>
      <c r="BL19" s="56" t="s">
        <v>154</v>
      </c>
      <c r="BM19" s="57">
        <v>0.374</v>
      </c>
      <c r="BN19" s="7"/>
      <c r="BO19" s="56" t="s">
        <v>154</v>
      </c>
      <c r="BP19" s="57">
        <v>0.60099999999999998</v>
      </c>
      <c r="BQ19" s="7"/>
      <c r="BR19" s="56" t="s">
        <v>154</v>
      </c>
      <c r="BS19" s="57">
        <v>0.69910000000000005</v>
      </c>
      <c r="BT19" s="7"/>
      <c r="BU19" s="56" t="s">
        <v>154</v>
      </c>
      <c r="BV19" s="57">
        <v>0.72250000000000003</v>
      </c>
      <c r="BW19" s="7"/>
      <c r="BX19" s="56" t="s">
        <v>154</v>
      </c>
      <c r="BY19" s="57">
        <v>0.79700000000000004</v>
      </c>
      <c r="BZ19" s="7"/>
      <c r="CA19" s="56" t="s">
        <v>154</v>
      </c>
      <c r="CB19" s="57">
        <v>0.85009999999999997</v>
      </c>
      <c r="CC19" s="7"/>
      <c r="CD19" s="56" t="s">
        <v>154</v>
      </c>
      <c r="CE19" s="57">
        <v>0.89359999999999995</v>
      </c>
      <c r="CF19" s="7"/>
      <c r="CG19" s="56" t="s">
        <v>154</v>
      </c>
      <c r="CH19" s="57">
        <v>0.99590000000000001</v>
      </c>
      <c r="CI19" s="7"/>
      <c r="CJ19" s="7"/>
      <c r="CK19" s="7"/>
      <c r="FO19"/>
      <c r="FP19"/>
      <c r="FQ19"/>
      <c r="FR19"/>
    </row>
    <row r="20" spans="1:174" x14ac:dyDescent="0.25">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FO20"/>
      <c r="FP20"/>
      <c r="FQ20"/>
      <c r="FR20"/>
    </row>
    <row r="21" spans="1:174" x14ac:dyDescent="0.25">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FO21"/>
      <c r="FP21"/>
      <c r="FQ21"/>
      <c r="FR21"/>
    </row>
    <row r="22" spans="1:174" x14ac:dyDescent="0.25">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FO22"/>
      <c r="FP22"/>
      <c r="FQ22"/>
      <c r="FR22"/>
    </row>
    <row r="23" spans="1:174" x14ac:dyDescent="0.25">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FO23"/>
      <c r="FP23"/>
      <c r="FQ23"/>
      <c r="FR23"/>
    </row>
    <row r="24" spans="1:174" x14ac:dyDescent="0.25">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FO24"/>
      <c r="FP24"/>
      <c r="FQ24"/>
      <c r="FR24"/>
    </row>
    <row r="25" spans="1:174" x14ac:dyDescent="0.25">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FO25"/>
      <c r="FP25"/>
      <c r="FQ25"/>
      <c r="FR25"/>
    </row>
    <row r="26" spans="1:174" x14ac:dyDescent="0.25">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FO26"/>
      <c r="FP26"/>
      <c r="FQ26"/>
      <c r="FR26"/>
    </row>
    <row r="27" spans="1:174" x14ac:dyDescent="0.25">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FO27"/>
      <c r="FP27"/>
      <c r="FQ27"/>
      <c r="FR27"/>
    </row>
    <row r="28" spans="1:174" x14ac:dyDescent="0.25">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FO28"/>
      <c r="FP28"/>
      <c r="FQ28"/>
      <c r="FR28"/>
    </row>
    <row r="29" spans="1:174" x14ac:dyDescent="0.25">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FO29"/>
      <c r="FP29"/>
      <c r="FQ29"/>
      <c r="FR29"/>
    </row>
    <row r="30" spans="1:174" x14ac:dyDescent="0.25">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FO30"/>
      <c r="FP30"/>
      <c r="FQ30"/>
      <c r="FR30"/>
    </row>
    <row r="31" spans="1:174" x14ac:dyDescent="0.25">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FO31"/>
      <c r="FP31"/>
      <c r="FQ31"/>
      <c r="FR31"/>
    </row>
    <row r="32" spans="1:174" x14ac:dyDescent="0.25">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FO32"/>
      <c r="FP32"/>
      <c r="FQ32"/>
      <c r="FR32"/>
    </row>
  </sheetData>
  <autoFilter ref="A7:BR18" xr:uid="{00000000-0009-0000-0000-000000000000}"/>
  <mergeCells count="107">
    <mergeCell ref="CG6:CI6"/>
    <mergeCell ref="CJ6:CK6"/>
    <mergeCell ref="AW8:AY8"/>
    <mergeCell ref="BR6:BT6"/>
    <mergeCell ref="BU6:BW6"/>
    <mergeCell ref="BX6:BZ6"/>
    <mergeCell ref="CA6:CC6"/>
    <mergeCell ref="CD6:CF6"/>
    <mergeCell ref="AQ6:AS6"/>
    <mergeCell ref="AT6:AV6"/>
    <mergeCell ref="AW6:AY6"/>
    <mergeCell ref="AQ9:AQ11"/>
    <mergeCell ref="AR9:AR11"/>
    <mergeCell ref="AS9:AS11"/>
    <mergeCell ref="AT9:AT11"/>
    <mergeCell ref="AU9:AU11"/>
    <mergeCell ref="AV9:AV11"/>
    <mergeCell ref="AW18:AY18"/>
    <mergeCell ref="AO15:AO17"/>
    <mergeCell ref="AP15:AP17"/>
    <mergeCell ref="AQ15:AQ17"/>
    <mergeCell ref="AR15:AR17"/>
    <mergeCell ref="AS15:AS17"/>
    <mergeCell ref="R15:R17"/>
    <mergeCell ref="S15:S17"/>
    <mergeCell ref="T15:T17"/>
    <mergeCell ref="U15:U17"/>
    <mergeCell ref="M9:M11"/>
    <mergeCell ref="N9:N11"/>
    <mergeCell ref="O9:O11"/>
    <mergeCell ref="J6:L6"/>
    <mergeCell ref="AN6:AP6"/>
    <mergeCell ref="P9:P11"/>
    <mergeCell ref="Q9:Q11"/>
    <mergeCell ref="R9:R11"/>
    <mergeCell ref="S9:S11"/>
    <mergeCell ref="T9:T11"/>
    <mergeCell ref="U9:U11"/>
    <mergeCell ref="M15:M17"/>
    <mergeCell ref="N15:N17"/>
    <mergeCell ref="O15:O17"/>
    <mergeCell ref="P15:P17"/>
    <mergeCell ref="Q15:Q17"/>
    <mergeCell ref="M6:O6"/>
    <mergeCell ref="P6:R6"/>
    <mergeCell ref="S6:U6"/>
    <mergeCell ref="L15:L17"/>
    <mergeCell ref="D6:E6"/>
    <mergeCell ref="F6:I6"/>
    <mergeCell ref="A8:A18"/>
    <mergeCell ref="B8:B18"/>
    <mergeCell ref="C8:C18"/>
    <mergeCell ref="D8:D18"/>
    <mergeCell ref="H8:H18"/>
    <mergeCell ref="I9:I11"/>
    <mergeCell ref="I15:I17"/>
    <mergeCell ref="E8:E18"/>
    <mergeCell ref="F8:F18"/>
    <mergeCell ref="G8:G18"/>
    <mergeCell ref="J9:J11"/>
    <mergeCell ref="K9:K11"/>
    <mergeCell ref="L9:L11"/>
    <mergeCell ref="J15:J17"/>
    <mergeCell ref="K15:K17"/>
    <mergeCell ref="V6:X6"/>
    <mergeCell ref="Y6:AA6"/>
    <mergeCell ref="AB6:AD6"/>
    <mergeCell ref="V9:V11"/>
    <mergeCell ref="Z9:Z11"/>
    <mergeCell ref="AA9:AA11"/>
    <mergeCell ref="AB9:AB11"/>
    <mergeCell ref="AC9:AC11"/>
    <mergeCell ref="AD9:AD11"/>
    <mergeCell ref="Y9:Y11"/>
    <mergeCell ref="V15:V17"/>
    <mergeCell ref="W9:W11"/>
    <mergeCell ref="W15:W17"/>
    <mergeCell ref="X15:X17"/>
    <mergeCell ref="X9:X11"/>
    <mergeCell ref="AD15:AD17"/>
    <mergeCell ref="Y15:Y17"/>
    <mergeCell ref="Z15:Z17"/>
    <mergeCell ref="AA15:AA17"/>
    <mergeCell ref="AB15:AB17"/>
    <mergeCell ref="AC15:AC17"/>
    <mergeCell ref="AG15:AG17"/>
    <mergeCell ref="AJ15:AJ17"/>
    <mergeCell ref="AM15:AM17"/>
    <mergeCell ref="BO6:BQ6"/>
    <mergeCell ref="BI6:BK6"/>
    <mergeCell ref="BL6:BN6"/>
    <mergeCell ref="AK6:AM6"/>
    <mergeCell ref="AE6:AG6"/>
    <mergeCell ref="AH6:AJ6"/>
    <mergeCell ref="BF6:BH6"/>
    <mergeCell ref="AZ6:BB6"/>
    <mergeCell ref="BC6:BE6"/>
    <mergeCell ref="AL15:AL17"/>
    <mergeCell ref="AK15:AK17"/>
    <mergeCell ref="AW12:AY12"/>
    <mergeCell ref="AN15:AN17"/>
    <mergeCell ref="AT15:AT17"/>
    <mergeCell ref="AU15:AU17"/>
    <mergeCell ref="AV15:AV17"/>
    <mergeCell ref="AN9:AN11"/>
    <mergeCell ref="AO9:AO11"/>
    <mergeCell ref="AP9:AP11"/>
  </mergeCells>
  <pageMargins left="0.75" right="0.75" top="1" bottom="1" header="0.5" footer="0.5"/>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E18A8-11E1-4927-8AE8-0E83C01609B3}">
  <sheetPr>
    <tabColor theme="5" tint="-0.249977111117893"/>
  </sheetPr>
  <dimension ref="A1:FR31"/>
  <sheetViews>
    <sheetView showGridLines="0" zoomScale="80" zoomScaleNormal="80" workbookViewId="0">
      <selection activeCell="C1" sqref="C1"/>
    </sheetView>
  </sheetViews>
  <sheetFormatPr baseColWidth="10" defaultColWidth="11.42578125" defaultRowHeight="15" x14ac:dyDescent="0.25"/>
  <cols>
    <col min="1" max="1" width="45.42578125" customWidth="1"/>
    <col min="2" max="2" width="45.7109375" bestFit="1" customWidth="1"/>
    <col min="3" max="3" width="19.42578125" style="3" customWidth="1"/>
    <col min="4" max="4" width="17.7109375" style="3" customWidth="1"/>
    <col min="5" max="5" width="43" style="3" bestFit="1" customWidth="1"/>
    <col min="6" max="6" width="15.42578125" style="3" bestFit="1" customWidth="1"/>
    <col min="7" max="7" width="45.7109375" style="3" bestFit="1" customWidth="1"/>
    <col min="8" max="8" width="19.42578125" style="1" customWidth="1"/>
    <col min="9" max="9" width="15.42578125" style="1" customWidth="1"/>
    <col min="10" max="11" width="45.7109375" style="3" bestFit="1" customWidth="1"/>
    <col min="12" max="12" width="17.7109375" style="5" bestFit="1" customWidth="1"/>
    <col min="13" max="13" width="15.28515625" style="3" customWidth="1"/>
    <col min="14" max="14" width="23.42578125" style="64" customWidth="1"/>
    <col min="15" max="15" width="17.7109375" style="5" bestFit="1" customWidth="1"/>
    <col min="16" max="16" width="15.28515625" style="3" customWidth="1"/>
    <col min="17" max="17" width="23.42578125" style="64" customWidth="1"/>
    <col min="18" max="18" width="17.7109375" style="5" bestFit="1" customWidth="1"/>
    <col min="19" max="19" width="15.28515625" style="3" customWidth="1"/>
    <col min="20" max="20" width="23.42578125" style="64" customWidth="1"/>
    <col min="21" max="21" width="17.7109375" style="5" bestFit="1" customWidth="1"/>
    <col min="22" max="22" width="15.28515625" style="3" customWidth="1"/>
    <col min="23" max="23" width="23.42578125" style="64" customWidth="1"/>
    <col min="24" max="24" width="17.7109375" style="5" bestFit="1" customWidth="1"/>
    <col min="25" max="25" width="15.28515625" style="3" customWidth="1"/>
    <col min="26" max="26" width="23.42578125" style="64" customWidth="1"/>
    <col min="27" max="27" width="17.7109375" style="5" bestFit="1" customWidth="1"/>
    <col min="28" max="28" width="15.28515625" style="3" customWidth="1"/>
    <col min="29" max="29" width="23.42578125" style="64" customWidth="1"/>
    <col min="30" max="30" width="17.7109375" style="5" bestFit="1" customWidth="1"/>
    <col min="31" max="31" width="15.28515625" style="3" customWidth="1"/>
    <col min="32" max="32" width="23.42578125" style="64" customWidth="1"/>
    <col min="33" max="33" width="17.7109375" style="5" bestFit="1" customWidth="1"/>
    <col min="34" max="34" width="15.28515625" style="3" customWidth="1"/>
    <col min="35" max="35" width="23.42578125" style="64" customWidth="1"/>
    <col min="36" max="36" width="17.7109375" style="5" bestFit="1" customWidth="1"/>
    <col min="37" max="37" width="15.28515625" style="3" customWidth="1"/>
    <col min="38" max="38" width="23.42578125" style="64" customWidth="1"/>
    <col min="39" max="39" width="17.7109375" style="5" bestFit="1" customWidth="1"/>
    <col min="40" max="40" width="15.28515625" style="3" customWidth="1"/>
    <col min="41" max="41" width="23.42578125" style="64" customWidth="1"/>
    <col min="42" max="42" width="17.7109375" style="5" bestFit="1" customWidth="1"/>
    <col min="43" max="43" width="15.28515625" style="3" customWidth="1"/>
    <col min="44" max="44" width="23.42578125" style="64" customWidth="1"/>
    <col min="45" max="45" width="17.7109375" style="5" bestFit="1" customWidth="1"/>
    <col min="46" max="46" width="15.28515625" style="3" customWidth="1"/>
    <col min="47" max="47" width="23.42578125" style="64" customWidth="1"/>
    <col min="48" max="48" width="17.7109375" style="5" bestFit="1" customWidth="1"/>
    <col min="49" max="50" width="45.7109375" style="2" bestFit="1" customWidth="1"/>
    <col min="51" max="51" width="15.28515625" style="6" bestFit="1" customWidth="1"/>
    <col min="52" max="52" width="15.28515625" style="3" customWidth="1"/>
    <col min="53" max="53" width="23.42578125" style="64" customWidth="1"/>
    <col min="54" max="54" width="17.7109375" style="5" bestFit="1" customWidth="1"/>
    <col min="55" max="55" width="15.28515625" style="3" customWidth="1"/>
    <col min="56" max="56" width="23.42578125" style="64" customWidth="1"/>
    <col min="57" max="57" width="17.7109375" style="5" bestFit="1" customWidth="1"/>
    <col min="58" max="58" width="15.28515625" style="3" customWidth="1"/>
    <col min="59" max="59" width="23.42578125" style="64" customWidth="1"/>
    <col min="60" max="60" width="17.7109375" style="5" bestFit="1" customWidth="1"/>
    <col min="61" max="61" width="15.28515625" style="3" customWidth="1"/>
    <col min="62" max="62" width="23.42578125" style="64" customWidth="1"/>
    <col min="63" max="63" width="17.7109375" style="5" bestFit="1" customWidth="1"/>
    <col min="64" max="64" width="15.28515625" style="3" customWidth="1"/>
    <col min="65" max="65" width="23.42578125" style="64" customWidth="1"/>
    <col min="66" max="66" width="17.7109375" style="5" bestFit="1" customWidth="1"/>
    <col min="67" max="67" width="15.28515625" style="3" customWidth="1"/>
    <col min="68" max="68" width="23.42578125" style="64" customWidth="1"/>
    <col min="69" max="69" width="17.7109375" style="5" bestFit="1" customWidth="1"/>
    <col min="70" max="70" width="15.28515625" style="3" customWidth="1"/>
    <col min="71" max="71" width="23.42578125" style="64" customWidth="1"/>
    <col min="72" max="72" width="17.7109375" style="5" bestFit="1" customWidth="1"/>
    <col min="73" max="73" width="15.28515625" style="3" customWidth="1"/>
    <col min="74" max="74" width="23.42578125" style="64" customWidth="1"/>
    <col min="75" max="75" width="17.7109375" style="5" bestFit="1" customWidth="1"/>
    <col min="76" max="76" width="15.28515625" style="3" customWidth="1"/>
    <col min="77" max="77" width="23.42578125" style="64" customWidth="1"/>
    <col min="78" max="78" width="17.7109375" style="5" bestFit="1" customWidth="1"/>
    <col min="79" max="79" width="15.28515625" style="3" customWidth="1"/>
    <col min="80" max="80" width="23.42578125" style="64" customWidth="1"/>
    <col min="81" max="81" width="17.7109375" style="5" bestFit="1" customWidth="1"/>
    <col min="82" max="82" width="15.28515625" style="3" customWidth="1"/>
    <col min="83" max="83" width="23.42578125" style="64" customWidth="1"/>
    <col min="84" max="84" width="17.7109375" style="5" bestFit="1" customWidth="1"/>
    <col min="85" max="85" width="15.28515625" style="3" customWidth="1"/>
    <col min="86" max="86" width="23.42578125" style="64" customWidth="1"/>
    <col min="87" max="87" width="17.7109375" style="5" bestFit="1" customWidth="1"/>
    <col min="88" max="88" width="30.140625" style="10" bestFit="1" customWidth="1"/>
    <col min="89" max="89" width="45.7109375" style="10" bestFit="1" customWidth="1"/>
    <col min="90" max="174" width="11.42578125" style="7"/>
  </cols>
  <sheetData>
    <row r="1" spans="1:174" x14ac:dyDescent="0.25">
      <c r="H1"/>
      <c r="I1"/>
      <c r="AY1" s="111"/>
    </row>
    <row r="2" spans="1:174" x14ac:dyDescent="0.25">
      <c r="H2"/>
      <c r="I2"/>
      <c r="AY2" s="111"/>
    </row>
    <row r="3" spans="1:174" x14ac:dyDescent="0.25">
      <c r="H3"/>
      <c r="I3"/>
      <c r="AY3" s="111"/>
    </row>
    <row r="4" spans="1:174" x14ac:dyDescent="0.25">
      <c r="H4"/>
      <c r="I4"/>
      <c r="AY4" s="111"/>
    </row>
    <row r="5" spans="1:174" x14ac:dyDescent="0.25">
      <c r="H5"/>
      <c r="I5"/>
      <c r="N5" s="65"/>
      <c r="Q5" s="65"/>
      <c r="T5" s="65"/>
      <c r="W5" s="65"/>
      <c r="Z5" s="65"/>
      <c r="AC5" s="65"/>
      <c r="AF5" s="65"/>
      <c r="AI5" s="65"/>
      <c r="AL5" s="65"/>
      <c r="AO5" s="65"/>
      <c r="AR5" s="65"/>
      <c r="AU5" s="65"/>
      <c r="AY5" s="111"/>
      <c r="BA5" s="65"/>
      <c r="BD5" s="65"/>
      <c r="BG5" s="65"/>
      <c r="BJ5" s="65"/>
      <c r="BM5" s="65"/>
      <c r="BP5" s="65"/>
      <c r="BS5" s="65"/>
      <c r="BV5" s="65"/>
      <c r="BY5" s="65"/>
      <c r="CB5" s="65"/>
      <c r="CE5" s="65"/>
      <c r="CH5" s="65"/>
    </row>
    <row r="6" spans="1:174" s="9" customFormat="1" ht="30" x14ac:dyDescent="0.2">
      <c r="A6" s="123" t="s">
        <v>59</v>
      </c>
      <c r="B6" s="123" t="s">
        <v>60</v>
      </c>
      <c r="C6" s="318"/>
      <c r="D6" s="358" t="s">
        <v>61</v>
      </c>
      <c r="E6" s="359"/>
      <c r="F6" s="358" t="s">
        <v>62</v>
      </c>
      <c r="G6" s="360"/>
      <c r="H6" s="360"/>
      <c r="I6" s="359"/>
      <c r="J6" s="361" t="s">
        <v>63</v>
      </c>
      <c r="K6" s="361"/>
      <c r="L6" s="361"/>
      <c r="M6" s="362" t="s">
        <v>2</v>
      </c>
      <c r="N6" s="363"/>
      <c r="O6" s="364"/>
      <c r="P6" s="362" t="s">
        <v>3</v>
      </c>
      <c r="Q6" s="363"/>
      <c r="R6" s="364"/>
      <c r="S6" s="362" t="s">
        <v>4</v>
      </c>
      <c r="T6" s="363"/>
      <c r="U6" s="364"/>
      <c r="V6" s="362" t="s">
        <v>830</v>
      </c>
      <c r="W6" s="363"/>
      <c r="X6" s="364"/>
      <c r="Y6" s="362" t="s">
        <v>831</v>
      </c>
      <c r="Z6" s="363"/>
      <c r="AA6" s="364"/>
      <c r="AB6" s="362" t="s">
        <v>832</v>
      </c>
      <c r="AC6" s="363"/>
      <c r="AD6" s="364"/>
      <c r="AE6" s="362" t="s">
        <v>1026</v>
      </c>
      <c r="AF6" s="363"/>
      <c r="AG6" s="364"/>
      <c r="AH6" s="362" t="s">
        <v>1027</v>
      </c>
      <c r="AI6" s="363"/>
      <c r="AJ6" s="364"/>
      <c r="AK6" s="362" t="s">
        <v>1028</v>
      </c>
      <c r="AL6" s="363"/>
      <c r="AM6" s="364"/>
      <c r="AN6" s="362" t="s">
        <v>1029</v>
      </c>
      <c r="AO6" s="363"/>
      <c r="AP6" s="364"/>
      <c r="AQ6" s="362" t="s">
        <v>1030</v>
      </c>
      <c r="AR6" s="363"/>
      <c r="AS6" s="364"/>
      <c r="AT6" s="362" t="s">
        <v>1701</v>
      </c>
      <c r="AU6" s="363"/>
      <c r="AV6" s="364"/>
      <c r="AW6" s="410" t="s">
        <v>64</v>
      </c>
      <c r="AX6" s="410"/>
      <c r="AY6" s="410"/>
      <c r="AZ6" s="387" t="s">
        <v>2</v>
      </c>
      <c r="BA6" s="388"/>
      <c r="BB6" s="389"/>
      <c r="BC6" s="387" t="s">
        <v>3</v>
      </c>
      <c r="BD6" s="388"/>
      <c r="BE6" s="389"/>
      <c r="BF6" s="387" t="s">
        <v>4</v>
      </c>
      <c r="BG6" s="388"/>
      <c r="BH6" s="389"/>
      <c r="BI6" s="387" t="s">
        <v>830</v>
      </c>
      <c r="BJ6" s="388"/>
      <c r="BK6" s="389"/>
      <c r="BL6" s="387" t="s">
        <v>831</v>
      </c>
      <c r="BM6" s="388"/>
      <c r="BN6" s="389"/>
      <c r="BO6" s="387" t="s">
        <v>832</v>
      </c>
      <c r="BP6" s="388"/>
      <c r="BQ6" s="389"/>
      <c r="BR6" s="387" t="s">
        <v>1026</v>
      </c>
      <c r="BS6" s="388"/>
      <c r="BT6" s="389"/>
      <c r="BU6" s="387" t="s">
        <v>1027</v>
      </c>
      <c r="BV6" s="388"/>
      <c r="BW6" s="389"/>
      <c r="BX6" s="387" t="s">
        <v>1028</v>
      </c>
      <c r="BY6" s="388"/>
      <c r="BZ6" s="389"/>
      <c r="CA6" s="387" t="s">
        <v>1029</v>
      </c>
      <c r="CB6" s="388"/>
      <c r="CC6" s="389"/>
      <c r="CD6" s="387" t="s">
        <v>1030</v>
      </c>
      <c r="CE6" s="388"/>
      <c r="CF6" s="389"/>
      <c r="CG6" s="387" t="s">
        <v>1701</v>
      </c>
      <c r="CH6" s="388"/>
      <c r="CI6" s="389"/>
      <c r="CJ6" s="361" t="s">
        <v>65</v>
      </c>
      <c r="CK6" s="361"/>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row>
    <row r="7" spans="1:174" s="9" customFormat="1" ht="49.5" customHeight="1" x14ac:dyDescent="0.2">
      <c r="A7" s="123" t="s">
        <v>66</v>
      </c>
      <c r="B7" s="123" t="s">
        <v>67</v>
      </c>
      <c r="C7" s="123" t="s">
        <v>68</v>
      </c>
      <c r="D7" s="123" t="s">
        <v>69</v>
      </c>
      <c r="E7" s="123" t="s">
        <v>70</v>
      </c>
      <c r="F7" s="123" t="s">
        <v>71</v>
      </c>
      <c r="G7" s="123" t="s">
        <v>72</v>
      </c>
      <c r="H7" s="12" t="s">
        <v>73</v>
      </c>
      <c r="I7" s="12" t="s">
        <v>74</v>
      </c>
      <c r="J7" s="123" t="s">
        <v>63</v>
      </c>
      <c r="K7" s="123" t="s">
        <v>75</v>
      </c>
      <c r="L7" s="123" t="s">
        <v>76</v>
      </c>
      <c r="M7" s="123" t="s">
        <v>77</v>
      </c>
      <c r="N7" s="66" t="s">
        <v>78</v>
      </c>
      <c r="O7" s="123" t="s">
        <v>79</v>
      </c>
      <c r="P7" s="123" t="s">
        <v>77</v>
      </c>
      <c r="Q7" s="66" t="s">
        <v>78</v>
      </c>
      <c r="R7" s="123" t="s">
        <v>79</v>
      </c>
      <c r="S7" s="123" t="s">
        <v>77</v>
      </c>
      <c r="T7" s="66" t="s">
        <v>78</v>
      </c>
      <c r="U7" s="123" t="s">
        <v>79</v>
      </c>
      <c r="V7" s="141" t="s">
        <v>77</v>
      </c>
      <c r="W7" s="66" t="s">
        <v>78</v>
      </c>
      <c r="X7" s="141" t="s">
        <v>79</v>
      </c>
      <c r="Y7" s="141" t="s">
        <v>77</v>
      </c>
      <c r="Z7" s="66" t="s">
        <v>78</v>
      </c>
      <c r="AA7" s="141" t="s">
        <v>79</v>
      </c>
      <c r="AB7" s="141" t="s">
        <v>77</v>
      </c>
      <c r="AC7" s="66" t="s">
        <v>78</v>
      </c>
      <c r="AD7" s="141" t="s">
        <v>79</v>
      </c>
      <c r="AE7" s="218" t="s">
        <v>77</v>
      </c>
      <c r="AF7" s="66" t="s">
        <v>78</v>
      </c>
      <c r="AG7" s="218" t="s">
        <v>79</v>
      </c>
      <c r="AH7" s="218" t="s">
        <v>77</v>
      </c>
      <c r="AI7" s="66" t="s">
        <v>78</v>
      </c>
      <c r="AJ7" s="218" t="s">
        <v>79</v>
      </c>
      <c r="AK7" s="218" t="s">
        <v>77</v>
      </c>
      <c r="AL7" s="66" t="s">
        <v>78</v>
      </c>
      <c r="AM7" s="218" t="s">
        <v>79</v>
      </c>
      <c r="AN7" s="262" t="s">
        <v>77</v>
      </c>
      <c r="AO7" s="66" t="s">
        <v>78</v>
      </c>
      <c r="AP7" s="262" t="s">
        <v>79</v>
      </c>
      <c r="AQ7" s="262" t="s">
        <v>77</v>
      </c>
      <c r="AR7" s="66" t="s">
        <v>78</v>
      </c>
      <c r="AS7" s="262" t="s">
        <v>79</v>
      </c>
      <c r="AT7" s="262" t="s">
        <v>77</v>
      </c>
      <c r="AU7" s="66" t="s">
        <v>78</v>
      </c>
      <c r="AV7" s="262" t="s">
        <v>79</v>
      </c>
      <c r="AW7" s="213" t="s">
        <v>64</v>
      </c>
      <c r="AX7" s="213" t="s">
        <v>80</v>
      </c>
      <c r="AY7" s="213" t="s">
        <v>81</v>
      </c>
      <c r="AZ7" s="213" t="s">
        <v>77</v>
      </c>
      <c r="BA7" s="214" t="s">
        <v>78</v>
      </c>
      <c r="BB7" s="213" t="s">
        <v>79</v>
      </c>
      <c r="BC7" s="213" t="s">
        <v>77</v>
      </c>
      <c r="BD7" s="214" t="s">
        <v>78</v>
      </c>
      <c r="BE7" s="213" t="s">
        <v>79</v>
      </c>
      <c r="BF7" s="213" t="s">
        <v>77</v>
      </c>
      <c r="BG7" s="214" t="s">
        <v>78</v>
      </c>
      <c r="BH7" s="213" t="s">
        <v>79</v>
      </c>
      <c r="BI7" s="213" t="s">
        <v>77</v>
      </c>
      <c r="BJ7" s="214" t="s">
        <v>78</v>
      </c>
      <c r="BK7" s="213" t="s">
        <v>79</v>
      </c>
      <c r="BL7" s="213" t="s">
        <v>77</v>
      </c>
      <c r="BM7" s="214" t="s">
        <v>78</v>
      </c>
      <c r="BN7" s="213" t="s">
        <v>79</v>
      </c>
      <c r="BO7" s="213" t="s">
        <v>77</v>
      </c>
      <c r="BP7" s="214" t="s">
        <v>78</v>
      </c>
      <c r="BQ7" s="213" t="s">
        <v>79</v>
      </c>
      <c r="BR7" s="221" t="s">
        <v>77</v>
      </c>
      <c r="BS7" s="214" t="s">
        <v>78</v>
      </c>
      <c r="BT7" s="221" t="s">
        <v>79</v>
      </c>
      <c r="BU7" s="221" t="s">
        <v>77</v>
      </c>
      <c r="BV7" s="214" t="s">
        <v>78</v>
      </c>
      <c r="BW7" s="221" t="s">
        <v>79</v>
      </c>
      <c r="BX7" s="221" t="s">
        <v>77</v>
      </c>
      <c r="BY7" s="214" t="s">
        <v>78</v>
      </c>
      <c r="BZ7" s="221" t="s">
        <v>79</v>
      </c>
      <c r="CA7" s="269" t="s">
        <v>77</v>
      </c>
      <c r="CB7" s="214" t="s">
        <v>78</v>
      </c>
      <c r="CC7" s="269" t="s">
        <v>79</v>
      </c>
      <c r="CD7" s="269" t="s">
        <v>77</v>
      </c>
      <c r="CE7" s="214" t="s">
        <v>78</v>
      </c>
      <c r="CF7" s="269" t="s">
        <v>79</v>
      </c>
      <c r="CG7" s="269" t="s">
        <v>77</v>
      </c>
      <c r="CH7" s="214" t="s">
        <v>78</v>
      </c>
      <c r="CI7" s="269" t="s">
        <v>79</v>
      </c>
      <c r="CJ7" s="123" t="s">
        <v>82</v>
      </c>
      <c r="CK7" s="123" t="s">
        <v>83</v>
      </c>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row>
    <row r="8" spans="1:174" s="4" customFormat="1" ht="60.75" customHeight="1" x14ac:dyDescent="0.2">
      <c r="A8" s="124" t="s">
        <v>84</v>
      </c>
      <c r="B8" s="124" t="s">
        <v>155</v>
      </c>
      <c r="C8" s="124" t="s">
        <v>2716</v>
      </c>
      <c r="D8" s="124" t="s">
        <v>157</v>
      </c>
      <c r="E8" s="125" t="s">
        <v>158</v>
      </c>
      <c r="F8" s="124" t="s">
        <v>88</v>
      </c>
      <c r="G8" s="124" t="s">
        <v>89</v>
      </c>
      <c r="H8" s="374">
        <v>16996168199</v>
      </c>
      <c r="I8" s="13">
        <v>301847621</v>
      </c>
      <c r="J8" s="14" t="s">
        <v>1924</v>
      </c>
      <c r="K8" s="112"/>
      <c r="L8" s="113"/>
      <c r="M8" s="69"/>
      <c r="N8" s="71"/>
      <c r="O8" s="69"/>
      <c r="P8" s="69"/>
      <c r="Q8" s="71"/>
      <c r="R8" s="69"/>
      <c r="S8" s="69"/>
      <c r="T8" s="71"/>
      <c r="U8" s="69"/>
      <c r="V8" s="69"/>
      <c r="W8" s="71"/>
      <c r="X8" s="69"/>
      <c r="Y8" s="69"/>
      <c r="Z8" s="71"/>
      <c r="AA8" s="69"/>
      <c r="AB8" s="69"/>
      <c r="AC8" s="71"/>
      <c r="AD8" s="69"/>
      <c r="AE8" s="69"/>
      <c r="AF8" s="71"/>
      <c r="AG8" s="69"/>
      <c r="AH8" s="69"/>
      <c r="AI8" s="71"/>
      <c r="AJ8" s="69"/>
      <c r="AK8" s="69"/>
      <c r="AL8" s="71"/>
      <c r="AM8" s="69"/>
      <c r="AN8" s="69"/>
      <c r="AO8" s="71"/>
      <c r="AP8" s="69"/>
      <c r="AQ8" s="69"/>
      <c r="AR8" s="71"/>
      <c r="AS8" s="69"/>
      <c r="AT8" s="69"/>
      <c r="AU8" s="71"/>
      <c r="AV8" s="69"/>
      <c r="AW8" s="368" t="s">
        <v>93</v>
      </c>
      <c r="AX8" s="368"/>
      <c r="AY8" s="368"/>
      <c r="AZ8" s="69"/>
      <c r="BA8" s="71"/>
      <c r="BB8" s="69"/>
      <c r="BC8" s="69"/>
      <c r="BD8" s="71"/>
      <c r="BE8" s="69"/>
      <c r="BF8" s="69"/>
      <c r="BG8" s="71"/>
      <c r="BH8" s="69"/>
      <c r="BI8" s="69"/>
      <c r="BJ8" s="71"/>
      <c r="BK8" s="69"/>
      <c r="BL8" s="69"/>
      <c r="BM8" s="71"/>
      <c r="BN8" s="69"/>
      <c r="BO8" s="69"/>
      <c r="BP8" s="71"/>
      <c r="BQ8" s="69"/>
      <c r="BR8" s="69"/>
      <c r="BS8" s="71"/>
      <c r="BT8" s="69"/>
      <c r="BU8" s="69"/>
      <c r="BV8" s="71"/>
      <c r="BW8" s="69"/>
      <c r="BX8" s="69"/>
      <c r="BY8" s="71"/>
      <c r="BZ8" s="69"/>
      <c r="CA8" s="69"/>
      <c r="CB8" s="71"/>
      <c r="CC8" s="69"/>
      <c r="CD8" s="69"/>
      <c r="CE8" s="71"/>
      <c r="CF8" s="69"/>
      <c r="CG8" s="69"/>
      <c r="CH8" s="71"/>
      <c r="CI8" s="69"/>
      <c r="CJ8" s="11" t="s">
        <v>159</v>
      </c>
      <c r="CK8" s="11" t="s">
        <v>160</v>
      </c>
    </row>
    <row r="9" spans="1:174" ht="75" x14ac:dyDescent="0.25">
      <c r="H9" s="401"/>
      <c r="M9" s="56" t="s">
        <v>161</v>
      </c>
      <c r="N9" s="67" t="s">
        <v>11</v>
      </c>
      <c r="P9" s="56" t="s">
        <v>161</v>
      </c>
      <c r="Q9" s="67" t="s">
        <v>11</v>
      </c>
      <c r="S9" s="56" t="s">
        <v>161</v>
      </c>
      <c r="T9" s="67" t="s">
        <v>11</v>
      </c>
      <c r="V9" s="56" t="s">
        <v>161</v>
      </c>
      <c r="W9" s="67" t="s">
        <v>11</v>
      </c>
      <c r="Y9" s="56" t="s">
        <v>161</v>
      </c>
      <c r="Z9" s="67" t="s">
        <v>11</v>
      </c>
      <c r="AB9" s="56" t="s">
        <v>161</v>
      </c>
      <c r="AC9" s="67" t="s">
        <v>11</v>
      </c>
      <c r="AE9" s="56" t="s">
        <v>161</v>
      </c>
      <c r="AF9" s="67" t="s">
        <v>11</v>
      </c>
      <c r="AH9" s="56" t="s">
        <v>161</v>
      </c>
      <c r="AI9" s="67" t="s">
        <v>11</v>
      </c>
      <c r="AK9" s="56" t="s">
        <v>161</v>
      </c>
      <c r="AL9" s="67" t="s">
        <v>11</v>
      </c>
      <c r="AN9" s="56" t="s">
        <v>161</v>
      </c>
      <c r="AO9" s="67" t="s">
        <v>11</v>
      </c>
      <c r="AQ9" s="56" t="s">
        <v>161</v>
      </c>
      <c r="AR9" s="67" t="s">
        <v>11</v>
      </c>
      <c r="AT9" s="56" t="s">
        <v>161</v>
      </c>
      <c r="AU9" s="67" t="s">
        <v>11</v>
      </c>
      <c r="AZ9" s="56" t="s">
        <v>162</v>
      </c>
      <c r="BA9" s="67" t="s">
        <v>11</v>
      </c>
      <c r="BC9" s="56" t="s">
        <v>162</v>
      </c>
      <c r="BD9" s="67" t="s">
        <v>11</v>
      </c>
      <c r="BF9" s="56" t="s">
        <v>162</v>
      </c>
      <c r="BG9" s="67" t="s">
        <v>11</v>
      </c>
      <c r="BH9" s="7"/>
      <c r="BI9" s="56" t="s">
        <v>162</v>
      </c>
      <c r="BJ9" s="67" t="s">
        <v>11</v>
      </c>
      <c r="BL9" s="56" t="s">
        <v>162</v>
      </c>
      <c r="BM9" s="67" t="s">
        <v>11</v>
      </c>
      <c r="BO9" s="56" t="s">
        <v>162</v>
      </c>
      <c r="BP9" s="67" t="s">
        <v>11</v>
      </c>
      <c r="BQ9" s="7"/>
      <c r="BR9" s="56" t="s">
        <v>162</v>
      </c>
      <c r="BS9" s="67" t="s">
        <v>11</v>
      </c>
      <c r="BU9" s="56" t="s">
        <v>162</v>
      </c>
      <c r="BV9" s="67" t="s">
        <v>11</v>
      </c>
      <c r="BX9" s="56" t="s">
        <v>162</v>
      </c>
      <c r="BY9" s="67" t="s">
        <v>11</v>
      </c>
      <c r="BZ9" s="7"/>
      <c r="CA9" s="56" t="s">
        <v>162</v>
      </c>
      <c r="CB9" s="67" t="s">
        <v>11</v>
      </c>
      <c r="CD9" s="56" t="s">
        <v>162</v>
      </c>
      <c r="CE9" s="67" t="s">
        <v>11</v>
      </c>
      <c r="CG9" s="56" t="s">
        <v>162</v>
      </c>
      <c r="CH9" s="67" t="s">
        <v>11</v>
      </c>
      <c r="CI9" s="7"/>
      <c r="CJ9" s="7"/>
      <c r="CK9" s="7"/>
      <c r="FO9"/>
      <c r="FP9"/>
      <c r="FQ9"/>
      <c r="FR9"/>
    </row>
    <row r="10" spans="1:174" s="4" customFormat="1" ht="33.75" customHeight="1" x14ac:dyDescent="0.2">
      <c r="A10" s="369" t="s">
        <v>84</v>
      </c>
      <c r="B10" s="369" t="s">
        <v>155</v>
      </c>
      <c r="C10" s="369" t="s">
        <v>2716</v>
      </c>
      <c r="D10" s="369" t="s">
        <v>157</v>
      </c>
      <c r="E10" s="398" t="s">
        <v>163</v>
      </c>
      <c r="F10" s="369" t="s">
        <v>88</v>
      </c>
      <c r="G10" s="369" t="s">
        <v>89</v>
      </c>
      <c r="H10" s="401"/>
      <c r="I10" s="13">
        <v>366497660</v>
      </c>
      <c r="J10" s="60" t="s">
        <v>1796</v>
      </c>
      <c r="K10" s="60" t="s">
        <v>1797</v>
      </c>
      <c r="L10" s="129">
        <v>1</v>
      </c>
      <c r="M10" s="60">
        <v>0</v>
      </c>
      <c r="N10" s="129">
        <v>0</v>
      </c>
      <c r="O10" s="60" t="s">
        <v>164</v>
      </c>
      <c r="P10" s="60">
        <v>1</v>
      </c>
      <c r="Q10" s="129">
        <v>1</v>
      </c>
      <c r="R10" s="60" t="s">
        <v>165</v>
      </c>
      <c r="S10" s="60">
        <v>1</v>
      </c>
      <c r="T10" s="129">
        <v>1</v>
      </c>
      <c r="U10" s="60" t="s">
        <v>165</v>
      </c>
      <c r="V10" s="60">
        <v>1</v>
      </c>
      <c r="W10" s="144">
        <v>1</v>
      </c>
      <c r="X10" s="60" t="s">
        <v>1035</v>
      </c>
      <c r="Y10" s="60">
        <v>1</v>
      </c>
      <c r="Z10" s="144">
        <v>1</v>
      </c>
      <c r="AA10" s="60" t="s">
        <v>1049</v>
      </c>
      <c r="AB10" s="60">
        <v>1</v>
      </c>
      <c r="AC10" s="144">
        <v>1</v>
      </c>
      <c r="AD10" s="60" t="s">
        <v>1066</v>
      </c>
      <c r="AE10" s="60">
        <v>1</v>
      </c>
      <c r="AF10" s="223">
        <v>1</v>
      </c>
      <c r="AG10" s="60" t="s">
        <v>1284</v>
      </c>
      <c r="AH10" s="60">
        <v>0.63329999999999997</v>
      </c>
      <c r="AI10" s="223">
        <v>0.63329999999999997</v>
      </c>
      <c r="AJ10" s="60" t="s">
        <v>1301</v>
      </c>
      <c r="AK10" s="60">
        <v>0.76659999999999995</v>
      </c>
      <c r="AL10" s="223">
        <v>0.76659999999999995</v>
      </c>
      <c r="AM10" s="60" t="s">
        <v>1317</v>
      </c>
      <c r="AN10" s="60">
        <v>0.8666666666666667</v>
      </c>
      <c r="AO10" s="60">
        <v>0.8666666666666667</v>
      </c>
      <c r="AP10" s="60" t="s">
        <v>1919</v>
      </c>
      <c r="AQ10" s="60">
        <v>0.9</v>
      </c>
      <c r="AR10" s="279">
        <v>0.9</v>
      </c>
      <c r="AS10" s="60" t="s">
        <v>1949</v>
      </c>
      <c r="AT10" s="60">
        <v>1</v>
      </c>
      <c r="AU10" s="279">
        <v>1</v>
      </c>
      <c r="AV10" s="60" t="s">
        <v>1798</v>
      </c>
      <c r="AW10" s="368" t="s">
        <v>93</v>
      </c>
      <c r="AX10" s="368"/>
      <c r="AY10" s="368"/>
      <c r="AZ10" s="69"/>
      <c r="BA10" s="71"/>
      <c r="BB10" s="69"/>
      <c r="BC10" s="69"/>
      <c r="BD10" s="71"/>
      <c r="BE10" s="69"/>
      <c r="BF10" s="69"/>
      <c r="BG10" s="71"/>
      <c r="BH10" s="69"/>
      <c r="BI10" s="69"/>
      <c r="BJ10" s="71"/>
      <c r="BK10" s="69"/>
      <c r="BL10" s="69"/>
      <c r="BM10" s="71"/>
      <c r="BN10" s="69"/>
      <c r="BO10" s="69"/>
      <c r="BP10" s="71"/>
      <c r="BQ10" s="69"/>
      <c r="BR10" s="69"/>
      <c r="BS10" s="71"/>
      <c r="BT10" s="69"/>
      <c r="BU10" s="69"/>
      <c r="BV10" s="71"/>
      <c r="BW10" s="69"/>
      <c r="BX10" s="69"/>
      <c r="BY10" s="71"/>
      <c r="BZ10" s="69"/>
      <c r="CA10" s="69"/>
      <c r="CB10" s="71"/>
      <c r="CC10" s="69"/>
      <c r="CD10" s="69"/>
      <c r="CE10" s="71"/>
      <c r="CF10" s="69"/>
      <c r="CG10" s="69"/>
      <c r="CH10" s="71"/>
      <c r="CI10" s="69"/>
      <c r="CJ10" s="11" t="s">
        <v>159</v>
      </c>
      <c r="CK10" s="11" t="s">
        <v>160</v>
      </c>
    </row>
    <row r="11" spans="1:174" s="4" customFormat="1" ht="33.75" customHeight="1" x14ac:dyDescent="0.2">
      <c r="A11" s="394"/>
      <c r="B11" s="394"/>
      <c r="C11" s="394"/>
      <c r="D11" s="394"/>
      <c r="E11" s="399"/>
      <c r="F11" s="394"/>
      <c r="G11" s="394"/>
      <c r="H11" s="401"/>
      <c r="I11" s="13">
        <v>3089541746</v>
      </c>
      <c r="J11" s="60" t="s">
        <v>166</v>
      </c>
      <c r="K11" s="71"/>
      <c r="L11" s="69"/>
      <c r="M11" s="69"/>
      <c r="N11" s="71"/>
      <c r="O11" s="69"/>
      <c r="P11" s="69"/>
      <c r="Q11" s="71"/>
      <c r="R11" s="69"/>
      <c r="S11" s="69"/>
      <c r="T11" s="71"/>
      <c r="U11" s="69"/>
      <c r="V11" s="69"/>
      <c r="W11" s="71"/>
      <c r="X11" s="69"/>
      <c r="Y11" s="69"/>
      <c r="Z11" s="71"/>
      <c r="AA11" s="69"/>
      <c r="AB11" s="69"/>
      <c r="AC11" s="71"/>
      <c r="AD11" s="69"/>
      <c r="AE11" s="69"/>
      <c r="AF11" s="71"/>
      <c r="AG11" s="69"/>
      <c r="AH11" s="69"/>
      <c r="AI11" s="71"/>
      <c r="AJ11" s="69"/>
      <c r="AK11" s="69"/>
      <c r="AL11" s="71"/>
      <c r="AM11" s="69"/>
      <c r="AN11" s="69"/>
      <c r="AO11" s="71"/>
      <c r="AP11" s="69"/>
      <c r="AQ11" s="69"/>
      <c r="AR11" s="71"/>
      <c r="AS11" s="69"/>
      <c r="AT11" s="69"/>
      <c r="AU11" s="71"/>
      <c r="AV11" s="69"/>
      <c r="AW11" s="368" t="s">
        <v>93</v>
      </c>
      <c r="AX11" s="368"/>
      <c r="AY11" s="368"/>
      <c r="AZ11" s="69"/>
      <c r="BA11" s="71"/>
      <c r="BB11" s="69"/>
      <c r="BC11" s="69"/>
      <c r="BD11" s="71"/>
      <c r="BE11" s="69"/>
      <c r="BF11" s="69"/>
      <c r="BG11" s="71"/>
      <c r="BH11" s="69"/>
      <c r="BI11" s="69"/>
      <c r="BJ11" s="71"/>
      <c r="BK11" s="69"/>
      <c r="BL11" s="69"/>
      <c r="BM11" s="71"/>
      <c r="BN11" s="69"/>
      <c r="BO11" s="69"/>
      <c r="BP11" s="71"/>
      <c r="BQ11" s="69"/>
      <c r="BR11" s="69"/>
      <c r="BS11" s="71"/>
      <c r="BT11" s="69"/>
      <c r="BU11" s="69"/>
      <c r="BV11" s="71"/>
      <c r="BW11" s="69"/>
      <c r="BX11" s="69"/>
      <c r="BY11" s="71"/>
      <c r="BZ11" s="69"/>
      <c r="CA11" s="69"/>
      <c r="CB11" s="71"/>
      <c r="CC11" s="69"/>
      <c r="CD11" s="69"/>
      <c r="CE11" s="71"/>
      <c r="CF11" s="69"/>
      <c r="CG11" s="69"/>
      <c r="CH11" s="71"/>
      <c r="CI11" s="69"/>
      <c r="CJ11" s="11" t="s">
        <v>159</v>
      </c>
      <c r="CK11" s="11" t="s">
        <v>160</v>
      </c>
    </row>
    <row r="12" spans="1:174" s="4" customFormat="1" ht="33.75" customHeight="1" x14ac:dyDescent="0.2">
      <c r="A12" s="394"/>
      <c r="B12" s="394"/>
      <c r="C12" s="394"/>
      <c r="D12" s="394"/>
      <c r="E12" s="399"/>
      <c r="F12" s="394"/>
      <c r="G12" s="394"/>
      <c r="H12" s="401"/>
      <c r="I12" s="374">
        <v>344228548</v>
      </c>
      <c r="J12" s="432" t="s">
        <v>1923</v>
      </c>
      <c r="K12" s="441"/>
      <c r="L12" s="443"/>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422"/>
      <c r="AM12" s="422"/>
      <c r="AN12" s="422"/>
      <c r="AO12" s="422"/>
      <c r="AP12" s="422"/>
      <c r="AQ12" s="422"/>
      <c r="AR12" s="422"/>
      <c r="AS12" s="422"/>
      <c r="AT12" s="422"/>
      <c r="AU12" s="422"/>
      <c r="AV12" s="422"/>
      <c r="AW12" s="11" t="s">
        <v>1969</v>
      </c>
      <c r="AX12" s="11" t="s">
        <v>1970</v>
      </c>
      <c r="AY12" s="128">
        <v>1</v>
      </c>
      <c r="AZ12" s="129">
        <v>0</v>
      </c>
      <c r="BA12" s="60">
        <v>0</v>
      </c>
      <c r="BB12" s="60" t="s">
        <v>164</v>
      </c>
      <c r="BC12" s="60">
        <v>1</v>
      </c>
      <c r="BD12" s="129">
        <v>1</v>
      </c>
      <c r="BE12" s="60" t="s">
        <v>167</v>
      </c>
      <c r="BF12" s="60">
        <v>1</v>
      </c>
      <c r="BG12" s="129">
        <v>1</v>
      </c>
      <c r="BH12" s="60" t="s">
        <v>168</v>
      </c>
      <c r="BI12" s="60">
        <v>1</v>
      </c>
      <c r="BJ12" s="144">
        <v>1</v>
      </c>
      <c r="BK12" s="60" t="s">
        <v>1038</v>
      </c>
      <c r="BL12" s="60">
        <v>1</v>
      </c>
      <c r="BM12" s="144">
        <v>1</v>
      </c>
      <c r="BN12" s="60" t="s">
        <v>1054</v>
      </c>
      <c r="BO12" s="60">
        <v>1</v>
      </c>
      <c r="BP12" s="144">
        <v>1</v>
      </c>
      <c r="BQ12" s="60" t="s">
        <v>1069</v>
      </c>
      <c r="BR12" s="60">
        <v>1</v>
      </c>
      <c r="BS12" s="223">
        <v>1</v>
      </c>
      <c r="BT12" s="60" t="s">
        <v>1288</v>
      </c>
      <c r="BU12" s="60">
        <v>1</v>
      </c>
      <c r="BV12" s="223">
        <v>1</v>
      </c>
      <c r="BW12" s="60" t="s">
        <v>1305</v>
      </c>
      <c r="BX12" s="60">
        <v>1</v>
      </c>
      <c r="BY12" s="223">
        <v>1</v>
      </c>
      <c r="BZ12" s="60" t="s">
        <v>1321</v>
      </c>
      <c r="CA12" s="60">
        <v>1</v>
      </c>
      <c r="CB12" s="279">
        <v>1</v>
      </c>
      <c r="CC12" s="60" t="s">
        <v>1925</v>
      </c>
      <c r="CD12" s="60">
        <v>1</v>
      </c>
      <c r="CE12" s="279">
        <v>1</v>
      </c>
      <c r="CF12" s="60" t="s">
        <v>1937</v>
      </c>
      <c r="CG12" s="60">
        <v>1</v>
      </c>
      <c r="CH12" s="279">
        <v>1</v>
      </c>
      <c r="CI12" s="60" t="s">
        <v>1956</v>
      </c>
      <c r="CJ12" s="11" t="s">
        <v>159</v>
      </c>
      <c r="CK12" s="11" t="s">
        <v>160</v>
      </c>
    </row>
    <row r="13" spans="1:174" s="4" customFormat="1" ht="33.75" customHeight="1" x14ac:dyDescent="0.2">
      <c r="A13" s="370"/>
      <c r="B13" s="370"/>
      <c r="C13" s="370"/>
      <c r="D13" s="370"/>
      <c r="E13" s="400"/>
      <c r="F13" s="370"/>
      <c r="G13" s="370"/>
      <c r="H13" s="401"/>
      <c r="I13" s="375"/>
      <c r="J13" s="433"/>
      <c r="K13" s="442"/>
      <c r="L13" s="44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4"/>
      <c r="AM13" s="424"/>
      <c r="AN13" s="424"/>
      <c r="AO13" s="424"/>
      <c r="AP13" s="424"/>
      <c r="AQ13" s="424"/>
      <c r="AR13" s="424"/>
      <c r="AS13" s="424"/>
      <c r="AT13" s="424"/>
      <c r="AU13" s="424"/>
      <c r="AV13" s="424"/>
      <c r="AW13" s="11" t="s">
        <v>1971</v>
      </c>
      <c r="AX13" s="11" t="s">
        <v>1972</v>
      </c>
      <c r="AY13" s="15">
        <v>50</v>
      </c>
      <c r="AZ13" s="129">
        <v>0</v>
      </c>
      <c r="BA13" s="60">
        <v>0</v>
      </c>
      <c r="BB13" s="60" t="s">
        <v>164</v>
      </c>
      <c r="BC13" s="60">
        <v>0</v>
      </c>
      <c r="BD13" s="129">
        <v>0</v>
      </c>
      <c r="BE13" s="60" t="s">
        <v>169</v>
      </c>
      <c r="BF13" s="60">
        <v>0.32</v>
      </c>
      <c r="BG13" s="129">
        <v>0.32</v>
      </c>
      <c r="BH13" s="60" t="s">
        <v>170</v>
      </c>
      <c r="BI13" s="60">
        <v>0.32</v>
      </c>
      <c r="BJ13" s="144">
        <v>0.32</v>
      </c>
      <c r="BK13" s="60" t="s">
        <v>170</v>
      </c>
      <c r="BL13" s="60">
        <v>0.32</v>
      </c>
      <c r="BM13" s="144">
        <v>0.32</v>
      </c>
      <c r="BN13" s="60" t="s">
        <v>1055</v>
      </c>
      <c r="BO13" s="60">
        <v>0.54</v>
      </c>
      <c r="BP13" s="144">
        <v>0.54</v>
      </c>
      <c r="BQ13" s="60" t="s">
        <v>1070</v>
      </c>
      <c r="BR13" s="60">
        <v>0.54</v>
      </c>
      <c r="BS13" s="223">
        <v>0.54</v>
      </c>
      <c r="BT13" s="60" t="s">
        <v>1289</v>
      </c>
      <c r="BU13" s="121">
        <v>31</v>
      </c>
      <c r="BV13" s="223">
        <v>0.62</v>
      </c>
      <c r="BW13" s="60" t="s">
        <v>1306</v>
      </c>
      <c r="BX13" s="121">
        <v>35</v>
      </c>
      <c r="BY13" s="223">
        <v>0.7</v>
      </c>
      <c r="BZ13" s="60" t="s">
        <v>1322</v>
      </c>
      <c r="CA13" s="121">
        <v>40</v>
      </c>
      <c r="CB13" s="279">
        <v>0.8</v>
      </c>
      <c r="CC13" s="60" t="s">
        <v>1926</v>
      </c>
      <c r="CD13" s="121">
        <v>45</v>
      </c>
      <c r="CE13" s="279">
        <v>0.9</v>
      </c>
      <c r="CF13" s="60" t="s">
        <v>1938</v>
      </c>
      <c r="CG13" s="121">
        <v>50</v>
      </c>
      <c r="CH13" s="279">
        <v>1</v>
      </c>
      <c r="CI13" s="60" t="s">
        <v>1957</v>
      </c>
      <c r="CJ13" s="11" t="s">
        <v>159</v>
      </c>
      <c r="CK13" s="11" t="s">
        <v>160</v>
      </c>
    </row>
    <row r="14" spans="1:174" ht="75" x14ac:dyDescent="0.25">
      <c r="H14" s="401"/>
      <c r="M14" s="56" t="s">
        <v>161</v>
      </c>
      <c r="N14" s="67">
        <f>AVERAGE(N10)</f>
        <v>0</v>
      </c>
      <c r="P14" s="56" t="s">
        <v>161</v>
      </c>
      <c r="Q14" s="67">
        <f>AVERAGE(Q10:Q13)</f>
        <v>1</v>
      </c>
      <c r="S14" s="56" t="s">
        <v>161</v>
      </c>
      <c r="T14" s="67">
        <f>AVERAGE(T10)</f>
        <v>1</v>
      </c>
      <c r="V14" s="56" t="s">
        <v>161</v>
      </c>
      <c r="W14" s="67">
        <f>AVERAGE(W10)</f>
        <v>1</v>
      </c>
      <c r="Y14" s="56" t="s">
        <v>161</v>
      </c>
      <c r="Z14" s="67">
        <f>AVERAGE(Z10:Z13)</f>
        <v>1</v>
      </c>
      <c r="AB14" s="56" t="s">
        <v>161</v>
      </c>
      <c r="AC14" s="67">
        <f>AVERAGE(AC10)</f>
        <v>1</v>
      </c>
      <c r="AE14" s="56" t="s">
        <v>161</v>
      </c>
      <c r="AF14" s="67">
        <f>AVERAGE(AF10)</f>
        <v>1</v>
      </c>
      <c r="AH14" s="56" t="s">
        <v>161</v>
      </c>
      <c r="AI14" s="67">
        <f>AVERAGE(AI10:AI13)</f>
        <v>0.63329999999999997</v>
      </c>
      <c r="AK14" s="56" t="s">
        <v>161</v>
      </c>
      <c r="AL14" s="67">
        <f>AVERAGE(AL10)</f>
        <v>0.76659999999999995</v>
      </c>
      <c r="AN14" s="56" t="s">
        <v>161</v>
      </c>
      <c r="AO14" s="67">
        <f>AVERAGE(AO10)</f>
        <v>0.8666666666666667</v>
      </c>
      <c r="AQ14" s="56" t="s">
        <v>161</v>
      </c>
      <c r="AR14" s="67">
        <f>AVERAGE(AR10:AR13)</f>
        <v>0.9</v>
      </c>
      <c r="AT14" s="56" t="s">
        <v>161</v>
      </c>
      <c r="AU14" s="67">
        <f>AVERAGE(AU10)</f>
        <v>1</v>
      </c>
      <c r="AZ14" s="56" t="s">
        <v>162</v>
      </c>
      <c r="BA14" s="67">
        <f>AVERAGE(BA12:BA13)</f>
        <v>0</v>
      </c>
      <c r="BC14" s="56" t="s">
        <v>162</v>
      </c>
      <c r="BD14" s="67">
        <f>AVERAGE(BD12:BD13)</f>
        <v>0.5</v>
      </c>
      <c r="BF14" s="56" t="s">
        <v>162</v>
      </c>
      <c r="BG14" s="67">
        <f>AVERAGE(BG12:BG13)</f>
        <v>0.66</v>
      </c>
      <c r="BH14" s="7"/>
      <c r="BI14" s="56" t="s">
        <v>162</v>
      </c>
      <c r="BJ14" s="67">
        <f>AVERAGE(BJ12:BJ13)</f>
        <v>0.66</v>
      </c>
      <c r="BL14" s="56" t="s">
        <v>162</v>
      </c>
      <c r="BM14" s="67">
        <f>AVERAGE(BM12:BM13)</f>
        <v>0.66</v>
      </c>
      <c r="BO14" s="56" t="s">
        <v>162</v>
      </c>
      <c r="BP14" s="67">
        <f>AVERAGE(BP12:BP13)</f>
        <v>0.77</v>
      </c>
      <c r="BQ14" s="7"/>
      <c r="BR14" s="56" t="s">
        <v>162</v>
      </c>
      <c r="BS14" s="67">
        <f>AVERAGE(BS12:BS13)</f>
        <v>0.77</v>
      </c>
      <c r="BU14" s="56" t="s">
        <v>162</v>
      </c>
      <c r="BV14" s="67">
        <f>AVERAGE(BV12:BV13)</f>
        <v>0.81</v>
      </c>
      <c r="BX14" s="56" t="s">
        <v>162</v>
      </c>
      <c r="BY14" s="67">
        <f>AVERAGE(BY12:BY13)</f>
        <v>0.85</v>
      </c>
      <c r="BZ14" s="7"/>
      <c r="CA14" s="56" t="s">
        <v>162</v>
      </c>
      <c r="CB14" s="67">
        <f>AVERAGE(CB12:CB13)</f>
        <v>0.9</v>
      </c>
      <c r="CD14" s="56" t="s">
        <v>162</v>
      </c>
      <c r="CE14" s="67">
        <f>AVERAGE(CE12:CE13)</f>
        <v>0.95</v>
      </c>
      <c r="CG14" s="56" t="s">
        <v>162</v>
      </c>
      <c r="CH14" s="67">
        <f>AVERAGE(CH12:CH13)</f>
        <v>1</v>
      </c>
      <c r="CI14" s="7"/>
      <c r="CJ14" s="7"/>
      <c r="CK14" s="7"/>
      <c r="FO14"/>
      <c r="FP14"/>
      <c r="FQ14"/>
      <c r="FR14"/>
    </row>
    <row r="15" spans="1:174" s="4" customFormat="1" ht="33.75" customHeight="1" x14ac:dyDescent="0.2">
      <c r="A15" s="369" t="s">
        <v>84</v>
      </c>
      <c r="B15" s="369" t="s">
        <v>155</v>
      </c>
      <c r="C15" s="369" t="s">
        <v>2716</v>
      </c>
      <c r="D15" s="369" t="s">
        <v>157</v>
      </c>
      <c r="E15" s="398" t="s">
        <v>171</v>
      </c>
      <c r="F15" s="369" t="s">
        <v>88</v>
      </c>
      <c r="G15" s="369" t="s">
        <v>89</v>
      </c>
      <c r="H15" s="401"/>
      <c r="I15" s="374">
        <v>8156324603</v>
      </c>
      <c r="J15" s="426" t="s">
        <v>166</v>
      </c>
      <c r="K15" s="429"/>
      <c r="L15" s="438"/>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2"/>
      <c r="AN15" s="422"/>
      <c r="AO15" s="422"/>
      <c r="AP15" s="422"/>
      <c r="AQ15" s="422"/>
      <c r="AR15" s="422"/>
      <c r="AS15" s="422"/>
      <c r="AT15" s="422"/>
      <c r="AU15" s="422"/>
      <c r="AV15" s="422"/>
      <c r="AW15" s="11" t="s">
        <v>172</v>
      </c>
      <c r="AX15" s="11" t="s">
        <v>173</v>
      </c>
      <c r="AY15" s="15">
        <v>25</v>
      </c>
      <c r="AZ15" s="15">
        <v>0</v>
      </c>
      <c r="BA15" s="129">
        <v>0</v>
      </c>
      <c r="BB15" s="60" t="s">
        <v>174</v>
      </c>
      <c r="BC15" s="15">
        <v>1.25</v>
      </c>
      <c r="BD15" s="129">
        <v>4.6296296296296294E-2</v>
      </c>
      <c r="BE15" s="60" t="s">
        <v>175</v>
      </c>
      <c r="BF15" s="114">
        <v>4</v>
      </c>
      <c r="BG15" s="129">
        <v>0.14814814814814814</v>
      </c>
      <c r="BH15" s="60" t="s">
        <v>176</v>
      </c>
      <c r="BI15" s="114">
        <v>4</v>
      </c>
      <c r="BJ15" s="144">
        <v>0.14814814814814814</v>
      </c>
      <c r="BK15" s="60" t="s">
        <v>1039</v>
      </c>
      <c r="BL15" s="114">
        <v>5</v>
      </c>
      <c r="BM15" s="144">
        <v>0.18518518518518517</v>
      </c>
      <c r="BN15" s="60" t="s">
        <v>1056</v>
      </c>
      <c r="BO15" s="114">
        <v>10</v>
      </c>
      <c r="BP15" s="144">
        <v>0.37037037037037035</v>
      </c>
      <c r="BQ15" s="60" t="s">
        <v>1071</v>
      </c>
      <c r="BR15" s="114">
        <v>11</v>
      </c>
      <c r="BS15" s="223">
        <v>0.41</v>
      </c>
      <c r="BT15" s="60" t="s">
        <v>1290</v>
      </c>
      <c r="BU15" s="114">
        <v>12</v>
      </c>
      <c r="BV15" s="223">
        <v>0.44</v>
      </c>
      <c r="BW15" s="60" t="s">
        <v>1308</v>
      </c>
      <c r="BX15" s="114">
        <v>16</v>
      </c>
      <c r="BY15" s="223">
        <v>0.59259259259259256</v>
      </c>
      <c r="BZ15" s="60" t="s">
        <v>1323</v>
      </c>
      <c r="CA15" s="114">
        <v>17</v>
      </c>
      <c r="CB15" s="279">
        <v>0.61</v>
      </c>
      <c r="CC15" s="60" t="s">
        <v>1927</v>
      </c>
      <c r="CD15" s="114">
        <v>23</v>
      </c>
      <c r="CE15" s="279">
        <v>0.92</v>
      </c>
      <c r="CF15" s="60" t="s">
        <v>1939</v>
      </c>
      <c r="CG15" s="114">
        <v>26</v>
      </c>
      <c r="CH15" s="279">
        <v>1.04</v>
      </c>
      <c r="CI15" s="60" t="s">
        <v>1958</v>
      </c>
      <c r="CJ15" s="11" t="s">
        <v>159</v>
      </c>
      <c r="CK15" s="11" t="s">
        <v>160</v>
      </c>
    </row>
    <row r="16" spans="1:174" s="4" customFormat="1" ht="33.75" customHeight="1" x14ac:dyDescent="0.2">
      <c r="A16" s="394"/>
      <c r="B16" s="394"/>
      <c r="C16" s="394"/>
      <c r="D16" s="394"/>
      <c r="E16" s="399"/>
      <c r="F16" s="394"/>
      <c r="G16" s="394"/>
      <c r="H16" s="401"/>
      <c r="I16" s="401"/>
      <c r="J16" s="427"/>
      <c r="K16" s="430"/>
      <c r="L16" s="439"/>
      <c r="M16" s="423"/>
      <c r="N16" s="423"/>
      <c r="O16" s="423"/>
      <c r="P16" s="423"/>
      <c r="Q16" s="423"/>
      <c r="R16" s="423"/>
      <c r="S16" s="423"/>
      <c r="T16" s="423"/>
      <c r="U16" s="423"/>
      <c r="V16" s="423"/>
      <c r="W16" s="423"/>
      <c r="X16" s="423"/>
      <c r="Y16" s="423"/>
      <c r="Z16" s="423"/>
      <c r="AA16" s="423"/>
      <c r="AB16" s="423"/>
      <c r="AC16" s="423"/>
      <c r="AD16" s="423"/>
      <c r="AE16" s="423"/>
      <c r="AF16" s="423"/>
      <c r="AG16" s="423"/>
      <c r="AH16" s="423"/>
      <c r="AI16" s="423"/>
      <c r="AJ16" s="423"/>
      <c r="AK16" s="423"/>
      <c r="AL16" s="423"/>
      <c r="AM16" s="423"/>
      <c r="AN16" s="423"/>
      <c r="AO16" s="423"/>
      <c r="AP16" s="423"/>
      <c r="AQ16" s="423"/>
      <c r="AR16" s="423"/>
      <c r="AS16" s="423"/>
      <c r="AT16" s="423"/>
      <c r="AU16" s="423"/>
      <c r="AV16" s="423"/>
      <c r="AW16" s="11" t="s">
        <v>1973</v>
      </c>
      <c r="AX16" s="11" t="s">
        <v>1974</v>
      </c>
      <c r="AY16" s="128">
        <v>1</v>
      </c>
      <c r="AZ16" s="128">
        <v>1</v>
      </c>
      <c r="BA16" s="129">
        <v>1</v>
      </c>
      <c r="BB16" s="60" t="s">
        <v>177</v>
      </c>
      <c r="BC16" s="128">
        <v>0</v>
      </c>
      <c r="BD16" s="129">
        <v>1</v>
      </c>
      <c r="BE16" s="60" t="s">
        <v>178</v>
      </c>
      <c r="BF16" s="82">
        <v>1</v>
      </c>
      <c r="BG16" s="129">
        <v>1</v>
      </c>
      <c r="BH16" s="60" t="s">
        <v>179</v>
      </c>
      <c r="BI16" s="82">
        <v>1</v>
      </c>
      <c r="BJ16" s="144">
        <v>1</v>
      </c>
      <c r="BK16" s="60" t="s">
        <v>1040</v>
      </c>
      <c r="BL16" s="82">
        <v>1</v>
      </c>
      <c r="BM16" s="144">
        <v>0</v>
      </c>
      <c r="BN16" s="60" t="s">
        <v>1057</v>
      </c>
      <c r="BO16" s="82">
        <v>1</v>
      </c>
      <c r="BP16" s="144">
        <v>0</v>
      </c>
      <c r="BQ16" s="60" t="s">
        <v>1057</v>
      </c>
      <c r="BR16" s="82">
        <v>1</v>
      </c>
      <c r="BS16" s="223">
        <v>0</v>
      </c>
      <c r="BT16" s="60" t="s">
        <v>1297</v>
      </c>
      <c r="BU16" s="82">
        <v>0.99</v>
      </c>
      <c r="BV16" s="223">
        <v>0.99</v>
      </c>
      <c r="BW16" s="60" t="s">
        <v>1313</v>
      </c>
      <c r="BX16" s="82">
        <v>0.99935358758888171</v>
      </c>
      <c r="BY16" s="223">
        <v>0.99935358758888171</v>
      </c>
      <c r="BZ16" s="60" t="s">
        <v>1324</v>
      </c>
      <c r="CA16" s="82">
        <v>0.99939999999999996</v>
      </c>
      <c r="CB16" s="279">
        <v>1</v>
      </c>
      <c r="CC16" s="60" t="s">
        <v>1928</v>
      </c>
      <c r="CD16" s="82">
        <v>0.99950000000000006</v>
      </c>
      <c r="CE16" s="279">
        <v>0.99950000000000006</v>
      </c>
      <c r="CF16" s="60" t="s">
        <v>1940</v>
      </c>
      <c r="CG16" s="82">
        <v>0.99955673758865249</v>
      </c>
      <c r="CH16" s="279">
        <v>0.99955673758865249</v>
      </c>
      <c r="CI16" s="60" t="s">
        <v>1959</v>
      </c>
      <c r="CJ16" s="11" t="s">
        <v>159</v>
      </c>
      <c r="CK16" s="11" t="s">
        <v>160</v>
      </c>
    </row>
    <row r="17" spans="1:174" s="4" customFormat="1" ht="33.75" customHeight="1" x14ac:dyDescent="0.2">
      <c r="A17" s="394"/>
      <c r="B17" s="394"/>
      <c r="C17" s="394"/>
      <c r="D17" s="394"/>
      <c r="E17" s="399"/>
      <c r="F17" s="394"/>
      <c r="G17" s="394"/>
      <c r="H17" s="401"/>
      <c r="I17" s="375"/>
      <c r="J17" s="428"/>
      <c r="K17" s="431"/>
      <c r="L17" s="440"/>
      <c r="M17" s="424"/>
      <c r="N17" s="424"/>
      <c r="O17" s="424"/>
      <c r="P17" s="424"/>
      <c r="Q17" s="424"/>
      <c r="R17" s="424"/>
      <c r="S17" s="424"/>
      <c r="T17" s="424"/>
      <c r="U17" s="424"/>
      <c r="V17" s="424"/>
      <c r="W17" s="424"/>
      <c r="X17" s="424"/>
      <c r="Y17" s="424"/>
      <c r="Z17" s="424"/>
      <c r="AA17" s="424"/>
      <c r="AB17" s="424"/>
      <c r="AC17" s="424"/>
      <c r="AD17" s="424"/>
      <c r="AE17" s="424"/>
      <c r="AF17" s="424"/>
      <c r="AG17" s="424"/>
      <c r="AH17" s="424"/>
      <c r="AI17" s="424"/>
      <c r="AJ17" s="424"/>
      <c r="AK17" s="424"/>
      <c r="AL17" s="424"/>
      <c r="AM17" s="424"/>
      <c r="AN17" s="424"/>
      <c r="AO17" s="424"/>
      <c r="AP17" s="424"/>
      <c r="AQ17" s="424"/>
      <c r="AR17" s="424"/>
      <c r="AS17" s="424"/>
      <c r="AT17" s="424"/>
      <c r="AU17" s="424"/>
      <c r="AV17" s="424"/>
      <c r="AW17" s="11" t="s">
        <v>1975</v>
      </c>
      <c r="AX17" s="11" t="s">
        <v>1976</v>
      </c>
      <c r="AY17" s="128">
        <v>1</v>
      </c>
      <c r="AZ17" s="128">
        <v>0</v>
      </c>
      <c r="BA17" s="129">
        <v>0</v>
      </c>
      <c r="BB17" s="60" t="s">
        <v>180</v>
      </c>
      <c r="BC17" s="128">
        <v>0.04</v>
      </c>
      <c r="BD17" s="129">
        <v>0.04</v>
      </c>
      <c r="BE17" s="60" t="s">
        <v>181</v>
      </c>
      <c r="BF17" s="82">
        <v>0.14814814814814814</v>
      </c>
      <c r="BG17" s="129">
        <v>0.14814814814814814</v>
      </c>
      <c r="BH17" s="60" t="s">
        <v>182</v>
      </c>
      <c r="BI17" s="82">
        <v>0.18640000000000001</v>
      </c>
      <c r="BJ17" s="144">
        <v>0.18640000000000001</v>
      </c>
      <c r="BK17" s="60" t="s">
        <v>1041</v>
      </c>
      <c r="BL17" s="82">
        <v>0.22639999999999999</v>
      </c>
      <c r="BM17" s="144">
        <v>0.22639999999999999</v>
      </c>
      <c r="BN17" s="60" t="s">
        <v>1058</v>
      </c>
      <c r="BO17" s="82">
        <v>0.37037037037037035</v>
      </c>
      <c r="BP17" s="144">
        <v>0.37037037037037035</v>
      </c>
      <c r="BQ17" s="60" t="s">
        <v>1072</v>
      </c>
      <c r="BR17" s="82">
        <v>0.37</v>
      </c>
      <c r="BS17" s="223">
        <v>0.37</v>
      </c>
      <c r="BT17" s="60" t="s">
        <v>1298</v>
      </c>
      <c r="BU17" s="82">
        <v>1</v>
      </c>
      <c r="BV17" s="223">
        <v>1</v>
      </c>
      <c r="BW17" s="60" t="s">
        <v>1314</v>
      </c>
      <c r="BX17" s="82">
        <v>1</v>
      </c>
      <c r="BY17" s="223">
        <v>1</v>
      </c>
      <c r="BZ17" s="60" t="s">
        <v>1325</v>
      </c>
      <c r="CA17" s="82">
        <v>1</v>
      </c>
      <c r="CB17" s="279">
        <v>1</v>
      </c>
      <c r="CC17" s="60" t="s">
        <v>1929</v>
      </c>
      <c r="CD17" s="82">
        <v>1</v>
      </c>
      <c r="CE17" s="279">
        <v>1</v>
      </c>
      <c r="CF17" s="60" t="s">
        <v>1941</v>
      </c>
      <c r="CG17" s="82">
        <v>1</v>
      </c>
      <c r="CH17" s="279">
        <v>1</v>
      </c>
      <c r="CI17" s="60" t="s">
        <v>1960</v>
      </c>
      <c r="CJ17" s="11" t="s">
        <v>159</v>
      </c>
      <c r="CK17" s="11" t="s">
        <v>160</v>
      </c>
    </row>
    <row r="18" spans="1:174" s="4" customFormat="1" ht="33.75" customHeight="1" x14ac:dyDescent="0.2">
      <c r="A18" s="394"/>
      <c r="B18" s="394"/>
      <c r="C18" s="394"/>
      <c r="D18" s="394"/>
      <c r="E18" s="399"/>
      <c r="F18" s="394"/>
      <c r="G18" s="394"/>
      <c r="H18" s="401"/>
      <c r="I18" s="13">
        <v>1118714148</v>
      </c>
      <c r="J18" s="14" t="s">
        <v>166</v>
      </c>
      <c r="K18" s="14" t="s">
        <v>183</v>
      </c>
      <c r="L18" s="128">
        <v>0.98</v>
      </c>
      <c r="M18" s="60">
        <v>0</v>
      </c>
      <c r="N18" s="129">
        <v>0</v>
      </c>
      <c r="O18" s="60" t="s">
        <v>164</v>
      </c>
      <c r="P18" s="60">
        <v>0.68</v>
      </c>
      <c r="Q18" s="129">
        <v>0.75555555555555554</v>
      </c>
      <c r="R18" s="60" t="s">
        <v>184</v>
      </c>
      <c r="S18" s="60">
        <v>0.95</v>
      </c>
      <c r="T18" s="129">
        <v>1.0555555555555556</v>
      </c>
      <c r="U18" s="60" t="s">
        <v>185</v>
      </c>
      <c r="V18" s="60">
        <v>0.81</v>
      </c>
      <c r="W18" s="144">
        <v>0.9</v>
      </c>
      <c r="X18" s="60" t="s">
        <v>1036</v>
      </c>
      <c r="Y18" s="60">
        <v>0.94</v>
      </c>
      <c r="Z18" s="144">
        <v>1.0444444444444443</v>
      </c>
      <c r="AA18" s="60" t="s">
        <v>1050</v>
      </c>
      <c r="AB18" s="60">
        <v>0.93010000000000004</v>
      </c>
      <c r="AC18" s="144">
        <v>1.0334444444444444</v>
      </c>
      <c r="AD18" s="60" t="s">
        <v>1067</v>
      </c>
      <c r="AE18" s="60">
        <v>0.96</v>
      </c>
      <c r="AF18" s="223">
        <v>1.07</v>
      </c>
      <c r="AG18" s="60" t="s">
        <v>1285</v>
      </c>
      <c r="AH18" s="60">
        <v>0.9</v>
      </c>
      <c r="AI18" s="223">
        <v>1</v>
      </c>
      <c r="AJ18" s="60" t="s">
        <v>1302</v>
      </c>
      <c r="AK18" s="60">
        <v>0.9</v>
      </c>
      <c r="AL18" s="223">
        <v>1</v>
      </c>
      <c r="AM18" s="60" t="s">
        <v>1318</v>
      </c>
      <c r="AN18" s="60">
        <v>0.9</v>
      </c>
      <c r="AO18" s="279">
        <v>1</v>
      </c>
      <c r="AP18" s="60" t="s">
        <v>1920</v>
      </c>
      <c r="AQ18" s="60">
        <v>0.97240000000000004</v>
      </c>
      <c r="AR18" s="279">
        <v>0.99</v>
      </c>
      <c r="AS18" s="60" t="s">
        <v>1950</v>
      </c>
      <c r="AT18" s="60">
        <v>0.97919999999999996</v>
      </c>
      <c r="AU18" s="279">
        <v>0.99918367346938775</v>
      </c>
      <c r="AV18" s="60" t="s">
        <v>1953</v>
      </c>
      <c r="AW18" s="11" t="s">
        <v>186</v>
      </c>
      <c r="AX18" s="11" t="s">
        <v>187</v>
      </c>
      <c r="AY18" s="128">
        <v>0.95</v>
      </c>
      <c r="AZ18" s="128">
        <v>0.9125109361329834</v>
      </c>
      <c r="BA18" s="129">
        <v>0.96053782750840366</v>
      </c>
      <c r="BB18" s="60" t="s">
        <v>188</v>
      </c>
      <c r="BC18" s="128">
        <v>0.90620031796502387</v>
      </c>
      <c r="BD18" s="129">
        <v>0.95389507154213049</v>
      </c>
      <c r="BE18" s="60" t="s">
        <v>189</v>
      </c>
      <c r="BF18" s="82">
        <v>0.91786570743405271</v>
      </c>
      <c r="BG18" s="129">
        <v>0.96617442887795024</v>
      </c>
      <c r="BH18" s="60" t="s">
        <v>190</v>
      </c>
      <c r="BI18" s="82">
        <v>0.89624900239425376</v>
      </c>
      <c r="BJ18" s="144">
        <v>0.94342000252026714</v>
      </c>
      <c r="BK18" s="60" t="s">
        <v>1042</v>
      </c>
      <c r="BL18" s="82">
        <v>0.87573964497041423</v>
      </c>
      <c r="BM18" s="144">
        <v>0.92183120523201501</v>
      </c>
      <c r="BN18" s="60" t="s">
        <v>1059</v>
      </c>
      <c r="BO18" s="82">
        <v>0.87025023169601479</v>
      </c>
      <c r="BP18" s="144">
        <v>0.91605287546948932</v>
      </c>
      <c r="BQ18" s="60" t="s">
        <v>1073</v>
      </c>
      <c r="BR18" s="82">
        <v>0.94499999999999995</v>
      </c>
      <c r="BS18" s="223">
        <v>0.99</v>
      </c>
      <c r="BT18" s="60" t="s">
        <v>1291</v>
      </c>
      <c r="BU18" s="82">
        <v>0.95099999999999996</v>
      </c>
      <c r="BV18" s="223">
        <v>1</v>
      </c>
      <c r="BW18" s="60" t="s">
        <v>1315</v>
      </c>
      <c r="BX18" s="82">
        <v>0.93979999999999997</v>
      </c>
      <c r="BY18" s="223">
        <v>0.98926315789473684</v>
      </c>
      <c r="BZ18" s="60" t="s">
        <v>1326</v>
      </c>
      <c r="CA18" s="82">
        <v>0.94</v>
      </c>
      <c r="CB18" s="279">
        <v>0.99</v>
      </c>
      <c r="CC18" s="60" t="s">
        <v>1930</v>
      </c>
      <c r="CD18" s="82">
        <v>0.94479999999999997</v>
      </c>
      <c r="CE18" s="279">
        <v>0.99</v>
      </c>
      <c r="CF18" s="60" t="s">
        <v>1942</v>
      </c>
      <c r="CG18" s="82">
        <v>0.96193497224425062</v>
      </c>
      <c r="CH18" s="279">
        <v>1.0125631286781587</v>
      </c>
      <c r="CI18" s="60" t="s">
        <v>1961</v>
      </c>
      <c r="CJ18" s="11" t="s">
        <v>159</v>
      </c>
      <c r="CK18" s="11" t="s">
        <v>160</v>
      </c>
    </row>
    <row r="19" spans="1:174" s="4" customFormat="1" ht="33.75" customHeight="1" x14ac:dyDescent="0.2">
      <c r="A19" s="394"/>
      <c r="B19" s="394"/>
      <c r="C19" s="394"/>
      <c r="D19" s="394"/>
      <c r="E19" s="399"/>
      <c r="F19" s="394"/>
      <c r="G19" s="394"/>
      <c r="H19" s="401"/>
      <c r="I19" s="374">
        <v>677928980</v>
      </c>
      <c r="J19" s="369" t="s">
        <v>1924</v>
      </c>
      <c r="K19" s="445"/>
      <c r="L19" s="443"/>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c r="AJ19" s="422"/>
      <c r="AK19" s="422"/>
      <c r="AL19" s="422"/>
      <c r="AM19" s="422"/>
      <c r="AN19" s="422"/>
      <c r="AO19" s="422"/>
      <c r="AP19" s="422"/>
      <c r="AQ19" s="422"/>
      <c r="AR19" s="422"/>
      <c r="AS19" s="422"/>
      <c r="AT19" s="422"/>
      <c r="AU19" s="422"/>
      <c r="AV19" s="422"/>
      <c r="AW19" s="11" t="s">
        <v>191</v>
      </c>
      <c r="AX19" s="11" t="s">
        <v>192</v>
      </c>
      <c r="AY19" s="15">
        <v>16</v>
      </c>
      <c r="AZ19" s="15">
        <v>0</v>
      </c>
      <c r="BA19" s="129">
        <v>0</v>
      </c>
      <c r="BB19" s="60" t="s">
        <v>174</v>
      </c>
      <c r="BC19" s="15">
        <v>6</v>
      </c>
      <c r="BD19" s="129">
        <v>0.4</v>
      </c>
      <c r="BE19" s="60" t="s">
        <v>193</v>
      </c>
      <c r="BF19" s="114">
        <v>23</v>
      </c>
      <c r="BG19" s="129">
        <v>1.5333333333333334</v>
      </c>
      <c r="BH19" s="60" t="s">
        <v>194</v>
      </c>
      <c r="BI19" s="114">
        <v>14</v>
      </c>
      <c r="BJ19" s="144">
        <v>0.93333333333333335</v>
      </c>
      <c r="BK19" s="60" t="s">
        <v>1043</v>
      </c>
      <c r="BL19" s="114">
        <v>51</v>
      </c>
      <c r="BM19" s="144">
        <v>3.4</v>
      </c>
      <c r="BN19" s="60" t="s">
        <v>1060</v>
      </c>
      <c r="BO19" s="114">
        <v>5</v>
      </c>
      <c r="BP19" s="144">
        <v>0.33333333333333331</v>
      </c>
      <c r="BQ19" s="60" t="s">
        <v>1074</v>
      </c>
      <c r="BR19" s="114">
        <v>5</v>
      </c>
      <c r="BS19" s="223">
        <v>0.33</v>
      </c>
      <c r="BT19" s="60" t="s">
        <v>1299</v>
      </c>
      <c r="BU19" s="114">
        <v>8</v>
      </c>
      <c r="BV19" s="223">
        <v>0.53</v>
      </c>
      <c r="BW19" s="60" t="s">
        <v>1309</v>
      </c>
      <c r="BX19" s="114">
        <v>9</v>
      </c>
      <c r="BY19" s="223">
        <v>0.6</v>
      </c>
      <c r="BZ19" s="60" t="s">
        <v>1327</v>
      </c>
      <c r="CA19" s="114">
        <v>9</v>
      </c>
      <c r="CB19" s="279">
        <v>0.6</v>
      </c>
      <c r="CC19" s="60" t="s">
        <v>1931</v>
      </c>
      <c r="CD19" s="114">
        <v>10</v>
      </c>
      <c r="CE19" s="279">
        <v>0.63</v>
      </c>
      <c r="CF19" s="60" t="s">
        <v>1943</v>
      </c>
      <c r="CG19" s="114">
        <v>16</v>
      </c>
      <c r="CH19" s="279">
        <v>1</v>
      </c>
      <c r="CI19" s="60" t="s">
        <v>1962</v>
      </c>
      <c r="CJ19" s="11" t="s">
        <v>159</v>
      </c>
      <c r="CK19" s="11" t="s">
        <v>160</v>
      </c>
    </row>
    <row r="20" spans="1:174" s="4" customFormat="1" ht="33.75" customHeight="1" x14ac:dyDescent="0.2">
      <c r="A20" s="394"/>
      <c r="B20" s="394"/>
      <c r="C20" s="394"/>
      <c r="D20" s="394"/>
      <c r="E20" s="399"/>
      <c r="F20" s="394"/>
      <c r="G20" s="394"/>
      <c r="H20" s="401"/>
      <c r="I20" s="401"/>
      <c r="J20" s="394"/>
      <c r="K20" s="446"/>
      <c r="L20" s="448"/>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c r="AP20" s="423"/>
      <c r="AQ20" s="423"/>
      <c r="AR20" s="423"/>
      <c r="AS20" s="423"/>
      <c r="AT20" s="423"/>
      <c r="AU20" s="423"/>
      <c r="AV20" s="423"/>
      <c r="AW20" s="11" t="s">
        <v>1978</v>
      </c>
      <c r="AX20" s="11" t="s">
        <v>1977</v>
      </c>
      <c r="AY20" s="15">
        <v>16</v>
      </c>
      <c r="AZ20" s="15">
        <v>0</v>
      </c>
      <c r="BA20" s="129">
        <v>0</v>
      </c>
      <c r="BB20" s="60" t="s">
        <v>174</v>
      </c>
      <c r="BC20" s="15">
        <v>0</v>
      </c>
      <c r="BD20" s="129">
        <v>0</v>
      </c>
      <c r="BE20" s="60" t="s">
        <v>174</v>
      </c>
      <c r="BF20" s="114">
        <v>0</v>
      </c>
      <c r="BG20" s="129">
        <v>0</v>
      </c>
      <c r="BH20" s="60" t="s">
        <v>195</v>
      </c>
      <c r="BI20" s="114">
        <v>2</v>
      </c>
      <c r="BJ20" s="144">
        <v>0.2</v>
      </c>
      <c r="BK20" s="60" t="s">
        <v>1044</v>
      </c>
      <c r="BL20" s="114">
        <v>3</v>
      </c>
      <c r="BM20" s="144">
        <v>0.3</v>
      </c>
      <c r="BN20" s="60" t="s">
        <v>1061</v>
      </c>
      <c r="BO20" s="114">
        <v>9</v>
      </c>
      <c r="BP20" s="144">
        <v>0.9</v>
      </c>
      <c r="BQ20" s="60" t="s">
        <v>1075</v>
      </c>
      <c r="BR20" s="114">
        <v>11</v>
      </c>
      <c r="BS20" s="223">
        <v>1.1000000000000001</v>
      </c>
      <c r="BT20" s="60" t="s">
        <v>1292</v>
      </c>
      <c r="BU20" s="114">
        <v>8</v>
      </c>
      <c r="BV20" s="223">
        <v>0.8</v>
      </c>
      <c r="BW20" s="60" t="s">
        <v>1310</v>
      </c>
      <c r="BX20" s="114">
        <v>8</v>
      </c>
      <c r="BY20" s="223">
        <v>0.8</v>
      </c>
      <c r="BZ20" s="60" t="s">
        <v>1328</v>
      </c>
      <c r="CA20" s="114">
        <v>11</v>
      </c>
      <c r="CB20" s="279">
        <v>1</v>
      </c>
      <c r="CC20" s="60" t="s">
        <v>1932</v>
      </c>
      <c r="CD20" s="114">
        <v>12</v>
      </c>
      <c r="CE20" s="279">
        <v>0.75</v>
      </c>
      <c r="CF20" s="60" t="s">
        <v>1944</v>
      </c>
      <c r="CG20" s="114">
        <v>16</v>
      </c>
      <c r="CH20" s="279">
        <v>1</v>
      </c>
      <c r="CI20" s="60" t="s">
        <v>1963</v>
      </c>
      <c r="CJ20" s="11" t="s">
        <v>159</v>
      </c>
      <c r="CK20" s="11" t="s">
        <v>160</v>
      </c>
    </row>
    <row r="21" spans="1:174" s="4" customFormat="1" ht="33.75" customHeight="1" x14ac:dyDescent="0.2">
      <c r="A21" s="394"/>
      <c r="B21" s="394"/>
      <c r="C21" s="394"/>
      <c r="D21" s="394"/>
      <c r="E21" s="399"/>
      <c r="F21" s="394"/>
      <c r="G21" s="394"/>
      <c r="H21" s="401"/>
      <c r="I21" s="375"/>
      <c r="J21" s="370"/>
      <c r="K21" s="447"/>
      <c r="L21" s="444"/>
      <c r="M21" s="424"/>
      <c r="N21" s="424"/>
      <c r="O21" s="424"/>
      <c r="P21" s="424"/>
      <c r="Q21" s="424"/>
      <c r="R21" s="424"/>
      <c r="S21" s="424"/>
      <c r="T21" s="424"/>
      <c r="U21" s="424"/>
      <c r="V21" s="424"/>
      <c r="W21" s="424"/>
      <c r="X21" s="424"/>
      <c r="Y21" s="424"/>
      <c r="Z21" s="424"/>
      <c r="AA21" s="424"/>
      <c r="AB21" s="424"/>
      <c r="AC21" s="424"/>
      <c r="AD21" s="424"/>
      <c r="AE21" s="424"/>
      <c r="AF21" s="424"/>
      <c r="AG21" s="424"/>
      <c r="AH21" s="424"/>
      <c r="AI21" s="424"/>
      <c r="AJ21" s="424"/>
      <c r="AK21" s="424"/>
      <c r="AL21" s="424"/>
      <c r="AM21" s="424"/>
      <c r="AN21" s="424"/>
      <c r="AO21" s="424"/>
      <c r="AP21" s="424"/>
      <c r="AQ21" s="424"/>
      <c r="AR21" s="424"/>
      <c r="AS21" s="424"/>
      <c r="AT21" s="424"/>
      <c r="AU21" s="424"/>
      <c r="AV21" s="424"/>
      <c r="AW21" s="11" t="s">
        <v>196</v>
      </c>
      <c r="AX21" s="11" t="s">
        <v>197</v>
      </c>
      <c r="AY21" s="128">
        <v>1</v>
      </c>
      <c r="AZ21" s="128">
        <v>0</v>
      </c>
      <c r="BA21" s="129">
        <v>0</v>
      </c>
      <c r="BB21" s="60" t="s">
        <v>198</v>
      </c>
      <c r="BC21" s="128">
        <v>0</v>
      </c>
      <c r="BD21" s="129">
        <v>0</v>
      </c>
      <c r="BE21" s="60" t="s">
        <v>199</v>
      </c>
      <c r="BF21" s="82">
        <v>0</v>
      </c>
      <c r="BG21" s="129">
        <v>0</v>
      </c>
      <c r="BH21" s="60" t="s">
        <v>195</v>
      </c>
      <c r="BI21" s="82">
        <v>0</v>
      </c>
      <c r="BJ21" s="144">
        <v>0</v>
      </c>
      <c r="BK21" s="60" t="s">
        <v>1045</v>
      </c>
      <c r="BL21" s="82">
        <v>0.3</v>
      </c>
      <c r="BM21" s="144">
        <v>0.3</v>
      </c>
      <c r="BN21" s="60" t="s">
        <v>1062</v>
      </c>
      <c r="BO21" s="82">
        <v>0.3367</v>
      </c>
      <c r="BP21" s="144">
        <v>0.3367</v>
      </c>
      <c r="BQ21" s="60" t="s">
        <v>1076</v>
      </c>
      <c r="BR21" s="82">
        <v>0.47</v>
      </c>
      <c r="BS21" s="223">
        <v>0.47</v>
      </c>
      <c r="BT21" s="60" t="s">
        <v>1293</v>
      </c>
      <c r="BU21" s="411" t="s">
        <v>1307</v>
      </c>
      <c r="BV21" s="412"/>
      <c r="BW21" s="413"/>
      <c r="BX21" s="411" t="s">
        <v>1307</v>
      </c>
      <c r="BY21" s="412"/>
      <c r="BZ21" s="413"/>
      <c r="CA21" s="411" t="s">
        <v>1307</v>
      </c>
      <c r="CB21" s="412"/>
      <c r="CC21" s="413"/>
      <c r="CD21" s="411" t="s">
        <v>1307</v>
      </c>
      <c r="CE21" s="412"/>
      <c r="CF21" s="413"/>
      <c r="CG21" s="411" t="s">
        <v>1307</v>
      </c>
      <c r="CH21" s="412"/>
      <c r="CI21" s="413"/>
      <c r="CJ21" s="11" t="s">
        <v>159</v>
      </c>
      <c r="CK21" s="11" t="s">
        <v>160</v>
      </c>
    </row>
    <row r="22" spans="1:174" s="4" customFormat="1" ht="24" customHeight="1" x14ac:dyDescent="0.2">
      <c r="A22" s="394"/>
      <c r="B22" s="394"/>
      <c r="C22" s="394"/>
      <c r="D22" s="394" t="s">
        <v>18</v>
      </c>
      <c r="E22" s="399" t="s">
        <v>200</v>
      </c>
      <c r="F22" s="394" t="s">
        <v>88</v>
      </c>
      <c r="G22" s="394"/>
      <c r="H22" s="401"/>
      <c r="I22" s="434">
        <v>257814785</v>
      </c>
      <c r="J22" s="368" t="s">
        <v>201</v>
      </c>
      <c r="K22" s="368" t="s">
        <v>202</v>
      </c>
      <c r="L22" s="435">
        <v>1</v>
      </c>
      <c r="M22" s="378">
        <v>0.05</v>
      </c>
      <c r="N22" s="366">
        <v>0.05</v>
      </c>
      <c r="O22" s="378" t="s">
        <v>203</v>
      </c>
      <c r="P22" s="378">
        <v>7.0000000000000007E-2</v>
      </c>
      <c r="Q22" s="366">
        <v>7.0000000000000007E-2</v>
      </c>
      <c r="R22" s="378" t="s">
        <v>204</v>
      </c>
      <c r="S22" s="378">
        <v>0.2</v>
      </c>
      <c r="T22" s="366">
        <v>0.2</v>
      </c>
      <c r="U22" s="378" t="s">
        <v>205</v>
      </c>
      <c r="V22" s="378">
        <v>0.27</v>
      </c>
      <c r="W22" s="366">
        <v>0.27</v>
      </c>
      <c r="X22" s="378" t="s">
        <v>1053</v>
      </c>
      <c r="Y22" s="378">
        <v>0.37569999999999998</v>
      </c>
      <c r="Z22" s="366">
        <v>0.37569999999999998</v>
      </c>
      <c r="AA22" s="378" t="s">
        <v>1051</v>
      </c>
      <c r="AB22" s="378">
        <v>0.4244</v>
      </c>
      <c r="AC22" s="366">
        <v>0.4244</v>
      </c>
      <c r="AD22" s="378" t="s">
        <v>1068</v>
      </c>
      <c r="AE22" s="416">
        <v>0.43640000000000001</v>
      </c>
      <c r="AF22" s="419">
        <v>0.43640000000000001</v>
      </c>
      <c r="AG22" s="378" t="s">
        <v>1286</v>
      </c>
      <c r="AH22" s="378">
        <v>0.64159999999999995</v>
      </c>
      <c r="AI22" s="366">
        <v>0.64159999999999995</v>
      </c>
      <c r="AJ22" s="378" t="s">
        <v>1303</v>
      </c>
      <c r="AK22" s="378">
        <v>0.73870000000000002</v>
      </c>
      <c r="AL22" s="366">
        <v>0.73870000000000002</v>
      </c>
      <c r="AM22" s="378" t="s">
        <v>1319</v>
      </c>
      <c r="AN22" s="416">
        <v>0.80910000000000004</v>
      </c>
      <c r="AO22" s="419">
        <v>0.80910000000000004</v>
      </c>
      <c r="AP22" s="378" t="s">
        <v>1921</v>
      </c>
      <c r="AQ22" s="378">
        <v>0.89739999999999998</v>
      </c>
      <c r="AR22" s="378">
        <v>0.89739999999999998</v>
      </c>
      <c r="AS22" s="378" t="s">
        <v>1951</v>
      </c>
      <c r="AT22" s="378">
        <v>0.99239999999999995</v>
      </c>
      <c r="AU22" s="366">
        <v>0.99239999999999995</v>
      </c>
      <c r="AV22" s="378" t="s">
        <v>1954</v>
      </c>
      <c r="AW22" s="11" t="s">
        <v>206</v>
      </c>
      <c r="AX22" s="11" t="s">
        <v>202</v>
      </c>
      <c r="AY22" s="128">
        <v>1</v>
      </c>
      <c r="AZ22" s="128">
        <v>0.05</v>
      </c>
      <c r="BA22" s="129">
        <v>0.05</v>
      </c>
      <c r="BB22" s="60" t="s">
        <v>207</v>
      </c>
      <c r="BC22" s="128">
        <v>0.13730000000000001</v>
      </c>
      <c r="BD22" s="129">
        <v>0.13730000000000001</v>
      </c>
      <c r="BE22" s="60" t="s">
        <v>208</v>
      </c>
      <c r="BF22" s="82">
        <v>0.1996</v>
      </c>
      <c r="BG22" s="129">
        <v>0.1996</v>
      </c>
      <c r="BH22" s="60" t="s">
        <v>209</v>
      </c>
      <c r="BI22" s="82">
        <v>0.25119999999999998</v>
      </c>
      <c r="BJ22" s="144">
        <v>0.25119999999999998</v>
      </c>
      <c r="BK22" s="60" t="s">
        <v>1046</v>
      </c>
      <c r="BL22" s="82">
        <v>0.35580000000000001</v>
      </c>
      <c r="BM22" s="144">
        <v>0.35580000000000001</v>
      </c>
      <c r="BN22" s="60" t="s">
        <v>1063</v>
      </c>
      <c r="BO22" s="82">
        <v>0.40620000000000001</v>
      </c>
      <c r="BP22" s="144">
        <v>0.40620000000000001</v>
      </c>
      <c r="BQ22" s="60" t="s">
        <v>1077</v>
      </c>
      <c r="BR22" s="82">
        <v>0.4854</v>
      </c>
      <c r="BS22" s="223">
        <v>0.4854</v>
      </c>
      <c r="BT22" s="60" t="s">
        <v>1294</v>
      </c>
      <c r="BU22" s="82">
        <v>0.53</v>
      </c>
      <c r="BV22" s="223">
        <v>0.53</v>
      </c>
      <c r="BW22" s="60" t="s">
        <v>1311</v>
      </c>
      <c r="BX22" s="82">
        <v>0.61719999999999997</v>
      </c>
      <c r="BY22" s="223">
        <v>0.61719999999999997</v>
      </c>
      <c r="BZ22" s="60" t="s">
        <v>1329</v>
      </c>
      <c r="CA22" s="82">
        <v>0.7</v>
      </c>
      <c r="CB22" s="279">
        <v>0.7</v>
      </c>
      <c r="CC22" s="60" t="s">
        <v>1933</v>
      </c>
      <c r="CD22" s="82">
        <v>0.83</v>
      </c>
      <c r="CE22" s="279">
        <v>0.83</v>
      </c>
      <c r="CF22" s="60" t="s">
        <v>1945</v>
      </c>
      <c r="CG22" s="82">
        <v>1</v>
      </c>
      <c r="CH22" s="279">
        <v>1</v>
      </c>
      <c r="CI22" s="60" t="s">
        <v>1964</v>
      </c>
      <c r="CJ22" s="11" t="s">
        <v>159</v>
      </c>
      <c r="CK22" s="11" t="s">
        <v>160</v>
      </c>
    </row>
    <row r="23" spans="1:174" s="4" customFormat="1" ht="33.75" customHeight="1" x14ac:dyDescent="0.2">
      <c r="A23" s="394"/>
      <c r="B23" s="394"/>
      <c r="C23" s="394"/>
      <c r="D23" s="394"/>
      <c r="E23" s="399"/>
      <c r="F23" s="394"/>
      <c r="G23" s="394"/>
      <c r="H23" s="401"/>
      <c r="I23" s="434"/>
      <c r="J23" s="368"/>
      <c r="K23" s="368"/>
      <c r="L23" s="435"/>
      <c r="M23" s="379"/>
      <c r="N23" s="402"/>
      <c r="O23" s="379"/>
      <c r="P23" s="379"/>
      <c r="Q23" s="402"/>
      <c r="R23" s="379"/>
      <c r="S23" s="379"/>
      <c r="T23" s="402"/>
      <c r="U23" s="379"/>
      <c r="V23" s="379"/>
      <c r="W23" s="402"/>
      <c r="X23" s="379"/>
      <c r="Y23" s="379"/>
      <c r="Z23" s="402"/>
      <c r="AA23" s="379"/>
      <c r="AB23" s="379"/>
      <c r="AC23" s="402"/>
      <c r="AD23" s="379"/>
      <c r="AE23" s="417"/>
      <c r="AF23" s="420"/>
      <c r="AG23" s="379"/>
      <c r="AH23" s="379"/>
      <c r="AI23" s="402"/>
      <c r="AJ23" s="379"/>
      <c r="AK23" s="379"/>
      <c r="AL23" s="402"/>
      <c r="AM23" s="379"/>
      <c r="AN23" s="417"/>
      <c r="AO23" s="420"/>
      <c r="AP23" s="379"/>
      <c r="AQ23" s="379"/>
      <c r="AR23" s="379"/>
      <c r="AS23" s="379"/>
      <c r="AT23" s="379"/>
      <c r="AU23" s="402"/>
      <c r="AV23" s="379"/>
      <c r="AW23" s="11" t="s">
        <v>210</v>
      </c>
      <c r="AX23" s="11" t="s">
        <v>202</v>
      </c>
      <c r="AY23" s="128">
        <v>1</v>
      </c>
      <c r="AZ23" s="128">
        <v>0.05</v>
      </c>
      <c r="BA23" s="129">
        <v>0.05</v>
      </c>
      <c r="BB23" s="60" t="s">
        <v>211</v>
      </c>
      <c r="BC23" s="128">
        <v>0.08</v>
      </c>
      <c r="BD23" s="129">
        <v>0.08</v>
      </c>
      <c r="BE23" s="60" t="s">
        <v>212</v>
      </c>
      <c r="BF23" s="82">
        <v>0.25</v>
      </c>
      <c r="BG23" s="129">
        <v>0.25</v>
      </c>
      <c r="BH23" s="60" t="s">
        <v>213</v>
      </c>
      <c r="BI23" s="82">
        <v>0.5</v>
      </c>
      <c r="BJ23" s="144">
        <v>0.5</v>
      </c>
      <c r="BK23" s="60" t="s">
        <v>213</v>
      </c>
      <c r="BL23" s="82">
        <v>0.6</v>
      </c>
      <c r="BM23" s="144">
        <v>0.6</v>
      </c>
      <c r="BN23" s="60" t="s">
        <v>213</v>
      </c>
      <c r="BO23" s="82">
        <v>0.63</v>
      </c>
      <c r="BP23" s="144">
        <v>0.63</v>
      </c>
      <c r="BQ23" s="60" t="s">
        <v>1078</v>
      </c>
      <c r="BR23" s="82">
        <v>0.73</v>
      </c>
      <c r="BS23" s="223">
        <v>0.73</v>
      </c>
      <c r="BT23" s="60" t="s">
        <v>1295</v>
      </c>
      <c r="BU23" s="82">
        <v>0.83</v>
      </c>
      <c r="BV23" s="223">
        <v>0.83</v>
      </c>
      <c r="BW23" s="60" t="s">
        <v>1312</v>
      </c>
      <c r="BX23" s="82">
        <v>0.9</v>
      </c>
      <c r="BY23" s="223">
        <v>0.9</v>
      </c>
      <c r="BZ23" s="60" t="s">
        <v>1330</v>
      </c>
      <c r="CA23" s="82">
        <v>0.93</v>
      </c>
      <c r="CB23" s="279">
        <v>0.93</v>
      </c>
      <c r="CC23" s="60" t="s">
        <v>1934</v>
      </c>
      <c r="CD23" s="82">
        <v>0.97</v>
      </c>
      <c r="CE23" s="279">
        <v>0.97</v>
      </c>
      <c r="CF23" s="60" t="s">
        <v>1946</v>
      </c>
      <c r="CG23" s="82">
        <v>1</v>
      </c>
      <c r="CH23" s="279">
        <v>1</v>
      </c>
      <c r="CI23" s="60" t="s">
        <v>1965</v>
      </c>
      <c r="CJ23" s="11" t="s">
        <v>159</v>
      </c>
      <c r="CK23" s="11" t="s">
        <v>160</v>
      </c>
    </row>
    <row r="24" spans="1:174" s="4" customFormat="1" ht="33.75" customHeight="1" x14ac:dyDescent="0.2">
      <c r="A24" s="394"/>
      <c r="B24" s="394"/>
      <c r="C24" s="394"/>
      <c r="D24" s="394"/>
      <c r="E24" s="399"/>
      <c r="F24" s="394"/>
      <c r="G24" s="394"/>
      <c r="H24" s="401"/>
      <c r="I24" s="434"/>
      <c r="J24" s="368"/>
      <c r="K24" s="368"/>
      <c r="L24" s="435"/>
      <c r="M24" s="380"/>
      <c r="N24" s="367"/>
      <c r="O24" s="380"/>
      <c r="P24" s="380"/>
      <c r="Q24" s="367"/>
      <c r="R24" s="380"/>
      <c r="S24" s="380"/>
      <c r="T24" s="367"/>
      <c r="U24" s="380"/>
      <c r="V24" s="380"/>
      <c r="W24" s="367"/>
      <c r="X24" s="380"/>
      <c r="Y24" s="380"/>
      <c r="Z24" s="367"/>
      <c r="AA24" s="380"/>
      <c r="AB24" s="380"/>
      <c r="AC24" s="367"/>
      <c r="AD24" s="380"/>
      <c r="AE24" s="418"/>
      <c r="AF24" s="421"/>
      <c r="AG24" s="380"/>
      <c r="AH24" s="380"/>
      <c r="AI24" s="367"/>
      <c r="AJ24" s="380"/>
      <c r="AK24" s="380"/>
      <c r="AL24" s="367"/>
      <c r="AM24" s="380"/>
      <c r="AN24" s="418"/>
      <c r="AO24" s="421"/>
      <c r="AP24" s="380"/>
      <c r="AQ24" s="380"/>
      <c r="AR24" s="380"/>
      <c r="AS24" s="380"/>
      <c r="AT24" s="380"/>
      <c r="AU24" s="367"/>
      <c r="AV24" s="380"/>
      <c r="AW24" s="11" t="s">
        <v>214</v>
      </c>
      <c r="AX24" s="11" t="s">
        <v>215</v>
      </c>
      <c r="AY24" s="128">
        <v>1</v>
      </c>
      <c r="AZ24" s="128">
        <v>0</v>
      </c>
      <c r="BA24" s="129">
        <v>0</v>
      </c>
      <c r="BB24" s="60" t="s">
        <v>174</v>
      </c>
      <c r="BC24" s="128">
        <v>0</v>
      </c>
      <c r="BD24" s="129">
        <v>0</v>
      </c>
      <c r="BE24" s="60" t="s">
        <v>216</v>
      </c>
      <c r="BF24" s="82">
        <v>0.06</v>
      </c>
      <c r="BG24" s="129">
        <v>0.06</v>
      </c>
      <c r="BH24" s="60" t="s">
        <v>217</v>
      </c>
      <c r="BI24" s="82">
        <v>0.16</v>
      </c>
      <c r="BJ24" s="144">
        <v>0.16</v>
      </c>
      <c r="BK24" s="60" t="s">
        <v>1047</v>
      </c>
      <c r="BL24" s="82">
        <v>0.21</v>
      </c>
      <c r="BM24" s="144">
        <v>0.21</v>
      </c>
      <c r="BN24" s="60" t="s">
        <v>1064</v>
      </c>
      <c r="BO24" s="82">
        <v>0.59</v>
      </c>
      <c r="BP24" s="144">
        <v>0.59</v>
      </c>
      <c r="BQ24" s="60" t="s">
        <v>1079</v>
      </c>
      <c r="BR24" s="82">
        <v>0.71</v>
      </c>
      <c r="BS24" s="223">
        <v>0.71</v>
      </c>
      <c r="BT24" s="60" t="s">
        <v>1296</v>
      </c>
      <c r="BU24" s="82">
        <v>0.71</v>
      </c>
      <c r="BV24" s="223">
        <v>0.71</v>
      </c>
      <c r="BW24" s="60" t="s">
        <v>1296</v>
      </c>
      <c r="BX24" s="82">
        <v>0.68</v>
      </c>
      <c r="BY24" s="223">
        <v>0.68</v>
      </c>
      <c r="BZ24" s="60" t="s">
        <v>1331</v>
      </c>
      <c r="CA24" s="82">
        <v>0.77</v>
      </c>
      <c r="CB24" s="279">
        <v>0.77</v>
      </c>
      <c r="CC24" s="60" t="s">
        <v>1935</v>
      </c>
      <c r="CD24" s="82">
        <v>0.91</v>
      </c>
      <c r="CE24" s="279">
        <v>0.91</v>
      </c>
      <c r="CF24" s="60" t="s">
        <v>1947</v>
      </c>
      <c r="CG24" s="82">
        <v>1</v>
      </c>
      <c r="CH24" s="279">
        <v>1</v>
      </c>
      <c r="CI24" s="60" t="s">
        <v>1966</v>
      </c>
      <c r="CJ24" s="11" t="s">
        <v>159</v>
      </c>
      <c r="CK24" s="11" t="s">
        <v>160</v>
      </c>
    </row>
    <row r="25" spans="1:174" s="4" customFormat="1" ht="33.75" customHeight="1" x14ac:dyDescent="0.2">
      <c r="A25" s="394"/>
      <c r="B25" s="394"/>
      <c r="C25" s="394"/>
      <c r="D25" s="394" t="s">
        <v>18</v>
      </c>
      <c r="E25" s="399"/>
      <c r="F25" s="394" t="s">
        <v>88</v>
      </c>
      <c r="G25" s="394"/>
      <c r="H25" s="401"/>
      <c r="I25" s="374">
        <v>986434228</v>
      </c>
      <c r="J25" s="432" t="s">
        <v>1924</v>
      </c>
      <c r="K25" s="432" t="s">
        <v>218</v>
      </c>
      <c r="L25" s="436">
        <v>1</v>
      </c>
      <c r="M25" s="366">
        <v>0</v>
      </c>
      <c r="N25" s="366">
        <v>0</v>
      </c>
      <c r="O25" s="378" t="s">
        <v>164</v>
      </c>
      <c r="P25" s="378">
        <v>0</v>
      </c>
      <c r="Q25" s="366">
        <v>0</v>
      </c>
      <c r="R25" s="378" t="s">
        <v>1052</v>
      </c>
      <c r="S25" s="378">
        <v>0</v>
      </c>
      <c r="T25" s="366">
        <v>0</v>
      </c>
      <c r="U25" s="378" t="s">
        <v>219</v>
      </c>
      <c r="V25" s="378">
        <v>0</v>
      </c>
      <c r="W25" s="366">
        <v>0</v>
      </c>
      <c r="X25" s="378" t="s">
        <v>1037</v>
      </c>
      <c r="Y25" s="378">
        <v>0</v>
      </c>
      <c r="Z25" s="366">
        <v>0</v>
      </c>
      <c r="AA25" s="378" t="s">
        <v>1037</v>
      </c>
      <c r="AB25" s="378">
        <v>0</v>
      </c>
      <c r="AC25" s="366">
        <v>0</v>
      </c>
      <c r="AD25" s="378" t="s">
        <v>1037</v>
      </c>
      <c r="AE25" s="378">
        <v>0</v>
      </c>
      <c r="AF25" s="366">
        <v>0</v>
      </c>
      <c r="AG25" s="378" t="s">
        <v>1287</v>
      </c>
      <c r="AH25" s="414">
        <v>0.67</v>
      </c>
      <c r="AI25" s="366">
        <v>0.67</v>
      </c>
      <c r="AJ25" s="378" t="s">
        <v>1304</v>
      </c>
      <c r="AK25" s="414">
        <v>0.71</v>
      </c>
      <c r="AL25" s="366">
        <v>0.71</v>
      </c>
      <c r="AM25" s="378" t="s">
        <v>1320</v>
      </c>
      <c r="AN25" s="414">
        <v>0.77</v>
      </c>
      <c r="AO25" s="403">
        <v>7.7000000000000002E-3</v>
      </c>
      <c r="AP25" s="378" t="s">
        <v>1922</v>
      </c>
      <c r="AQ25" s="414">
        <v>0.85</v>
      </c>
      <c r="AR25" s="366">
        <v>0.85</v>
      </c>
      <c r="AS25" s="378" t="s">
        <v>1952</v>
      </c>
      <c r="AT25" s="414">
        <v>1</v>
      </c>
      <c r="AU25" s="366">
        <v>1</v>
      </c>
      <c r="AV25" s="378" t="s">
        <v>1955</v>
      </c>
      <c r="AW25" s="11" t="s">
        <v>220</v>
      </c>
      <c r="AX25" s="11" t="s">
        <v>221</v>
      </c>
      <c r="AY25" s="128">
        <v>0.97</v>
      </c>
      <c r="AZ25" s="128">
        <v>0</v>
      </c>
      <c r="BA25" s="129">
        <v>0</v>
      </c>
      <c r="BB25" s="60" t="s">
        <v>222</v>
      </c>
      <c r="BC25" s="128">
        <v>0.28999999999999998</v>
      </c>
      <c r="BD25" s="129">
        <v>0.32222222222222219</v>
      </c>
      <c r="BE25" s="60" t="s">
        <v>223</v>
      </c>
      <c r="BF25" s="82">
        <v>0.53</v>
      </c>
      <c r="BG25" s="129">
        <v>0.58888888888888891</v>
      </c>
      <c r="BH25" s="60" t="s">
        <v>224</v>
      </c>
      <c r="BI25" s="82">
        <v>0.43</v>
      </c>
      <c r="BJ25" s="144">
        <v>0.47777777777777775</v>
      </c>
      <c r="BK25" s="60" t="s">
        <v>1048</v>
      </c>
      <c r="BL25" s="82">
        <v>0.50560000000000005</v>
      </c>
      <c r="BM25" s="144">
        <v>0.56177777777777782</v>
      </c>
      <c r="BN25" s="60" t="s">
        <v>1065</v>
      </c>
      <c r="BO25" s="82">
        <v>0.43490000000000001</v>
      </c>
      <c r="BP25" s="144">
        <v>0.48322222222222222</v>
      </c>
      <c r="BQ25" s="60" t="s">
        <v>1080</v>
      </c>
      <c r="BR25" s="82">
        <v>0.43</v>
      </c>
      <c r="BS25" s="223">
        <v>0.48199999999999998</v>
      </c>
      <c r="BT25" s="60" t="s">
        <v>1300</v>
      </c>
      <c r="BU25" s="82">
        <v>0.9</v>
      </c>
      <c r="BV25" s="223">
        <v>1</v>
      </c>
      <c r="BW25" s="60" t="s">
        <v>1316</v>
      </c>
      <c r="BX25" s="82">
        <v>0.9</v>
      </c>
      <c r="BY25" s="223">
        <v>1</v>
      </c>
      <c r="BZ25" s="60" t="s">
        <v>1332</v>
      </c>
      <c r="CA25" s="82">
        <v>0.94579999999999997</v>
      </c>
      <c r="CB25" s="279">
        <v>1</v>
      </c>
      <c r="CC25" s="60" t="s">
        <v>1936</v>
      </c>
      <c r="CD25" s="82">
        <v>0.93730000000000002</v>
      </c>
      <c r="CE25" s="279">
        <v>0.96599999999999997</v>
      </c>
      <c r="CF25" s="60" t="s">
        <v>1948</v>
      </c>
      <c r="CG25" s="82">
        <v>0.91576673866090708</v>
      </c>
      <c r="CH25" s="279">
        <v>0.94408942129990425</v>
      </c>
      <c r="CI25" s="60" t="s">
        <v>1967</v>
      </c>
      <c r="CJ25" s="11" t="s">
        <v>159</v>
      </c>
      <c r="CK25" s="11" t="s">
        <v>160</v>
      </c>
    </row>
    <row r="26" spans="1:174" s="4" customFormat="1" ht="33.75" customHeight="1" x14ac:dyDescent="0.2">
      <c r="A26" s="370"/>
      <c r="B26" s="370"/>
      <c r="C26" s="370"/>
      <c r="D26" s="370" t="s">
        <v>18</v>
      </c>
      <c r="E26" s="400"/>
      <c r="F26" s="370" t="s">
        <v>88</v>
      </c>
      <c r="G26" s="370"/>
      <c r="H26" s="375"/>
      <c r="I26" s="375"/>
      <c r="J26" s="433"/>
      <c r="K26" s="433"/>
      <c r="L26" s="437"/>
      <c r="M26" s="367"/>
      <c r="N26" s="367"/>
      <c r="O26" s="380"/>
      <c r="P26" s="380"/>
      <c r="Q26" s="367"/>
      <c r="R26" s="380"/>
      <c r="S26" s="380"/>
      <c r="T26" s="367"/>
      <c r="U26" s="380"/>
      <c r="V26" s="380"/>
      <c r="W26" s="367"/>
      <c r="X26" s="380"/>
      <c r="Y26" s="380"/>
      <c r="Z26" s="367"/>
      <c r="AA26" s="380"/>
      <c r="AB26" s="380"/>
      <c r="AC26" s="367"/>
      <c r="AD26" s="380"/>
      <c r="AE26" s="380"/>
      <c r="AF26" s="367"/>
      <c r="AG26" s="380"/>
      <c r="AH26" s="415"/>
      <c r="AI26" s="367"/>
      <c r="AJ26" s="380"/>
      <c r="AK26" s="415"/>
      <c r="AL26" s="367"/>
      <c r="AM26" s="380"/>
      <c r="AN26" s="415"/>
      <c r="AO26" s="405"/>
      <c r="AP26" s="380"/>
      <c r="AQ26" s="415"/>
      <c r="AR26" s="367"/>
      <c r="AS26" s="380"/>
      <c r="AT26" s="415"/>
      <c r="AU26" s="367"/>
      <c r="AV26" s="380"/>
      <c r="AW26" s="11" t="s">
        <v>225</v>
      </c>
      <c r="AX26" s="11" t="s">
        <v>226</v>
      </c>
      <c r="AY26" s="128">
        <v>0.9</v>
      </c>
      <c r="AZ26" s="128">
        <v>0</v>
      </c>
      <c r="BA26" s="129">
        <v>0</v>
      </c>
      <c r="BB26" s="60" t="s">
        <v>227</v>
      </c>
      <c r="BC26" s="128">
        <v>0</v>
      </c>
      <c r="BD26" s="129">
        <v>0</v>
      </c>
      <c r="BE26" s="60" t="s">
        <v>227</v>
      </c>
      <c r="BF26" s="82">
        <v>0</v>
      </c>
      <c r="BG26" s="129">
        <v>0</v>
      </c>
      <c r="BH26" s="60" t="s">
        <v>227</v>
      </c>
      <c r="BI26" s="82">
        <v>0</v>
      </c>
      <c r="BJ26" s="144">
        <v>0</v>
      </c>
      <c r="BK26" s="60" t="s">
        <v>227</v>
      </c>
      <c r="BL26" s="82">
        <v>0</v>
      </c>
      <c r="BM26" s="144">
        <v>0</v>
      </c>
      <c r="BN26" s="60" t="s">
        <v>227</v>
      </c>
      <c r="BO26" s="82">
        <v>0</v>
      </c>
      <c r="BP26" s="144">
        <v>0</v>
      </c>
      <c r="BQ26" s="60" t="s">
        <v>227</v>
      </c>
      <c r="BR26" s="82">
        <v>0</v>
      </c>
      <c r="BS26" s="223">
        <v>0</v>
      </c>
      <c r="BT26" s="60" t="s">
        <v>227</v>
      </c>
      <c r="BU26" s="82">
        <v>0</v>
      </c>
      <c r="BV26" s="223">
        <v>0</v>
      </c>
      <c r="BW26" s="60" t="s">
        <v>227</v>
      </c>
      <c r="BX26" s="82">
        <v>0</v>
      </c>
      <c r="BY26" s="223">
        <v>0</v>
      </c>
      <c r="BZ26" s="60" t="s">
        <v>1333</v>
      </c>
      <c r="CA26" s="82">
        <v>0</v>
      </c>
      <c r="CB26" s="279">
        <v>0</v>
      </c>
      <c r="CC26" s="60" t="s">
        <v>1333</v>
      </c>
      <c r="CD26" s="82">
        <v>0</v>
      </c>
      <c r="CE26" s="279">
        <v>0</v>
      </c>
      <c r="CF26" s="60" t="s">
        <v>1333</v>
      </c>
      <c r="CG26" s="82">
        <v>0.71</v>
      </c>
      <c r="CH26" s="279">
        <v>0.78888888888888886</v>
      </c>
      <c r="CI26" s="60" t="s">
        <v>1968</v>
      </c>
      <c r="CJ26" s="11" t="s">
        <v>159</v>
      </c>
      <c r="CK26" s="11" t="s">
        <v>160</v>
      </c>
    </row>
    <row r="27" spans="1:174" ht="75" x14ac:dyDescent="0.25">
      <c r="H27" s="115"/>
      <c r="M27" s="56" t="s">
        <v>161</v>
      </c>
      <c r="N27" s="74">
        <f>AVERAGE(N18,N22,N25)</f>
        <v>1.6666666666666666E-2</v>
      </c>
      <c r="P27" s="56" t="s">
        <v>161</v>
      </c>
      <c r="Q27" s="74">
        <f>AVERAGE(Q18,Q22,Q25)</f>
        <v>0.2751851851851852</v>
      </c>
      <c r="S27" s="56" t="s">
        <v>161</v>
      </c>
      <c r="T27" s="74">
        <f>AVERAGE(T18,T22,T25)</f>
        <v>0.41851851851851851</v>
      </c>
      <c r="V27" s="56" t="s">
        <v>161</v>
      </c>
      <c r="W27" s="74">
        <f>AVERAGE(W18,W22,W25)</f>
        <v>0.38999999999999996</v>
      </c>
      <c r="Y27" s="56" t="s">
        <v>161</v>
      </c>
      <c r="Z27" s="74">
        <f>AVERAGE(Z18,Z22,Z25)</f>
        <v>0.4733814814814814</v>
      </c>
      <c r="AB27" s="56" t="s">
        <v>161</v>
      </c>
      <c r="AC27" s="74">
        <f>AVERAGE(AC18,AC22,AC25)</f>
        <v>0.48594814814814818</v>
      </c>
      <c r="AE27" s="56" t="s">
        <v>161</v>
      </c>
      <c r="AF27" s="226">
        <f>AVERAGE(AF18,AF22,AF25)</f>
        <v>0.50213333333333343</v>
      </c>
      <c r="AH27" s="56" t="s">
        <v>161</v>
      </c>
      <c r="AI27" s="74">
        <f>AVERAGE(AI18,AI22,AI25)</f>
        <v>0.77053333333333329</v>
      </c>
      <c r="AK27" s="56" t="s">
        <v>161</v>
      </c>
      <c r="AL27" s="74">
        <f>AVERAGE(AL18,AL22,AL25)</f>
        <v>0.81623333333333337</v>
      </c>
      <c r="AN27" s="56" t="s">
        <v>161</v>
      </c>
      <c r="AO27" s="226">
        <f>AVERAGE(AO18,AO22,AO25)</f>
        <v>0.60560000000000003</v>
      </c>
      <c r="AQ27" s="56" t="s">
        <v>161</v>
      </c>
      <c r="AR27" s="226">
        <f>AVERAGE(AR18,AR22,AR25)</f>
        <v>0.91246666666666665</v>
      </c>
      <c r="AT27" s="56" t="s">
        <v>161</v>
      </c>
      <c r="AU27" s="74">
        <f>AVERAGE(AU18,AU22,AU25)</f>
        <v>0.99719455782312927</v>
      </c>
      <c r="AZ27" s="56" t="s">
        <v>162</v>
      </c>
      <c r="BA27" s="226">
        <f>AVERAGE(BA15:BA25)</f>
        <v>0.1873216206825821</v>
      </c>
      <c r="BC27" s="56" t="s">
        <v>162</v>
      </c>
      <c r="BD27" s="226">
        <f>AVERAGE(BD15:BD25)</f>
        <v>0.2708830536418772</v>
      </c>
      <c r="BF27" s="56" t="s">
        <v>162</v>
      </c>
      <c r="BG27" s="226">
        <f>AVERAGE(BG15:BG25)</f>
        <v>0.44493572249058799</v>
      </c>
      <c r="BH27" s="7"/>
      <c r="BI27" s="56" t="s">
        <v>162</v>
      </c>
      <c r="BJ27" s="226">
        <f>AVERAGE(BJ15:BJ25)</f>
        <v>0.43638902379813876</v>
      </c>
      <c r="BL27" s="56" t="s">
        <v>162</v>
      </c>
      <c r="BM27" s="226">
        <f>AVERAGE(BM15:BM25)</f>
        <v>0.64190856074499791</v>
      </c>
      <c r="BO27" s="56" t="s">
        <v>162</v>
      </c>
      <c r="BP27" s="226">
        <f>AVERAGE(BP15:BP25)</f>
        <v>0.48511356106961689</v>
      </c>
      <c r="BQ27" s="7"/>
      <c r="BR27" s="56" t="s">
        <v>162</v>
      </c>
      <c r="BS27" s="226">
        <f>AVERAGE(BS15:BS25)</f>
        <v>0.55249090909090914</v>
      </c>
      <c r="BU27" s="56" t="s">
        <v>162</v>
      </c>
      <c r="BV27" s="74">
        <f>AVERAGE(BV15:BV25)</f>
        <v>0.78300000000000003</v>
      </c>
      <c r="BX27" s="56" t="s">
        <v>162</v>
      </c>
      <c r="BY27" s="74">
        <f>AVERAGE(BY15:BY25)</f>
        <v>0.81784093380762113</v>
      </c>
      <c r="BZ27" s="7"/>
      <c r="CA27" s="56" t="s">
        <v>162</v>
      </c>
      <c r="CB27" s="226">
        <f>AVERAGE(CB15:CB26)</f>
        <v>0.78181818181818175</v>
      </c>
      <c r="CD27" s="56" t="s">
        <v>162</v>
      </c>
      <c r="CE27" s="74">
        <f>AVERAGE(CE15:CE26)</f>
        <v>0.81504545454545463</v>
      </c>
      <c r="CG27" s="56" t="s">
        <v>162</v>
      </c>
      <c r="CH27" s="74">
        <f>AVERAGE(CH15:CH26)</f>
        <v>0.980463470586873</v>
      </c>
      <c r="CI27" s="7"/>
      <c r="CJ27" s="7"/>
      <c r="CK27" s="7"/>
      <c r="FO27"/>
      <c r="FP27"/>
      <c r="FQ27"/>
      <c r="FR27"/>
    </row>
    <row r="28" spans="1:174" s="4" customFormat="1" ht="33.75" customHeight="1" x14ac:dyDescent="0.2">
      <c r="A28" s="425" t="s">
        <v>228</v>
      </c>
      <c r="B28" s="425"/>
      <c r="C28" s="117"/>
      <c r="D28" s="116"/>
      <c r="E28" s="117"/>
      <c r="F28" s="116"/>
      <c r="G28" s="116"/>
      <c r="H28" s="58"/>
      <c r="I28" s="58"/>
      <c r="J28" s="118"/>
      <c r="K28" s="118"/>
      <c r="L28" s="119"/>
      <c r="M28" s="59"/>
      <c r="N28" s="68"/>
      <c r="O28" s="59"/>
      <c r="P28" s="59"/>
      <c r="Q28" s="68"/>
      <c r="R28" s="59"/>
      <c r="S28" s="59"/>
      <c r="T28" s="68"/>
      <c r="U28" s="59"/>
      <c r="V28" s="59"/>
      <c r="W28" s="68"/>
      <c r="X28" s="59"/>
      <c r="Y28" s="59"/>
      <c r="Z28" s="68"/>
      <c r="AA28" s="59"/>
      <c r="AB28" s="59"/>
      <c r="AC28" s="68"/>
      <c r="AD28" s="59"/>
      <c r="AE28" s="59"/>
      <c r="AF28" s="68"/>
      <c r="AG28" s="59"/>
      <c r="AH28" s="59"/>
      <c r="AI28" s="68"/>
      <c r="AJ28" s="59"/>
      <c r="AK28" s="59"/>
      <c r="AL28" s="68"/>
      <c r="AM28" s="59"/>
      <c r="AN28" s="59"/>
      <c r="AO28" s="68"/>
      <c r="AP28" s="59"/>
      <c r="AQ28" s="59"/>
      <c r="AR28" s="68"/>
      <c r="AS28" s="59"/>
      <c r="AT28" s="59"/>
      <c r="AU28" s="68"/>
      <c r="AV28" s="59"/>
      <c r="AW28" s="120"/>
      <c r="AX28" s="120"/>
      <c r="AY28" s="119"/>
      <c r="AZ28" s="59"/>
      <c r="BA28" s="68"/>
      <c r="BB28" s="59"/>
      <c r="BC28" s="59"/>
      <c r="BD28" s="68"/>
      <c r="BE28" s="59"/>
      <c r="BF28" s="59"/>
      <c r="BG28" s="68"/>
      <c r="BH28" s="59"/>
      <c r="BI28" s="59"/>
      <c r="BJ28" s="68"/>
      <c r="BK28" s="59"/>
      <c r="BL28" s="59"/>
      <c r="BM28" s="227"/>
      <c r="BN28" s="59"/>
      <c r="BO28" s="59"/>
      <c r="BP28" s="227"/>
      <c r="BQ28" s="59"/>
      <c r="BR28" s="59"/>
      <c r="BS28" s="227"/>
      <c r="BT28" s="59"/>
      <c r="BU28" s="59"/>
      <c r="BV28" s="68"/>
      <c r="BW28" s="59"/>
      <c r="BX28" s="59"/>
      <c r="BY28" s="68"/>
      <c r="BZ28" s="59"/>
      <c r="CA28" s="59"/>
      <c r="CB28" s="227"/>
      <c r="CC28" s="59"/>
      <c r="CD28" s="59"/>
      <c r="CE28" s="68"/>
      <c r="CF28" s="59"/>
      <c r="CG28" s="59"/>
      <c r="CH28" s="68"/>
      <c r="CI28" s="59"/>
      <c r="CJ28" s="120"/>
      <c r="CK28" s="120"/>
    </row>
    <row r="29" spans="1:174" ht="75" x14ac:dyDescent="0.25">
      <c r="A29" s="425"/>
      <c r="B29" s="425"/>
      <c r="M29" s="56" t="s">
        <v>153</v>
      </c>
      <c r="N29" s="74">
        <f>AVERAGE(N14,N27)</f>
        <v>8.3333333333333332E-3</v>
      </c>
      <c r="P29" s="56" t="s">
        <v>153</v>
      </c>
      <c r="Q29" s="74">
        <f>AVERAGE(Q14,Q27)</f>
        <v>0.6375925925925926</v>
      </c>
      <c r="S29" s="56" t="s">
        <v>153</v>
      </c>
      <c r="T29" s="74">
        <f>AVERAGE(T14,T27)</f>
        <v>0.70925925925925926</v>
      </c>
      <c r="V29" s="56" t="s">
        <v>153</v>
      </c>
      <c r="W29" s="74">
        <f>AVERAGE(W14,W27)</f>
        <v>0.69499999999999995</v>
      </c>
      <c r="Y29" s="56" t="s">
        <v>153</v>
      </c>
      <c r="Z29" s="74">
        <f>AVERAGE(Z14,Z27)</f>
        <v>0.7366907407407407</v>
      </c>
      <c r="AB29" s="56" t="s">
        <v>153</v>
      </c>
      <c r="AC29" s="74">
        <f>AVERAGE(AC14,AC27)</f>
        <v>0.74297407407407412</v>
      </c>
      <c r="AE29" s="56" t="s">
        <v>153</v>
      </c>
      <c r="AF29" s="226">
        <f>AVERAGE(AF14,AF27)</f>
        <v>0.75106666666666677</v>
      </c>
      <c r="AH29" s="56" t="s">
        <v>153</v>
      </c>
      <c r="AI29" s="74">
        <f>AVERAGE(AI14,AI27)</f>
        <v>0.70191666666666663</v>
      </c>
      <c r="AK29" s="56" t="s">
        <v>153</v>
      </c>
      <c r="AL29" s="74">
        <f>AVERAGE(AL14,AL27)</f>
        <v>0.79141666666666666</v>
      </c>
      <c r="AN29" s="56" t="s">
        <v>153</v>
      </c>
      <c r="AO29" s="226">
        <f>AVERAGE(AO14,AO27)</f>
        <v>0.73613333333333331</v>
      </c>
      <c r="AQ29" s="56" t="s">
        <v>153</v>
      </c>
      <c r="AR29" s="226">
        <f>AVERAGE(AR14,AR27)</f>
        <v>0.90623333333333334</v>
      </c>
      <c r="AT29" s="56" t="s">
        <v>153</v>
      </c>
      <c r="AU29" s="74">
        <f>AVERAGE(AU14,AU27)</f>
        <v>0.99859727891156469</v>
      </c>
      <c r="AZ29" s="56" t="s">
        <v>154</v>
      </c>
      <c r="BA29" s="226">
        <f>AVERAGE(BA14,BA27)</f>
        <v>9.3660810341291048E-2</v>
      </c>
      <c r="BC29" s="56" t="s">
        <v>154</v>
      </c>
      <c r="BD29" s="226">
        <f>AVERAGE(BD14,BD27)</f>
        <v>0.38544152682093857</v>
      </c>
      <c r="BF29" s="56" t="s">
        <v>154</v>
      </c>
      <c r="BG29" s="226">
        <f>AVERAGE(BG14,BG27)</f>
        <v>0.55246786124529401</v>
      </c>
      <c r="BH29" s="7"/>
      <c r="BI29" s="56" t="s">
        <v>154</v>
      </c>
      <c r="BJ29" s="226">
        <f>AVERAGE(BJ14,BJ27)</f>
        <v>0.54819451189906943</v>
      </c>
      <c r="BL29" s="56" t="s">
        <v>154</v>
      </c>
      <c r="BM29" s="226">
        <f>AVERAGE(BM14,BM27)</f>
        <v>0.65095428037249903</v>
      </c>
      <c r="BO29" s="56" t="s">
        <v>154</v>
      </c>
      <c r="BP29" s="226">
        <f>AVERAGE(BP14,BP27)</f>
        <v>0.62755678053480846</v>
      </c>
      <c r="BQ29" s="7"/>
      <c r="BR29" s="56" t="s">
        <v>154</v>
      </c>
      <c r="BS29" s="226">
        <f>AVERAGE(BS14,BS27)</f>
        <v>0.66124545454545458</v>
      </c>
      <c r="BU29" s="56" t="s">
        <v>154</v>
      </c>
      <c r="BV29" s="74">
        <f>AVERAGE(BV14,BV27)</f>
        <v>0.79649999999999999</v>
      </c>
      <c r="BX29" s="56" t="s">
        <v>154</v>
      </c>
      <c r="BY29" s="74">
        <f>AVERAGE(BY14,BY27)</f>
        <v>0.8339204669038105</v>
      </c>
      <c r="BZ29" s="7"/>
      <c r="CA29" s="56" t="s">
        <v>154</v>
      </c>
      <c r="CB29" s="226">
        <f>AVERAGE(CB14,CB27)</f>
        <v>0.84090909090909083</v>
      </c>
      <c r="CD29" s="56" t="s">
        <v>154</v>
      </c>
      <c r="CE29" s="74">
        <f>AVERAGE(CE14,CE27)</f>
        <v>0.88252272727272729</v>
      </c>
      <c r="CG29" s="56" t="s">
        <v>154</v>
      </c>
      <c r="CH29" s="74">
        <f>AVERAGE(CH14,CH27)</f>
        <v>0.99023173529343644</v>
      </c>
      <c r="CI29" s="7"/>
      <c r="CJ29" s="7"/>
      <c r="CK29" s="7"/>
      <c r="FO29"/>
      <c r="FP29"/>
      <c r="FQ29"/>
      <c r="FR29"/>
    </row>
    <row r="30" spans="1:174" ht="38.25" customHeight="1" x14ac:dyDescent="0.25"/>
    <row r="31" spans="1:174" ht="38.25" customHeight="1" x14ac:dyDescent="0.25"/>
  </sheetData>
  <autoFilter ref="A7:CJ31" xr:uid="{00000000-0009-0000-0000-000000000000}"/>
  <mergeCells count="253">
    <mergeCell ref="BC6:BE6"/>
    <mergeCell ref="BF6:BH6"/>
    <mergeCell ref="CJ6:CK6"/>
    <mergeCell ref="D6:E6"/>
    <mergeCell ref="F6:I6"/>
    <mergeCell ref="J6:L6"/>
    <mergeCell ref="M6:O6"/>
    <mergeCell ref="P6:R6"/>
    <mergeCell ref="BI6:BK6"/>
    <mergeCell ref="BL6:BN6"/>
    <mergeCell ref="BO6:BQ6"/>
    <mergeCell ref="AE6:AG6"/>
    <mergeCell ref="AH6:AJ6"/>
    <mergeCell ref="AK6:AM6"/>
    <mergeCell ref="AN6:AP6"/>
    <mergeCell ref="AQ6:AS6"/>
    <mergeCell ref="AT6:AV6"/>
    <mergeCell ref="CA6:CC6"/>
    <mergeCell ref="CD6:CF6"/>
    <mergeCell ref="CG6:CI6"/>
    <mergeCell ref="A10:A13"/>
    <mergeCell ref="B10:B13"/>
    <mergeCell ref="C10:C13"/>
    <mergeCell ref="D10:D13"/>
    <mergeCell ref="G10:G13"/>
    <mergeCell ref="S6:U6"/>
    <mergeCell ref="AW6:AY6"/>
    <mergeCell ref="AZ6:BB6"/>
    <mergeCell ref="Q12:Q13"/>
    <mergeCell ref="R12:R13"/>
    <mergeCell ref="S12:S13"/>
    <mergeCell ref="T12:T13"/>
    <mergeCell ref="U12:U13"/>
    <mergeCell ref="V6:X6"/>
    <mergeCell ref="Y6:AA6"/>
    <mergeCell ref="AB6:AD6"/>
    <mergeCell ref="V12:V13"/>
    <mergeCell ref="W12:W13"/>
    <mergeCell ref="X12:X13"/>
    <mergeCell ref="Y12:Y13"/>
    <mergeCell ref="Z12:Z13"/>
    <mergeCell ref="AA12:AA13"/>
    <mergeCell ref="AB12:AB13"/>
    <mergeCell ref="C15:C26"/>
    <mergeCell ref="D15:D26"/>
    <mergeCell ref="AW10:AY10"/>
    <mergeCell ref="AW11:AY11"/>
    <mergeCell ref="I12:I13"/>
    <mergeCell ref="J12:J13"/>
    <mergeCell ref="K12:K13"/>
    <mergeCell ref="L12:L13"/>
    <mergeCell ref="M12:M13"/>
    <mergeCell ref="N12:N13"/>
    <mergeCell ref="O12:O13"/>
    <mergeCell ref="P12:P13"/>
    <mergeCell ref="H8:H26"/>
    <mergeCell ref="AW8:AY8"/>
    <mergeCell ref="E10:E13"/>
    <mergeCell ref="F10:F13"/>
    <mergeCell ref="S15:S17"/>
    <mergeCell ref="T15:T17"/>
    <mergeCell ref="U15:U17"/>
    <mergeCell ref="I19:I21"/>
    <mergeCell ref="J19:J21"/>
    <mergeCell ref="K19:K21"/>
    <mergeCell ref="L19:L21"/>
    <mergeCell ref="M19:M21"/>
    <mergeCell ref="P15:P17"/>
    <mergeCell ref="Q15:Q17"/>
    <mergeCell ref="U19:U21"/>
    <mergeCell ref="R19:R21"/>
    <mergeCell ref="S19:S21"/>
    <mergeCell ref="T19:T21"/>
    <mergeCell ref="O19:O21"/>
    <mergeCell ref="P19:P21"/>
    <mergeCell ref="Q19:Q21"/>
    <mergeCell ref="N19:N21"/>
    <mergeCell ref="K25:K26"/>
    <mergeCell ref="L25:L26"/>
    <mergeCell ref="M25:M26"/>
    <mergeCell ref="N25:N26"/>
    <mergeCell ref="L15:L17"/>
    <mergeCell ref="M15:M17"/>
    <mergeCell ref="N15:N17"/>
    <mergeCell ref="O15:O17"/>
    <mergeCell ref="S25:S26"/>
    <mergeCell ref="T25:T26"/>
    <mergeCell ref="N22:N24"/>
    <mergeCell ref="O22:O24"/>
    <mergeCell ref="P22:P24"/>
    <mergeCell ref="Q22:Q24"/>
    <mergeCell ref="S22:S24"/>
    <mergeCell ref="T22:T24"/>
    <mergeCell ref="I22:I24"/>
    <mergeCell ref="J22:J24"/>
    <mergeCell ref="K22:K24"/>
    <mergeCell ref="L22:L24"/>
    <mergeCell ref="M22:M24"/>
    <mergeCell ref="AC12:AC13"/>
    <mergeCell ref="AD12:AD13"/>
    <mergeCell ref="A28:B29"/>
    <mergeCell ref="O25:O26"/>
    <mergeCell ref="P25:P26"/>
    <mergeCell ref="Q25:Q26"/>
    <mergeCell ref="R25:R26"/>
    <mergeCell ref="E15:E26"/>
    <mergeCell ref="F15:F26"/>
    <mergeCell ref="G15:G26"/>
    <mergeCell ref="I15:I17"/>
    <mergeCell ref="J15:J17"/>
    <mergeCell ref="K15:K17"/>
    <mergeCell ref="A15:A26"/>
    <mergeCell ref="B15:B26"/>
    <mergeCell ref="R22:R24"/>
    <mergeCell ref="R15:R17"/>
    <mergeCell ref="U22:U24"/>
    <mergeCell ref="I25:I26"/>
    <mergeCell ref="J25:J26"/>
    <mergeCell ref="AA15:AA17"/>
    <mergeCell ref="AB15:AB17"/>
    <mergeCell ref="AC15:AC17"/>
    <mergeCell ref="U25:U26"/>
    <mergeCell ref="Y19:Y21"/>
    <mergeCell ref="Z19:Z21"/>
    <mergeCell ref="AA19:AA21"/>
    <mergeCell ref="AB19:AB21"/>
    <mergeCell ref="AC19:AC21"/>
    <mergeCell ref="AD19:AD21"/>
    <mergeCell ref="V15:V17"/>
    <mergeCell ref="W15:W17"/>
    <mergeCell ref="X15:X17"/>
    <mergeCell ref="Y15:Y17"/>
    <mergeCell ref="Z15:Z17"/>
    <mergeCell ref="AK12:AK13"/>
    <mergeCell ref="AL12:AL13"/>
    <mergeCell ref="AA22:AA24"/>
    <mergeCell ref="AB22:AB24"/>
    <mergeCell ref="AC22:AC24"/>
    <mergeCell ref="AD22:AD24"/>
    <mergeCell ref="V25:V26"/>
    <mergeCell ref="W25:W26"/>
    <mergeCell ref="X25:X26"/>
    <mergeCell ref="Y25:Y26"/>
    <mergeCell ref="Z25:Z26"/>
    <mergeCell ref="AA25:AA26"/>
    <mergeCell ref="AB25:AB26"/>
    <mergeCell ref="AC25:AC26"/>
    <mergeCell ref="AD25:AD26"/>
    <mergeCell ref="V22:V24"/>
    <mergeCell ref="W22:W24"/>
    <mergeCell ref="X22:X24"/>
    <mergeCell ref="Y22:Y24"/>
    <mergeCell ref="Z22:Z24"/>
    <mergeCell ref="AD15:AD17"/>
    <mergeCell ref="V19:V21"/>
    <mergeCell ref="W19:W21"/>
    <mergeCell ref="X19:X21"/>
    <mergeCell ref="AE19:AE21"/>
    <mergeCell ref="AF19:AF21"/>
    <mergeCell ref="AG19:AG21"/>
    <mergeCell ref="AH19:AH21"/>
    <mergeCell ref="AI19:AI21"/>
    <mergeCell ref="AJ19:AJ21"/>
    <mergeCell ref="AK19:AK21"/>
    <mergeCell ref="AL19:AL21"/>
    <mergeCell ref="AM12:AM13"/>
    <mergeCell ref="AE15:AE17"/>
    <mergeCell ref="AF15:AF17"/>
    <mergeCell ref="AG15:AG17"/>
    <mergeCell ref="AH15:AH17"/>
    <mergeCell ref="AI15:AI17"/>
    <mergeCell ref="AJ15:AJ17"/>
    <mergeCell ref="AK15:AK17"/>
    <mergeCell ref="AL15:AL17"/>
    <mergeCell ref="AM15:AM17"/>
    <mergeCell ref="AE12:AE13"/>
    <mergeCell ref="AF12:AF13"/>
    <mergeCell ref="AG12:AG13"/>
    <mergeCell ref="AH12:AH13"/>
    <mergeCell ref="AI12:AI13"/>
    <mergeCell ref="AJ12:AJ13"/>
    <mergeCell ref="AM25:AM26"/>
    <mergeCell ref="BR6:BT6"/>
    <mergeCell ref="BU6:BW6"/>
    <mergeCell ref="BX6:BZ6"/>
    <mergeCell ref="BU21:BW21"/>
    <mergeCell ref="BX21:BZ21"/>
    <mergeCell ref="AE25:AE26"/>
    <mergeCell ref="AF25:AF26"/>
    <mergeCell ref="AG25:AG26"/>
    <mergeCell ref="AH25:AH26"/>
    <mergeCell ref="AI25:AI26"/>
    <mergeCell ref="AJ25:AJ26"/>
    <mergeCell ref="AK25:AK26"/>
    <mergeCell ref="AL25:AL26"/>
    <mergeCell ref="AM19:AM21"/>
    <mergeCell ref="AE22:AE24"/>
    <mergeCell ref="AF22:AF24"/>
    <mergeCell ref="AG22:AG24"/>
    <mergeCell ref="AH22:AH24"/>
    <mergeCell ref="AI22:AI24"/>
    <mergeCell ref="AJ22:AJ24"/>
    <mergeCell ref="AK22:AK24"/>
    <mergeCell ref="AL22:AL24"/>
    <mergeCell ref="AM22:AM24"/>
    <mergeCell ref="AN12:AN13"/>
    <mergeCell ref="AO12:AO13"/>
    <mergeCell ref="AP12:AP13"/>
    <mergeCell ref="AQ12:AQ13"/>
    <mergeCell ref="AR12:AR13"/>
    <mergeCell ref="AS12:AS13"/>
    <mergeCell ref="AT12:AT13"/>
    <mergeCell ref="AU12:AU13"/>
    <mergeCell ref="AV12:AV13"/>
    <mergeCell ref="AQ19:AQ21"/>
    <mergeCell ref="AR19:AR21"/>
    <mergeCell ref="AS19:AS21"/>
    <mergeCell ref="AT19:AT21"/>
    <mergeCell ref="AU19:AU21"/>
    <mergeCell ref="AV19:AV21"/>
    <mergeCell ref="AN15:AN17"/>
    <mergeCell ref="AO15:AO17"/>
    <mergeCell ref="AP15:AP17"/>
    <mergeCell ref="AQ15:AQ17"/>
    <mergeCell ref="AR15:AR17"/>
    <mergeCell ref="AS15:AS17"/>
    <mergeCell ref="AT15:AT17"/>
    <mergeCell ref="AU15:AU17"/>
    <mergeCell ref="AV15:AV17"/>
    <mergeCell ref="CD21:CF21"/>
    <mergeCell ref="CG21:CI21"/>
    <mergeCell ref="CA21:CC21"/>
    <mergeCell ref="AN25:AN26"/>
    <mergeCell ref="AO25:AO26"/>
    <mergeCell ref="AP25:AP26"/>
    <mergeCell ref="AQ25:AQ26"/>
    <mergeCell ref="AR25:AR26"/>
    <mergeCell ref="AS25:AS26"/>
    <mergeCell ref="AT25:AT26"/>
    <mergeCell ref="AU25:AU26"/>
    <mergeCell ref="AV25:AV26"/>
    <mergeCell ref="AN22:AN24"/>
    <mergeCell ref="AO22:AO24"/>
    <mergeCell ref="AP22:AP24"/>
    <mergeCell ref="AQ22:AQ24"/>
    <mergeCell ref="AR22:AR24"/>
    <mergeCell ref="AS22:AS24"/>
    <mergeCell ref="AT22:AT24"/>
    <mergeCell ref="AU22:AU24"/>
    <mergeCell ref="AV22:AV24"/>
    <mergeCell ref="AN19:AN21"/>
    <mergeCell ref="AO19:AO21"/>
    <mergeCell ref="AP19:AP21"/>
  </mergeCells>
  <pageMargins left="0.75" right="0.75" top="1" bottom="1" header="0.5" footer="0.5"/>
  <pageSetup orientation="portrait" horizontalDpi="4294967292"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ADE12-1BDB-44D2-8150-0DDB081589C6}">
  <sheetPr>
    <tabColor theme="5" tint="-0.249977111117893"/>
  </sheetPr>
  <dimension ref="A1:FR18"/>
  <sheetViews>
    <sheetView showGridLines="0" zoomScaleNormal="130" workbookViewId="0">
      <selection activeCell="I8" sqref="A8:XFD11"/>
    </sheetView>
  </sheetViews>
  <sheetFormatPr baseColWidth="10" defaultColWidth="11.42578125" defaultRowHeight="15" x14ac:dyDescent="0.25"/>
  <cols>
    <col min="1" max="1" width="45.42578125" customWidth="1"/>
    <col min="2" max="2" width="45.7109375" bestFit="1" customWidth="1"/>
    <col min="3" max="3" width="19.42578125" style="3" customWidth="1"/>
    <col min="4" max="4" width="17.7109375" style="3" customWidth="1"/>
    <col min="5" max="5" width="43" style="3" bestFit="1" customWidth="1"/>
    <col min="6" max="6" width="15.42578125" style="3" bestFit="1" customWidth="1"/>
    <col min="7" max="7" width="45.7109375" style="3" bestFit="1" customWidth="1"/>
    <col min="8" max="8" width="19.42578125" style="1" customWidth="1"/>
    <col min="9" max="9" width="15.42578125" style="1" customWidth="1"/>
    <col min="10" max="10" width="45.7109375" style="3" bestFit="1" customWidth="1"/>
    <col min="11" max="11" width="45.7109375" style="3" customWidth="1"/>
    <col min="12" max="12" width="17.7109375" style="5" bestFit="1" customWidth="1"/>
    <col min="13" max="13" width="15.28515625" style="3" customWidth="1"/>
    <col min="14" max="14" width="23.42578125" style="3" customWidth="1"/>
    <col min="15" max="15" width="17.7109375" style="5" bestFit="1" customWidth="1"/>
    <col min="16" max="16" width="15.28515625" style="3" customWidth="1"/>
    <col min="17" max="17" width="23.42578125" style="3" customWidth="1"/>
    <col min="18" max="18" width="17.7109375" style="5" bestFit="1" customWidth="1"/>
    <col min="19" max="19" width="15.28515625" style="3" customWidth="1"/>
    <col min="20" max="20" width="23.42578125" style="3" customWidth="1"/>
    <col min="21" max="21" width="17.7109375" style="5" bestFit="1" customWidth="1"/>
    <col min="22" max="22" width="15.28515625" style="3" customWidth="1"/>
    <col min="23" max="23" width="23.42578125" style="3" customWidth="1"/>
    <col min="24" max="24" width="17.7109375" style="5" bestFit="1" customWidth="1"/>
    <col min="25" max="25" width="15.28515625" style="3" customWidth="1"/>
    <col min="26" max="26" width="23.42578125" style="3" customWidth="1"/>
    <col min="27" max="27" width="17.7109375" style="5" bestFit="1" customWidth="1"/>
    <col min="28" max="28" width="15.28515625" style="3" customWidth="1"/>
    <col min="29" max="29" width="23.42578125" style="3" customWidth="1"/>
    <col min="30" max="30" width="17.7109375" style="5" bestFit="1" customWidth="1"/>
    <col min="31" max="31" width="15.28515625" style="3" customWidth="1"/>
    <col min="32" max="32" width="23.42578125" style="3" customWidth="1"/>
    <col min="33" max="33" width="17.7109375" style="5" bestFit="1" customWidth="1"/>
    <col min="34" max="34" width="15.28515625" style="3" customWidth="1"/>
    <col min="35" max="35" width="23.42578125" style="3" customWidth="1"/>
    <col min="36" max="36" width="17.7109375" style="5" bestFit="1" customWidth="1"/>
    <col min="37" max="37" width="15.28515625" style="3" customWidth="1"/>
    <col min="38" max="38" width="23.42578125" style="3" customWidth="1"/>
    <col min="39" max="39" width="17.7109375" style="5" bestFit="1" customWidth="1"/>
    <col min="40" max="40" width="15.28515625" style="3" customWidth="1"/>
    <col min="41" max="41" width="23.42578125" style="3" customWidth="1"/>
    <col min="42" max="42" width="17.7109375" style="5" customWidth="1"/>
    <col min="43" max="43" width="15.28515625" style="3" customWidth="1"/>
    <col min="44" max="44" width="23.42578125" style="3" customWidth="1"/>
    <col min="45" max="45" width="17.7109375" style="5" bestFit="1" customWidth="1"/>
    <col min="46" max="46" width="15.28515625" style="3" customWidth="1"/>
    <col min="47" max="47" width="23.42578125" style="3" customWidth="1"/>
    <col min="48" max="48" width="17.7109375" style="5" customWidth="1"/>
    <col min="49" max="49" width="45.7109375" style="2" bestFit="1" customWidth="1"/>
    <col min="50" max="50" width="45.7109375" style="2" customWidth="1"/>
    <col min="51" max="51" width="15.28515625" style="6" bestFit="1" customWidth="1"/>
    <col min="52" max="52" width="15.28515625" style="3" customWidth="1"/>
    <col min="53" max="53" width="23.42578125" style="3" customWidth="1"/>
    <col min="54" max="54" width="17.7109375" style="5" bestFit="1" customWidth="1"/>
    <col min="55" max="55" width="15.28515625" style="3" customWidth="1"/>
    <col min="56" max="56" width="23.42578125" style="3" customWidth="1"/>
    <col min="57" max="57" width="17.7109375" style="5" bestFit="1" customWidth="1"/>
    <col min="58" max="58" width="15.28515625" style="3" customWidth="1"/>
    <col min="59" max="59" width="23.42578125" style="3" customWidth="1"/>
    <col min="60" max="60" width="17.7109375" style="5" bestFit="1" customWidth="1"/>
    <col min="61" max="61" width="15.28515625" style="3" customWidth="1"/>
    <col min="62" max="62" width="23.42578125" style="3" customWidth="1"/>
    <col min="63" max="63" width="17.7109375" style="5" bestFit="1" customWidth="1"/>
    <col min="64" max="64" width="15.28515625" style="3" customWidth="1"/>
    <col min="65" max="65" width="23.42578125" style="3" customWidth="1"/>
    <col min="66" max="66" width="17.7109375" style="5" bestFit="1" customWidth="1"/>
    <col min="67" max="67" width="15.28515625" style="3" customWidth="1"/>
    <col min="68" max="68" width="23.42578125" style="3" customWidth="1"/>
    <col min="69" max="69" width="17.7109375" style="5" bestFit="1" customWidth="1"/>
    <col min="70" max="70" width="15.28515625" style="3" customWidth="1"/>
    <col min="71" max="71" width="23.42578125" style="3" customWidth="1"/>
    <col min="72" max="72" width="17.7109375" style="5" bestFit="1" customWidth="1"/>
    <col min="73" max="73" width="15.28515625" style="3" customWidth="1"/>
    <col min="74" max="74" width="23.42578125" style="3" customWidth="1"/>
    <col min="75" max="75" width="17.7109375" style="5" bestFit="1" customWidth="1"/>
    <col min="76" max="76" width="15.28515625" style="3" customWidth="1"/>
    <col min="77" max="77" width="23.42578125" style="3" customWidth="1"/>
    <col min="78" max="78" width="17.7109375" style="5" bestFit="1" customWidth="1"/>
    <col min="79" max="79" width="15.28515625" style="3" customWidth="1"/>
    <col min="80" max="80" width="23.42578125" style="3" customWidth="1"/>
    <col min="81" max="81" width="17.7109375" style="5" bestFit="1" customWidth="1"/>
    <col min="82" max="82" width="15.28515625" style="3" customWidth="1"/>
    <col min="83" max="83" width="23.42578125" style="3" customWidth="1"/>
    <col min="84" max="84" width="17.7109375" style="5" bestFit="1" customWidth="1"/>
    <col min="85" max="85" width="15.28515625" style="3" customWidth="1"/>
    <col min="86" max="86" width="23.42578125" style="3" customWidth="1"/>
    <col min="87" max="87" width="17.7109375" style="5" bestFit="1" customWidth="1"/>
    <col min="88" max="88" width="30.140625" style="10" bestFit="1" customWidth="1"/>
    <col min="89" max="89" width="45.7109375" style="10" bestFit="1" customWidth="1"/>
    <col min="90" max="174" width="11.42578125" style="7"/>
  </cols>
  <sheetData>
    <row r="1" spans="1:174" x14ac:dyDescent="0.25">
      <c r="H1"/>
      <c r="I1"/>
      <c r="AY1" s="111"/>
    </row>
    <row r="2" spans="1:174" x14ac:dyDescent="0.25">
      <c r="H2"/>
      <c r="I2"/>
      <c r="AY2" s="111"/>
    </row>
    <row r="3" spans="1:174" x14ac:dyDescent="0.25">
      <c r="H3"/>
      <c r="I3"/>
      <c r="AY3" s="111"/>
    </row>
    <row r="4" spans="1:174" x14ac:dyDescent="0.25">
      <c r="H4"/>
      <c r="I4"/>
      <c r="AY4" s="111"/>
    </row>
    <row r="5" spans="1:174" x14ac:dyDescent="0.25">
      <c r="H5"/>
      <c r="I5"/>
      <c r="AY5" s="111"/>
    </row>
    <row r="6" spans="1:174" s="9" customFormat="1" ht="30" x14ac:dyDescent="0.2">
      <c r="A6" s="262" t="s">
        <v>59</v>
      </c>
      <c r="B6" s="262" t="s">
        <v>60</v>
      </c>
      <c r="C6" s="318"/>
      <c r="D6" s="358" t="s">
        <v>61</v>
      </c>
      <c r="E6" s="359"/>
      <c r="F6" s="358" t="s">
        <v>62</v>
      </c>
      <c r="G6" s="360"/>
      <c r="H6" s="360"/>
      <c r="I6" s="359"/>
      <c r="J6" s="361" t="s">
        <v>63</v>
      </c>
      <c r="K6" s="361"/>
      <c r="L6" s="361"/>
      <c r="M6" s="362" t="s">
        <v>2</v>
      </c>
      <c r="N6" s="363"/>
      <c r="O6" s="364"/>
      <c r="P6" s="362" t="s">
        <v>3</v>
      </c>
      <c r="Q6" s="363"/>
      <c r="R6" s="364"/>
      <c r="S6" s="362" t="s">
        <v>4</v>
      </c>
      <c r="T6" s="363"/>
      <c r="U6" s="364"/>
      <c r="V6" s="362" t="s">
        <v>830</v>
      </c>
      <c r="W6" s="363"/>
      <c r="X6" s="364"/>
      <c r="Y6" s="362" t="s">
        <v>831</v>
      </c>
      <c r="Z6" s="363"/>
      <c r="AA6" s="364"/>
      <c r="AB6" s="362" t="s">
        <v>832</v>
      </c>
      <c r="AC6" s="363"/>
      <c r="AD6" s="364"/>
      <c r="AE6" s="362" t="s">
        <v>1026</v>
      </c>
      <c r="AF6" s="363"/>
      <c r="AG6" s="364"/>
      <c r="AH6" s="362" t="s">
        <v>1027</v>
      </c>
      <c r="AI6" s="363"/>
      <c r="AJ6" s="364"/>
      <c r="AK6" s="362" t="s">
        <v>1028</v>
      </c>
      <c r="AL6" s="363"/>
      <c r="AM6" s="364"/>
      <c r="AN6" s="362" t="s">
        <v>1029</v>
      </c>
      <c r="AO6" s="363"/>
      <c r="AP6" s="364"/>
      <c r="AQ6" s="362" t="s">
        <v>1030</v>
      </c>
      <c r="AR6" s="363"/>
      <c r="AS6" s="364"/>
      <c r="AT6" s="362" t="s">
        <v>1701</v>
      </c>
      <c r="AU6" s="363"/>
      <c r="AV6" s="364"/>
      <c r="AW6" s="410" t="s">
        <v>64</v>
      </c>
      <c r="AX6" s="410"/>
      <c r="AY6" s="410"/>
      <c r="AZ6" s="387" t="s">
        <v>2</v>
      </c>
      <c r="BA6" s="388"/>
      <c r="BB6" s="389"/>
      <c r="BC6" s="387" t="s">
        <v>3</v>
      </c>
      <c r="BD6" s="388"/>
      <c r="BE6" s="389"/>
      <c r="BF6" s="387" t="s">
        <v>4</v>
      </c>
      <c r="BG6" s="388"/>
      <c r="BH6" s="389"/>
      <c r="BI6" s="387" t="s">
        <v>830</v>
      </c>
      <c r="BJ6" s="388"/>
      <c r="BK6" s="389"/>
      <c r="BL6" s="387" t="s">
        <v>831</v>
      </c>
      <c r="BM6" s="388"/>
      <c r="BN6" s="389"/>
      <c r="BO6" s="387" t="s">
        <v>832</v>
      </c>
      <c r="BP6" s="388"/>
      <c r="BQ6" s="389"/>
      <c r="BR6" s="387" t="s">
        <v>1026</v>
      </c>
      <c r="BS6" s="388"/>
      <c r="BT6" s="389"/>
      <c r="BU6" s="387" t="s">
        <v>1027</v>
      </c>
      <c r="BV6" s="388"/>
      <c r="BW6" s="389"/>
      <c r="BX6" s="387" t="s">
        <v>1028</v>
      </c>
      <c r="BY6" s="388"/>
      <c r="BZ6" s="389"/>
      <c r="CA6" s="387" t="s">
        <v>1029</v>
      </c>
      <c r="CB6" s="388"/>
      <c r="CC6" s="389"/>
      <c r="CD6" s="387" t="s">
        <v>1030</v>
      </c>
      <c r="CE6" s="388"/>
      <c r="CF6" s="389"/>
      <c r="CG6" s="387" t="s">
        <v>1701</v>
      </c>
      <c r="CH6" s="388"/>
      <c r="CI6" s="389"/>
      <c r="CJ6" s="361" t="s">
        <v>65</v>
      </c>
      <c r="CK6" s="361"/>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row>
    <row r="7" spans="1:174" s="9" customFormat="1" ht="49.5" customHeight="1" x14ac:dyDescent="0.2">
      <c r="A7" s="262" t="s">
        <v>66</v>
      </c>
      <c r="B7" s="262" t="s">
        <v>67</v>
      </c>
      <c r="C7" s="262" t="s">
        <v>68</v>
      </c>
      <c r="D7" s="262" t="s">
        <v>69</v>
      </c>
      <c r="E7" s="262" t="s">
        <v>70</v>
      </c>
      <c r="F7" s="262" t="s">
        <v>71</v>
      </c>
      <c r="G7" s="262" t="s">
        <v>72</v>
      </c>
      <c r="H7" s="12" t="s">
        <v>73</v>
      </c>
      <c r="I7" s="12" t="s">
        <v>74</v>
      </c>
      <c r="J7" s="262" t="s">
        <v>63</v>
      </c>
      <c r="K7" s="262" t="s">
        <v>75</v>
      </c>
      <c r="L7" s="262" t="s">
        <v>76</v>
      </c>
      <c r="M7" s="262" t="s">
        <v>77</v>
      </c>
      <c r="N7" s="262" t="s">
        <v>78</v>
      </c>
      <c r="O7" s="262" t="s">
        <v>79</v>
      </c>
      <c r="P7" s="262" t="s">
        <v>77</v>
      </c>
      <c r="Q7" s="262" t="s">
        <v>78</v>
      </c>
      <c r="R7" s="262" t="s">
        <v>79</v>
      </c>
      <c r="S7" s="262" t="s">
        <v>77</v>
      </c>
      <c r="T7" s="262" t="s">
        <v>78</v>
      </c>
      <c r="U7" s="262" t="s">
        <v>79</v>
      </c>
      <c r="V7" s="262" t="s">
        <v>77</v>
      </c>
      <c r="W7" s="262" t="s">
        <v>78</v>
      </c>
      <c r="X7" s="262" t="s">
        <v>79</v>
      </c>
      <c r="Y7" s="262" t="s">
        <v>77</v>
      </c>
      <c r="Z7" s="262" t="s">
        <v>78</v>
      </c>
      <c r="AA7" s="262" t="s">
        <v>79</v>
      </c>
      <c r="AB7" s="262" t="s">
        <v>77</v>
      </c>
      <c r="AC7" s="262" t="s">
        <v>78</v>
      </c>
      <c r="AD7" s="262" t="s">
        <v>79</v>
      </c>
      <c r="AE7" s="262" t="s">
        <v>77</v>
      </c>
      <c r="AF7" s="262" t="s">
        <v>78</v>
      </c>
      <c r="AG7" s="262" t="s">
        <v>79</v>
      </c>
      <c r="AH7" s="262" t="s">
        <v>77</v>
      </c>
      <c r="AI7" s="262" t="s">
        <v>78</v>
      </c>
      <c r="AJ7" s="262" t="s">
        <v>79</v>
      </c>
      <c r="AK7" s="262" t="s">
        <v>77</v>
      </c>
      <c r="AL7" s="262" t="s">
        <v>78</v>
      </c>
      <c r="AM7" s="262" t="s">
        <v>79</v>
      </c>
      <c r="AN7" s="262" t="s">
        <v>77</v>
      </c>
      <c r="AO7" s="262" t="s">
        <v>78</v>
      </c>
      <c r="AP7" s="262" t="s">
        <v>79</v>
      </c>
      <c r="AQ7" s="262" t="s">
        <v>77</v>
      </c>
      <c r="AR7" s="262" t="s">
        <v>78</v>
      </c>
      <c r="AS7" s="262" t="s">
        <v>79</v>
      </c>
      <c r="AT7" s="262" t="s">
        <v>77</v>
      </c>
      <c r="AU7" s="262" t="s">
        <v>78</v>
      </c>
      <c r="AV7" s="262" t="s">
        <v>79</v>
      </c>
      <c r="AW7" s="269" t="s">
        <v>64</v>
      </c>
      <c r="AX7" s="269" t="s">
        <v>80</v>
      </c>
      <c r="AY7" s="269" t="s">
        <v>81</v>
      </c>
      <c r="AZ7" s="269" t="s">
        <v>77</v>
      </c>
      <c r="BA7" s="269" t="s">
        <v>78</v>
      </c>
      <c r="BB7" s="269" t="s">
        <v>79</v>
      </c>
      <c r="BC7" s="269" t="s">
        <v>77</v>
      </c>
      <c r="BD7" s="269" t="s">
        <v>78</v>
      </c>
      <c r="BE7" s="269" t="s">
        <v>79</v>
      </c>
      <c r="BF7" s="269" t="s">
        <v>77</v>
      </c>
      <c r="BG7" s="269" t="s">
        <v>78</v>
      </c>
      <c r="BH7" s="269" t="s">
        <v>79</v>
      </c>
      <c r="BI7" s="269" t="s">
        <v>77</v>
      </c>
      <c r="BJ7" s="269" t="s">
        <v>78</v>
      </c>
      <c r="BK7" s="269" t="s">
        <v>79</v>
      </c>
      <c r="BL7" s="269" t="s">
        <v>77</v>
      </c>
      <c r="BM7" s="269" t="s">
        <v>78</v>
      </c>
      <c r="BN7" s="269" t="s">
        <v>79</v>
      </c>
      <c r="BO7" s="269" t="s">
        <v>77</v>
      </c>
      <c r="BP7" s="269" t="s">
        <v>78</v>
      </c>
      <c r="BQ7" s="269" t="s">
        <v>79</v>
      </c>
      <c r="BR7" s="269" t="s">
        <v>77</v>
      </c>
      <c r="BS7" s="269" t="s">
        <v>78</v>
      </c>
      <c r="BT7" s="269" t="s">
        <v>79</v>
      </c>
      <c r="BU7" s="269" t="s">
        <v>77</v>
      </c>
      <c r="BV7" s="269" t="s">
        <v>78</v>
      </c>
      <c r="BW7" s="269" t="s">
        <v>79</v>
      </c>
      <c r="BX7" s="269" t="s">
        <v>77</v>
      </c>
      <c r="BY7" s="269" t="s">
        <v>78</v>
      </c>
      <c r="BZ7" s="269" t="s">
        <v>79</v>
      </c>
      <c r="CA7" s="269" t="s">
        <v>77</v>
      </c>
      <c r="CB7" s="269" t="s">
        <v>78</v>
      </c>
      <c r="CC7" s="269" t="s">
        <v>79</v>
      </c>
      <c r="CD7" s="269" t="s">
        <v>77</v>
      </c>
      <c r="CE7" s="269" t="s">
        <v>78</v>
      </c>
      <c r="CF7" s="269" t="s">
        <v>79</v>
      </c>
      <c r="CG7" s="269" t="s">
        <v>77</v>
      </c>
      <c r="CH7" s="269" t="s">
        <v>78</v>
      </c>
      <c r="CI7" s="269" t="s">
        <v>79</v>
      </c>
      <c r="CJ7" s="262" t="s">
        <v>82</v>
      </c>
      <c r="CK7" s="262" t="s">
        <v>83</v>
      </c>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row>
    <row r="8" spans="1:174" s="4" customFormat="1" ht="64.5" customHeight="1" x14ac:dyDescent="0.2">
      <c r="A8" s="369" t="s">
        <v>84</v>
      </c>
      <c r="B8" s="369" t="s">
        <v>229</v>
      </c>
      <c r="C8" s="398" t="s">
        <v>2716</v>
      </c>
      <c r="D8" s="369" t="s">
        <v>230</v>
      </c>
      <c r="E8" s="449" t="s">
        <v>16</v>
      </c>
      <c r="F8" s="369" t="s">
        <v>88</v>
      </c>
      <c r="G8" s="369" t="s">
        <v>89</v>
      </c>
      <c r="H8" s="374">
        <v>354646583</v>
      </c>
      <c r="I8" s="13">
        <v>80477463</v>
      </c>
      <c r="J8" s="265" t="s">
        <v>231</v>
      </c>
      <c r="K8" s="265" t="s">
        <v>232</v>
      </c>
      <c r="L8" s="272">
        <v>0.57999999999999996</v>
      </c>
      <c r="M8" s="279">
        <v>0.51</v>
      </c>
      <c r="N8" s="60" t="s">
        <v>233</v>
      </c>
      <c r="O8" s="279" t="s">
        <v>234</v>
      </c>
      <c r="P8" s="279">
        <v>0.51</v>
      </c>
      <c r="Q8" s="60" t="s">
        <v>235</v>
      </c>
      <c r="R8" s="279" t="s">
        <v>236</v>
      </c>
      <c r="S8" s="279" t="s">
        <v>237</v>
      </c>
      <c r="T8" s="60" t="s">
        <v>238</v>
      </c>
      <c r="U8" s="279" t="s">
        <v>1196</v>
      </c>
      <c r="V8" s="80">
        <v>0.51500000000000001</v>
      </c>
      <c r="W8" s="109">
        <v>0.29599999999999999</v>
      </c>
      <c r="X8" s="279" t="s">
        <v>1197</v>
      </c>
      <c r="Y8" s="279">
        <v>0.5</v>
      </c>
      <c r="Z8" s="109">
        <v>0.35899999999999999</v>
      </c>
      <c r="AA8" s="279" t="s">
        <v>1198</v>
      </c>
      <c r="AB8" s="279">
        <v>0.52</v>
      </c>
      <c r="AC8" s="109">
        <v>0.44800000000000001</v>
      </c>
      <c r="AD8" s="279" t="s">
        <v>1199</v>
      </c>
      <c r="AE8" s="279">
        <v>0.53</v>
      </c>
      <c r="AF8" s="109">
        <v>0.53300000000000003</v>
      </c>
      <c r="AG8" s="279" t="s">
        <v>1521</v>
      </c>
      <c r="AH8" s="279">
        <v>0.53</v>
      </c>
      <c r="AI8" s="109">
        <v>0.60899999999999999</v>
      </c>
      <c r="AJ8" s="279" t="s">
        <v>1522</v>
      </c>
      <c r="AK8" s="279">
        <v>0.55000000000000004</v>
      </c>
      <c r="AL8" s="109">
        <v>0.71099999999999997</v>
      </c>
      <c r="AM8" s="279" t="s">
        <v>1523</v>
      </c>
      <c r="AN8" s="80">
        <v>0.56299999999999994</v>
      </c>
      <c r="AO8" s="109">
        <v>0.80900000000000005</v>
      </c>
      <c r="AP8" s="279" t="s">
        <v>1702</v>
      </c>
      <c r="AQ8" s="279">
        <v>0.56999999999999995</v>
      </c>
      <c r="AR8" s="109">
        <v>0.90100000000000002</v>
      </c>
      <c r="AS8" s="279" t="s">
        <v>1703</v>
      </c>
      <c r="AT8" s="279">
        <v>0.57999999999999996</v>
      </c>
      <c r="AU8" s="109">
        <v>1</v>
      </c>
      <c r="AV8" s="279" t="s">
        <v>1704</v>
      </c>
      <c r="AW8" s="11" t="s">
        <v>239</v>
      </c>
      <c r="AX8" s="11" t="s">
        <v>240</v>
      </c>
      <c r="AY8" s="268">
        <v>500</v>
      </c>
      <c r="AZ8" s="79">
        <v>65</v>
      </c>
      <c r="BA8" s="62" t="s">
        <v>241</v>
      </c>
      <c r="BB8" s="279" t="s">
        <v>242</v>
      </c>
      <c r="BC8" s="79">
        <v>107</v>
      </c>
      <c r="BD8" s="62" t="s">
        <v>243</v>
      </c>
      <c r="BE8" s="279" t="s">
        <v>244</v>
      </c>
      <c r="BF8" s="79">
        <v>154</v>
      </c>
      <c r="BG8" s="60">
        <v>0.35</v>
      </c>
      <c r="BH8" s="279" t="s">
        <v>245</v>
      </c>
      <c r="BI8" s="79">
        <v>221</v>
      </c>
      <c r="BJ8" s="212">
        <v>0.502</v>
      </c>
      <c r="BK8" s="279" t="s">
        <v>1200</v>
      </c>
      <c r="BL8" s="79">
        <v>231</v>
      </c>
      <c r="BM8" s="212">
        <v>0.52500000000000002</v>
      </c>
      <c r="BN8" s="279" t="s">
        <v>1201</v>
      </c>
      <c r="BO8" s="79">
        <v>255</v>
      </c>
      <c r="BP8" s="60">
        <v>0.57999999999999996</v>
      </c>
      <c r="BQ8" s="279" t="s">
        <v>1202</v>
      </c>
      <c r="BR8" s="79">
        <v>282</v>
      </c>
      <c r="BS8" s="60">
        <v>0.64100000000000001</v>
      </c>
      <c r="BT8" s="279" t="s">
        <v>1524</v>
      </c>
      <c r="BU8" s="79">
        <v>339</v>
      </c>
      <c r="BV8" s="60">
        <v>0.77</v>
      </c>
      <c r="BW8" s="279" t="s">
        <v>1525</v>
      </c>
      <c r="BX8" s="79">
        <v>416</v>
      </c>
      <c r="BY8" s="60">
        <v>0.94499999999999995</v>
      </c>
      <c r="BZ8" s="279" t="s">
        <v>1526</v>
      </c>
      <c r="CA8" s="79">
        <v>475</v>
      </c>
      <c r="CB8" s="60">
        <v>0.95</v>
      </c>
      <c r="CC8" s="279" t="s">
        <v>1711</v>
      </c>
      <c r="CD8" s="79">
        <v>498</v>
      </c>
      <c r="CE8" s="109">
        <v>0.996</v>
      </c>
      <c r="CF8" s="279" t="s">
        <v>1712</v>
      </c>
      <c r="CG8" s="79">
        <v>528</v>
      </c>
      <c r="CH8" s="109">
        <v>1.056</v>
      </c>
      <c r="CI8" s="279" t="s">
        <v>1713</v>
      </c>
      <c r="CJ8" s="289" t="s">
        <v>1527</v>
      </c>
      <c r="CK8" s="289" t="s">
        <v>1528</v>
      </c>
    </row>
    <row r="9" spans="1:174" s="4" customFormat="1" ht="64.5" customHeight="1" x14ac:dyDescent="0.2">
      <c r="A9" s="394"/>
      <c r="B9" s="394"/>
      <c r="C9" s="399"/>
      <c r="D9" s="394"/>
      <c r="E9" s="450"/>
      <c r="F9" s="394"/>
      <c r="G9" s="394"/>
      <c r="H9" s="401"/>
      <c r="I9" s="13">
        <v>29766147</v>
      </c>
      <c r="J9" s="265" t="s">
        <v>247</v>
      </c>
      <c r="K9" s="265" t="s">
        <v>248</v>
      </c>
      <c r="L9" s="272">
        <v>0.85</v>
      </c>
      <c r="M9" s="452" t="s">
        <v>249</v>
      </c>
      <c r="N9" s="453"/>
      <c r="O9" s="453"/>
      <c r="P9" s="453"/>
      <c r="Q9" s="453"/>
      <c r="R9" s="453"/>
      <c r="S9" s="453"/>
      <c r="T9" s="453"/>
      <c r="U9" s="454"/>
      <c r="V9" s="452" t="s">
        <v>1529</v>
      </c>
      <c r="W9" s="453"/>
      <c r="X9" s="453"/>
      <c r="Y9" s="453"/>
      <c r="Z9" s="453"/>
      <c r="AA9" s="453"/>
      <c r="AB9" s="453"/>
      <c r="AC9" s="453"/>
      <c r="AD9" s="453"/>
      <c r="AE9" s="453"/>
      <c r="AF9" s="453"/>
      <c r="AG9" s="453"/>
      <c r="AH9" s="453"/>
      <c r="AI9" s="453"/>
      <c r="AJ9" s="454"/>
      <c r="AK9" s="273">
        <v>0.9</v>
      </c>
      <c r="AL9" s="250">
        <v>1.0589999999999999</v>
      </c>
      <c r="AM9" s="273" t="s">
        <v>1530</v>
      </c>
      <c r="AN9" s="273">
        <v>0.9</v>
      </c>
      <c r="AO9" s="250">
        <v>1.0589999999999999</v>
      </c>
      <c r="AP9" s="273" t="s">
        <v>1530</v>
      </c>
      <c r="AQ9" s="273">
        <v>0.9</v>
      </c>
      <c r="AR9" s="250">
        <v>1.0589999999999999</v>
      </c>
      <c r="AS9" s="273" t="s">
        <v>1530</v>
      </c>
      <c r="AT9" s="273">
        <v>0.9</v>
      </c>
      <c r="AU9" s="250">
        <v>1.0589999999999999</v>
      </c>
      <c r="AV9" s="273" t="s">
        <v>1530</v>
      </c>
      <c r="AW9" s="11" t="s">
        <v>250</v>
      </c>
      <c r="AX9" s="11" t="s">
        <v>251</v>
      </c>
      <c r="AY9" s="268">
        <v>20</v>
      </c>
      <c r="AZ9" s="79">
        <v>1</v>
      </c>
      <c r="BA9" s="60">
        <v>0.05</v>
      </c>
      <c r="BB9" s="279" t="s">
        <v>252</v>
      </c>
      <c r="BC9" s="79">
        <v>3</v>
      </c>
      <c r="BD9" s="82">
        <v>0.15</v>
      </c>
      <c r="BE9" s="279" t="s">
        <v>253</v>
      </c>
      <c r="BF9" s="79">
        <v>5</v>
      </c>
      <c r="BG9" s="60">
        <v>0.25</v>
      </c>
      <c r="BH9" s="279" t="s">
        <v>254</v>
      </c>
      <c r="BI9" s="79">
        <v>7</v>
      </c>
      <c r="BJ9" s="60">
        <v>0.35</v>
      </c>
      <c r="BK9" s="279" t="s">
        <v>1203</v>
      </c>
      <c r="BL9" s="79">
        <v>9</v>
      </c>
      <c r="BM9" s="82">
        <v>0.45</v>
      </c>
      <c r="BN9" s="279" t="s">
        <v>1204</v>
      </c>
      <c r="BO9" s="79">
        <v>11</v>
      </c>
      <c r="BP9" s="60">
        <v>0.55000000000000004</v>
      </c>
      <c r="BQ9" s="279" t="s">
        <v>1205</v>
      </c>
      <c r="BR9" s="79">
        <v>13</v>
      </c>
      <c r="BS9" s="60">
        <v>0.65</v>
      </c>
      <c r="BT9" s="279" t="s">
        <v>1531</v>
      </c>
      <c r="BU9" s="79">
        <v>15</v>
      </c>
      <c r="BV9" s="60">
        <v>0.75</v>
      </c>
      <c r="BW9" s="279" t="s">
        <v>1532</v>
      </c>
      <c r="BX9" s="79">
        <v>17</v>
      </c>
      <c r="BY9" s="60">
        <v>0.85</v>
      </c>
      <c r="BZ9" s="279" t="s">
        <v>1714</v>
      </c>
      <c r="CA9" s="79">
        <v>18</v>
      </c>
      <c r="CB9" s="60">
        <v>0.9</v>
      </c>
      <c r="CC9" s="279" t="s">
        <v>1715</v>
      </c>
      <c r="CD9" s="79">
        <v>19</v>
      </c>
      <c r="CE9" s="60">
        <v>0.95</v>
      </c>
      <c r="CF9" s="279" t="s">
        <v>1716</v>
      </c>
      <c r="CG9" s="79">
        <v>20</v>
      </c>
      <c r="CH9" s="60">
        <v>1</v>
      </c>
      <c r="CI9" s="279" t="s">
        <v>1717</v>
      </c>
      <c r="CJ9" s="289" t="s">
        <v>1527</v>
      </c>
      <c r="CK9" s="289" t="s">
        <v>1528</v>
      </c>
    </row>
    <row r="10" spans="1:174" s="4" customFormat="1" ht="64.5" customHeight="1" x14ac:dyDescent="0.2">
      <c r="A10" s="394"/>
      <c r="B10" s="394" t="s">
        <v>229</v>
      </c>
      <c r="C10" s="399" t="s">
        <v>156</v>
      </c>
      <c r="D10" s="394" t="s">
        <v>230</v>
      </c>
      <c r="E10" s="450" t="s">
        <v>16</v>
      </c>
      <c r="F10" s="394" t="s">
        <v>88</v>
      </c>
      <c r="G10" s="394" t="s">
        <v>89</v>
      </c>
      <c r="H10" s="401"/>
      <c r="I10" s="13">
        <v>192052973</v>
      </c>
      <c r="J10" s="265" t="s">
        <v>255</v>
      </c>
      <c r="K10" s="265" t="s">
        <v>256</v>
      </c>
      <c r="L10" s="15">
        <v>4700</v>
      </c>
      <c r="M10" s="79">
        <v>345</v>
      </c>
      <c r="N10" s="60">
        <v>0.1</v>
      </c>
      <c r="O10" s="279" t="s">
        <v>257</v>
      </c>
      <c r="P10" s="79">
        <v>808</v>
      </c>
      <c r="Q10" s="60">
        <v>0.23</v>
      </c>
      <c r="R10" s="279" t="s">
        <v>258</v>
      </c>
      <c r="S10" s="79">
        <v>1236</v>
      </c>
      <c r="T10" s="60">
        <v>0.35</v>
      </c>
      <c r="U10" s="279" t="s">
        <v>259</v>
      </c>
      <c r="V10" s="79">
        <v>1661</v>
      </c>
      <c r="W10" s="109">
        <v>0.47499999999999998</v>
      </c>
      <c r="X10" s="279" t="s">
        <v>1206</v>
      </c>
      <c r="Y10" s="79">
        <v>2019</v>
      </c>
      <c r="Z10" s="60">
        <v>0.57999999999999996</v>
      </c>
      <c r="AA10" s="279" t="s">
        <v>1207</v>
      </c>
      <c r="AB10" s="79">
        <v>2446</v>
      </c>
      <c r="AC10" s="60">
        <v>0.7</v>
      </c>
      <c r="AD10" s="279" t="s">
        <v>1208</v>
      </c>
      <c r="AE10" s="79">
        <v>2916</v>
      </c>
      <c r="AF10" s="60">
        <v>0.83</v>
      </c>
      <c r="AG10" s="279" t="s">
        <v>1533</v>
      </c>
      <c r="AH10" s="79">
        <v>3321</v>
      </c>
      <c r="AI10" s="60">
        <v>0.95</v>
      </c>
      <c r="AJ10" s="279" t="s">
        <v>1534</v>
      </c>
      <c r="AK10" s="79">
        <v>3722</v>
      </c>
      <c r="AL10" s="60">
        <v>1.06</v>
      </c>
      <c r="AM10" s="279" t="s">
        <v>1535</v>
      </c>
      <c r="AN10" s="79">
        <v>4133</v>
      </c>
      <c r="AO10" s="60">
        <v>0.88</v>
      </c>
      <c r="AP10" s="279" t="s">
        <v>1705</v>
      </c>
      <c r="AQ10" s="79">
        <v>4470</v>
      </c>
      <c r="AR10" s="60">
        <v>0.95</v>
      </c>
      <c r="AS10" s="279" t="s">
        <v>1706</v>
      </c>
      <c r="AT10" s="79">
        <v>4806</v>
      </c>
      <c r="AU10" s="60">
        <v>1.02</v>
      </c>
      <c r="AV10" s="279" t="s">
        <v>1707</v>
      </c>
      <c r="AW10" s="368" t="s">
        <v>93</v>
      </c>
      <c r="AX10" s="368"/>
      <c r="AY10" s="368"/>
      <c r="AZ10" s="69"/>
      <c r="BA10" s="71"/>
      <c r="BB10" s="69"/>
      <c r="BC10" s="69"/>
      <c r="BD10" s="72"/>
      <c r="BE10" s="69"/>
      <c r="BF10" s="69"/>
      <c r="BG10" s="71"/>
      <c r="BH10" s="69"/>
      <c r="BI10" s="69"/>
      <c r="BJ10" s="71"/>
      <c r="BK10" s="69"/>
      <c r="BL10" s="69"/>
      <c r="BM10" s="72"/>
      <c r="BN10" s="69"/>
      <c r="BO10" s="69"/>
      <c r="BP10" s="71"/>
      <c r="BQ10" s="69"/>
      <c r="BR10" s="69"/>
      <c r="BS10" s="71"/>
      <c r="BT10" s="69"/>
      <c r="BU10" s="69"/>
      <c r="BV10" s="71"/>
      <c r="BW10" s="69"/>
      <c r="BX10" s="69"/>
      <c r="BY10" s="71"/>
      <c r="BZ10" s="69"/>
      <c r="CA10" s="69"/>
      <c r="CB10" s="71"/>
      <c r="CC10" s="69"/>
      <c r="CD10" s="69"/>
      <c r="CE10" s="71"/>
      <c r="CF10" s="69"/>
      <c r="CG10" s="69"/>
      <c r="CH10" s="71"/>
      <c r="CI10" s="69"/>
      <c r="CJ10" s="289" t="s">
        <v>1527</v>
      </c>
      <c r="CK10" s="289" t="s">
        <v>1528</v>
      </c>
    </row>
    <row r="11" spans="1:174" s="4" customFormat="1" ht="64.5" customHeight="1" x14ac:dyDescent="0.2">
      <c r="A11" s="370"/>
      <c r="B11" s="370"/>
      <c r="C11" s="400"/>
      <c r="D11" s="370"/>
      <c r="E11" s="451"/>
      <c r="F11" s="370"/>
      <c r="G11" s="370"/>
      <c r="H11" s="375"/>
      <c r="I11" s="13">
        <v>52350000</v>
      </c>
      <c r="J11" s="265" t="s">
        <v>260</v>
      </c>
      <c r="K11" s="265" t="s">
        <v>261</v>
      </c>
      <c r="L11" s="15">
        <v>1350</v>
      </c>
      <c r="M11" s="79">
        <v>75</v>
      </c>
      <c r="N11" s="60">
        <v>0.06</v>
      </c>
      <c r="O11" s="279" t="s">
        <v>1209</v>
      </c>
      <c r="P11" s="79">
        <v>230</v>
      </c>
      <c r="Q11" s="60">
        <v>0.17</v>
      </c>
      <c r="R11" s="279" t="s">
        <v>1210</v>
      </c>
      <c r="S11" s="79">
        <v>333</v>
      </c>
      <c r="T11" s="60">
        <v>0.25</v>
      </c>
      <c r="U11" s="279" t="s">
        <v>1211</v>
      </c>
      <c r="V11" s="79">
        <v>440</v>
      </c>
      <c r="W11" s="109">
        <v>0.32600000000000001</v>
      </c>
      <c r="X11" s="279" t="s">
        <v>1212</v>
      </c>
      <c r="Y11" s="79">
        <v>631</v>
      </c>
      <c r="Z11" s="109">
        <v>0.46700000000000003</v>
      </c>
      <c r="AA11" s="279" t="s">
        <v>1213</v>
      </c>
      <c r="AB11" s="79">
        <v>772</v>
      </c>
      <c r="AC11" s="109">
        <v>0.57199999999999995</v>
      </c>
      <c r="AD11" s="279" t="s">
        <v>1214</v>
      </c>
      <c r="AE11" s="79">
        <v>900</v>
      </c>
      <c r="AF11" s="109">
        <v>0.66700000000000004</v>
      </c>
      <c r="AG11" s="279" t="s">
        <v>1536</v>
      </c>
      <c r="AH11" s="79">
        <v>1038</v>
      </c>
      <c r="AI11" s="109">
        <v>0.76900000000000002</v>
      </c>
      <c r="AJ11" s="279" t="s">
        <v>1537</v>
      </c>
      <c r="AK11" s="79">
        <v>1133</v>
      </c>
      <c r="AL11" s="109">
        <v>0.83899999999999997</v>
      </c>
      <c r="AM11" s="279" t="s">
        <v>1538</v>
      </c>
      <c r="AN11" s="79">
        <v>1239</v>
      </c>
      <c r="AO11" s="109">
        <v>0.91800000000000004</v>
      </c>
      <c r="AP11" s="279" t="s">
        <v>1708</v>
      </c>
      <c r="AQ11" s="79">
        <v>1304</v>
      </c>
      <c r="AR11" s="109">
        <v>0.96599999999999997</v>
      </c>
      <c r="AS11" s="279" t="s">
        <v>1709</v>
      </c>
      <c r="AT11" s="79">
        <v>1357</v>
      </c>
      <c r="AU11" s="109">
        <v>1.0049999999999999</v>
      </c>
      <c r="AV11" s="279" t="s">
        <v>1710</v>
      </c>
      <c r="AW11" s="11" t="s">
        <v>263</v>
      </c>
      <c r="AX11" s="11" t="s">
        <v>264</v>
      </c>
      <c r="AY11" s="268">
        <v>10</v>
      </c>
      <c r="AZ11" s="79">
        <v>8</v>
      </c>
      <c r="BA11" s="60" t="s">
        <v>262</v>
      </c>
      <c r="BB11" s="279" t="s">
        <v>265</v>
      </c>
      <c r="BC11" s="79">
        <v>10</v>
      </c>
      <c r="BD11" s="82">
        <v>0.15</v>
      </c>
      <c r="BE11" s="279" t="s">
        <v>266</v>
      </c>
      <c r="BF11" s="79">
        <v>10</v>
      </c>
      <c r="BG11" s="60">
        <v>0.23</v>
      </c>
      <c r="BH11" s="279" t="s">
        <v>267</v>
      </c>
      <c r="BI11" s="79">
        <v>10</v>
      </c>
      <c r="BJ11" s="109">
        <v>0.317</v>
      </c>
      <c r="BK11" s="279" t="s">
        <v>1215</v>
      </c>
      <c r="BL11" s="79">
        <v>10</v>
      </c>
      <c r="BM11" s="82">
        <v>0.4</v>
      </c>
      <c r="BN11" s="279" t="s">
        <v>1216</v>
      </c>
      <c r="BO11" s="79">
        <v>10</v>
      </c>
      <c r="BP11" s="60">
        <v>0.48299999999999998</v>
      </c>
      <c r="BQ11" s="279" t="s">
        <v>1217</v>
      </c>
      <c r="BR11" s="79">
        <v>10</v>
      </c>
      <c r="BS11" s="109">
        <v>0.56699999999999995</v>
      </c>
      <c r="BT11" s="279" t="s">
        <v>1539</v>
      </c>
      <c r="BU11" s="79">
        <v>10</v>
      </c>
      <c r="BV11" s="60">
        <v>0.65</v>
      </c>
      <c r="BW11" s="279" t="s">
        <v>1540</v>
      </c>
      <c r="BX11" s="79">
        <v>10</v>
      </c>
      <c r="BY11" s="60">
        <v>0.73299999999999998</v>
      </c>
      <c r="BZ11" s="279" t="s">
        <v>1541</v>
      </c>
      <c r="CA11" s="79">
        <v>10</v>
      </c>
      <c r="CB11" s="109">
        <v>0.81699999999999995</v>
      </c>
      <c r="CC11" s="279" t="s">
        <v>1718</v>
      </c>
      <c r="CD11" s="79">
        <v>10</v>
      </c>
      <c r="CE11" s="60">
        <v>0.9</v>
      </c>
      <c r="CF11" s="279" t="s">
        <v>1719</v>
      </c>
      <c r="CG11" s="79">
        <v>10</v>
      </c>
      <c r="CH11" s="109">
        <v>0.98299999999999998</v>
      </c>
      <c r="CI11" s="279" t="s">
        <v>1720</v>
      </c>
      <c r="CJ11" s="289" t="s">
        <v>1527</v>
      </c>
      <c r="CK11" s="289" t="s">
        <v>1528</v>
      </c>
    </row>
    <row r="12" spans="1:174" ht="75" x14ac:dyDescent="0.25">
      <c r="M12" s="56" t="s">
        <v>153</v>
      </c>
      <c r="N12" s="57" t="s">
        <v>268</v>
      </c>
      <c r="O12" s="85"/>
      <c r="P12" s="56" t="s">
        <v>153</v>
      </c>
      <c r="Q12" s="57" t="s">
        <v>269</v>
      </c>
      <c r="S12" s="56" t="s">
        <v>153</v>
      </c>
      <c r="T12" s="57">
        <v>0.2056</v>
      </c>
      <c r="V12" s="56" t="s">
        <v>153</v>
      </c>
      <c r="W12" s="57">
        <v>0.36549999999999999</v>
      </c>
      <c r="X12" s="85"/>
      <c r="Y12" s="56" t="s">
        <v>153</v>
      </c>
      <c r="Z12" s="57">
        <v>0.46779999999999999</v>
      </c>
      <c r="AB12" s="56" t="s">
        <v>153</v>
      </c>
      <c r="AC12" s="57">
        <v>0.57299999999999995</v>
      </c>
      <c r="AE12" s="56" t="s">
        <v>153</v>
      </c>
      <c r="AF12" s="57">
        <v>0.67759999999999998</v>
      </c>
      <c r="AH12" s="56" t="s">
        <v>153</v>
      </c>
      <c r="AI12" s="57">
        <v>0.77559999999999996</v>
      </c>
      <c r="AK12" s="56" t="s">
        <v>153</v>
      </c>
      <c r="AL12" s="57">
        <v>0.91820000000000002</v>
      </c>
      <c r="AN12" s="56" t="s">
        <v>153</v>
      </c>
      <c r="AO12" s="57">
        <v>0.91620000000000001</v>
      </c>
      <c r="AQ12" s="56" t="s">
        <v>153</v>
      </c>
      <c r="AR12" s="57">
        <v>0.96919999999999995</v>
      </c>
      <c r="AT12" s="56" t="s">
        <v>153</v>
      </c>
      <c r="AU12" s="57">
        <v>1.0216000000000001</v>
      </c>
      <c r="AZ12" s="56" t="s">
        <v>154</v>
      </c>
      <c r="BA12" s="57" t="s">
        <v>270</v>
      </c>
      <c r="BC12" s="56" t="s">
        <v>154</v>
      </c>
      <c r="BD12" s="57" t="s">
        <v>271</v>
      </c>
      <c r="BF12" s="56" t="s">
        <v>154</v>
      </c>
      <c r="BG12" s="57" t="s">
        <v>272</v>
      </c>
      <c r="BH12" s="83"/>
      <c r="BI12" s="56" t="s">
        <v>154</v>
      </c>
      <c r="BJ12" s="57">
        <v>0.3896</v>
      </c>
      <c r="BL12" s="56" t="s">
        <v>154</v>
      </c>
      <c r="BM12" s="57">
        <v>0.45829999999999999</v>
      </c>
      <c r="BO12" s="56" t="s">
        <v>154</v>
      </c>
      <c r="BP12" s="57">
        <v>0.53759999999999997</v>
      </c>
      <c r="BQ12" s="83"/>
      <c r="BR12" s="56" t="s">
        <v>154</v>
      </c>
      <c r="BS12" s="57">
        <v>0.61919999999999997</v>
      </c>
      <c r="BT12" s="83"/>
      <c r="BU12" s="56" t="s">
        <v>154</v>
      </c>
      <c r="BV12" s="57">
        <v>0.72350000000000003</v>
      </c>
      <c r="BW12" s="83"/>
      <c r="BX12" s="56" t="s">
        <v>154</v>
      </c>
      <c r="BY12" s="57">
        <v>0.84289999999999998</v>
      </c>
      <c r="BZ12" s="83"/>
      <c r="CA12" s="56" t="s">
        <v>154</v>
      </c>
      <c r="CB12" s="57">
        <v>0.88890000000000002</v>
      </c>
      <c r="CC12" s="83"/>
      <c r="CD12" s="56" t="s">
        <v>154</v>
      </c>
      <c r="CE12" s="57">
        <v>0.94869999999999999</v>
      </c>
      <c r="CF12" s="83"/>
      <c r="CG12" s="56" t="s">
        <v>154</v>
      </c>
      <c r="CH12" s="57">
        <v>1.0130999999999999</v>
      </c>
      <c r="CI12" s="83"/>
      <c r="CJ12" s="7"/>
      <c r="CK12" s="7"/>
      <c r="FO12"/>
      <c r="FP12"/>
      <c r="FQ12"/>
      <c r="FR12"/>
    </row>
    <row r="13" spans="1:174" ht="38.25" customHeight="1" x14ac:dyDescent="0.25">
      <c r="C13" s="5"/>
      <c r="E13" s="17"/>
    </row>
    <row r="14" spans="1:174" ht="38.25" customHeight="1" x14ac:dyDescent="0.25">
      <c r="A14" t="s">
        <v>273</v>
      </c>
      <c r="C14" s="5"/>
      <c r="E14" s="17"/>
    </row>
    <row r="15" spans="1:174" x14ac:dyDescent="0.25">
      <c r="C15" s="5"/>
      <c r="E15" s="17"/>
    </row>
    <row r="16" spans="1:174" x14ac:dyDescent="0.25">
      <c r="C16" s="5"/>
      <c r="E16" s="17"/>
    </row>
    <row r="17" spans="3:5" x14ac:dyDescent="0.25">
      <c r="C17" s="5"/>
      <c r="E17" s="17"/>
    </row>
    <row r="18" spans="3:5" x14ac:dyDescent="0.25">
      <c r="C18" s="5"/>
      <c r="E18" s="17"/>
    </row>
  </sheetData>
  <autoFilter ref="A7:CJ14" xr:uid="{00000000-0009-0000-0000-000000000000}"/>
  <mergeCells count="40">
    <mergeCell ref="P6:R6"/>
    <mergeCell ref="D6:E6"/>
    <mergeCell ref="F6:I6"/>
    <mergeCell ref="J6:L6"/>
    <mergeCell ref="M6:O6"/>
    <mergeCell ref="AZ6:BB6"/>
    <mergeCell ref="S6:U6"/>
    <mergeCell ref="V6:X6"/>
    <mergeCell ref="Y6:AA6"/>
    <mergeCell ref="AB6:AD6"/>
    <mergeCell ref="AE6:AG6"/>
    <mergeCell ref="AH6:AJ6"/>
    <mergeCell ref="AK6:AM6"/>
    <mergeCell ref="AN6:AP6"/>
    <mergeCell ref="AQ6:AS6"/>
    <mergeCell ref="AT6:AV6"/>
    <mergeCell ref="AW6:AY6"/>
    <mergeCell ref="CJ6:CK6"/>
    <mergeCell ref="BC6:BE6"/>
    <mergeCell ref="BF6:BH6"/>
    <mergeCell ref="BI6:BK6"/>
    <mergeCell ref="BL6:BN6"/>
    <mergeCell ref="BO6:BQ6"/>
    <mergeCell ref="BR6:BT6"/>
    <mergeCell ref="BU6:BW6"/>
    <mergeCell ref="BX6:BZ6"/>
    <mergeCell ref="CA6:CC6"/>
    <mergeCell ref="CD6:CF6"/>
    <mergeCell ref="CG6:CI6"/>
    <mergeCell ref="AW10:AY10"/>
    <mergeCell ref="A8:A11"/>
    <mergeCell ref="B8:B11"/>
    <mergeCell ref="C8:C11"/>
    <mergeCell ref="D8:D11"/>
    <mergeCell ref="E8:E11"/>
    <mergeCell ref="F8:F11"/>
    <mergeCell ref="G8:G11"/>
    <mergeCell ref="H8:H11"/>
    <mergeCell ref="M9:U9"/>
    <mergeCell ref="V9:AJ9"/>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6A2D4-BC6C-412C-A22E-7F54087D3BD2}">
  <sheetPr>
    <tabColor theme="9" tint="-0.249977111117893"/>
  </sheetPr>
  <dimension ref="A1:FR34"/>
  <sheetViews>
    <sheetView showGridLines="0" topLeftCell="B1" zoomScale="80" zoomScaleNormal="80" workbookViewId="0">
      <selection activeCell="C1" sqref="C1"/>
    </sheetView>
  </sheetViews>
  <sheetFormatPr baseColWidth="10" defaultColWidth="11.42578125" defaultRowHeight="15" x14ac:dyDescent="0.25"/>
  <cols>
    <col min="1" max="1" width="45.42578125" customWidth="1"/>
    <col min="2" max="2" width="45.7109375" bestFit="1" customWidth="1"/>
    <col min="3" max="3" width="29.28515625" style="3" customWidth="1"/>
    <col min="4" max="4" width="25" style="3" customWidth="1"/>
    <col min="5" max="5" width="43" style="3" bestFit="1" customWidth="1"/>
    <col min="6" max="6" width="15.5703125" style="3" bestFit="1" customWidth="1"/>
    <col min="7" max="7" width="45.7109375" style="3" bestFit="1" customWidth="1"/>
    <col min="8" max="8" width="19.42578125" style="1" customWidth="1"/>
    <col min="9" max="9" width="15.5703125" style="1" customWidth="1"/>
    <col min="10" max="11" width="45.7109375" style="3" bestFit="1" customWidth="1"/>
    <col min="12" max="12" width="17.7109375" style="5" bestFit="1" customWidth="1"/>
    <col min="13" max="13" width="15.28515625" style="3" customWidth="1"/>
    <col min="14" max="14" width="23.42578125" style="64" customWidth="1"/>
    <col min="15" max="15" width="29" style="5" customWidth="1"/>
    <col min="16" max="16" width="15.28515625" style="3" customWidth="1"/>
    <col min="17" max="17" width="23.42578125" style="64" customWidth="1"/>
    <col min="18" max="18" width="34.85546875" style="5" customWidth="1"/>
    <col min="19" max="19" width="15.28515625" style="3" customWidth="1"/>
    <col min="20" max="20" width="23.42578125" style="64" customWidth="1"/>
    <col min="21" max="21" width="32.42578125" style="5" customWidth="1"/>
    <col min="22" max="22" width="19.85546875" style="5" customWidth="1"/>
    <col min="23" max="23" width="22.28515625" style="5" customWidth="1"/>
    <col min="24" max="24" width="32.42578125" style="5" customWidth="1"/>
    <col min="25" max="25" width="23" style="5" customWidth="1"/>
    <col min="26" max="26" width="23.28515625" style="5" customWidth="1"/>
    <col min="27" max="27" width="32.42578125" style="5" customWidth="1"/>
    <col min="28" max="28" width="22.42578125" style="5" customWidth="1"/>
    <col min="29" max="29" width="25.5703125" style="5" customWidth="1"/>
    <col min="30" max="30" width="32.42578125" style="5" customWidth="1"/>
    <col min="31" max="31" width="26.85546875" style="5" customWidth="1"/>
    <col min="32" max="39" width="32.42578125" style="5" customWidth="1"/>
    <col min="40" max="40" width="20.85546875" style="5" customWidth="1"/>
    <col min="41" max="42" width="32.42578125" style="5" customWidth="1"/>
    <col min="43" max="43" width="21.5703125" style="5" customWidth="1"/>
    <col min="44" max="44" width="32.42578125" style="5" customWidth="1"/>
    <col min="45" max="45" width="30.28515625" style="5" customWidth="1"/>
    <col min="46" max="46" width="15.28515625" style="5" customWidth="1"/>
    <col min="47" max="47" width="25.5703125" style="5" customWidth="1"/>
    <col min="48" max="48" width="32.42578125" style="5" customWidth="1"/>
    <col min="49" max="50" width="45.7109375" style="2" bestFit="1" customWidth="1"/>
    <col min="51" max="51" width="15.28515625" style="6" bestFit="1" customWidth="1"/>
    <col min="52" max="52" width="15.28515625" style="3" hidden="1" customWidth="1"/>
    <col min="53" max="53" width="23.42578125" style="64" hidden="1" customWidth="1"/>
    <col min="54" max="54" width="22.7109375" style="5" hidden="1" customWidth="1"/>
    <col min="55" max="55" width="15.28515625" style="3" hidden="1" customWidth="1"/>
    <col min="56" max="56" width="23.42578125" style="64" hidden="1" customWidth="1"/>
    <col min="57" max="57" width="17.7109375" style="5" hidden="1" customWidth="1"/>
    <col min="58" max="58" width="15.28515625" style="3" hidden="1" customWidth="1"/>
    <col min="59" max="59" width="23.42578125" style="64" hidden="1" customWidth="1"/>
    <col min="60" max="60" width="26.42578125" style="5" hidden="1" customWidth="1"/>
    <col min="61" max="62" width="17.7109375" style="5" hidden="1" customWidth="1"/>
    <col min="63" max="63" width="36.28515625" style="5" hidden="1" customWidth="1"/>
    <col min="64" max="65" width="17.7109375" style="5" hidden="1" customWidth="1"/>
    <col min="66" max="66" width="36.7109375" style="5" hidden="1" customWidth="1"/>
    <col min="67" max="68" width="17.7109375" style="5" hidden="1" customWidth="1"/>
    <col min="69" max="69" width="29.85546875" style="5" hidden="1" customWidth="1"/>
    <col min="70" max="70" width="17" style="5" hidden="1" customWidth="1"/>
    <col min="71" max="71" width="18.28515625" style="5" hidden="1" customWidth="1"/>
    <col min="72" max="75" width="29.85546875" style="5" hidden="1" customWidth="1"/>
    <col min="76" max="78" width="29.85546875" style="5" customWidth="1"/>
    <col min="79" max="79" width="14.7109375" style="5" customWidth="1"/>
    <col min="80" max="80" width="18.42578125" style="5" customWidth="1"/>
    <col min="81" max="81" width="35.28515625" style="5" customWidth="1"/>
    <col min="82" max="82" width="19.42578125" style="5" customWidth="1"/>
    <col min="83" max="83" width="22" style="5" customWidth="1"/>
    <col min="84" max="84" width="36.42578125" style="5" customWidth="1"/>
    <col min="85" max="85" width="17.5703125" style="5" customWidth="1"/>
    <col min="86" max="86" width="19" style="5" customWidth="1"/>
    <col min="87" max="87" width="41.85546875" style="5" customWidth="1"/>
    <col min="88" max="88" width="30.140625" style="10" bestFit="1" customWidth="1"/>
    <col min="89" max="89" width="45.7109375" style="10" bestFit="1" customWidth="1"/>
    <col min="90" max="174" width="11.42578125" style="7"/>
  </cols>
  <sheetData>
    <row r="1" spans="1:174" x14ac:dyDescent="0.25">
      <c r="H1"/>
      <c r="I1"/>
      <c r="AY1" s="111"/>
    </row>
    <row r="2" spans="1:174" x14ac:dyDescent="0.25">
      <c r="H2"/>
      <c r="I2"/>
      <c r="AY2" s="111"/>
    </row>
    <row r="3" spans="1:174" x14ac:dyDescent="0.25">
      <c r="H3"/>
      <c r="I3"/>
      <c r="AY3" s="111"/>
    </row>
    <row r="4" spans="1:174" x14ac:dyDescent="0.25">
      <c r="H4"/>
      <c r="I4"/>
      <c r="AY4" s="111"/>
    </row>
    <row r="5" spans="1:174" x14ac:dyDescent="0.25">
      <c r="H5"/>
      <c r="I5"/>
      <c r="N5" s="65"/>
      <c r="Q5" s="65"/>
      <c r="T5" s="65"/>
      <c r="AY5" s="111"/>
      <c r="BA5" s="65"/>
      <c r="BD5" s="65"/>
      <c r="BG5" s="65"/>
    </row>
    <row r="6" spans="1:174" s="9" customFormat="1" ht="30" x14ac:dyDescent="0.2">
      <c r="A6" s="252" t="s">
        <v>59</v>
      </c>
      <c r="B6" s="252" t="s">
        <v>60</v>
      </c>
      <c r="C6" s="318"/>
      <c r="D6" s="358" t="s">
        <v>61</v>
      </c>
      <c r="E6" s="359"/>
      <c r="F6" s="358" t="s">
        <v>62</v>
      </c>
      <c r="G6" s="360"/>
      <c r="H6" s="360"/>
      <c r="I6" s="359"/>
      <c r="J6" s="361" t="s">
        <v>63</v>
      </c>
      <c r="K6" s="361"/>
      <c r="L6" s="361"/>
      <c r="M6" s="362" t="s">
        <v>2</v>
      </c>
      <c r="N6" s="363"/>
      <c r="O6" s="364"/>
      <c r="P6" s="362" t="s">
        <v>3</v>
      </c>
      <c r="Q6" s="363"/>
      <c r="R6" s="364"/>
      <c r="S6" s="362" t="s">
        <v>4</v>
      </c>
      <c r="T6" s="363"/>
      <c r="U6" s="364"/>
      <c r="V6" s="362" t="s">
        <v>830</v>
      </c>
      <c r="W6" s="363"/>
      <c r="X6" s="364"/>
      <c r="Y6" s="362" t="s">
        <v>831</v>
      </c>
      <c r="Z6" s="363"/>
      <c r="AA6" s="364"/>
      <c r="AB6" s="362" t="s">
        <v>832</v>
      </c>
      <c r="AC6" s="363"/>
      <c r="AD6" s="364"/>
      <c r="AE6" s="362" t="s">
        <v>1026</v>
      </c>
      <c r="AF6" s="363"/>
      <c r="AG6" s="364"/>
      <c r="AH6" s="362" t="s">
        <v>1027</v>
      </c>
      <c r="AI6" s="363"/>
      <c r="AJ6" s="364"/>
      <c r="AK6" s="362" t="s">
        <v>1028</v>
      </c>
      <c r="AL6" s="363"/>
      <c r="AM6" s="364"/>
      <c r="AN6" s="362" t="s">
        <v>1029</v>
      </c>
      <c r="AO6" s="363"/>
      <c r="AP6" s="364"/>
      <c r="AQ6" s="362" t="s">
        <v>1030</v>
      </c>
      <c r="AR6" s="363"/>
      <c r="AS6" s="364"/>
      <c r="AT6" s="362" t="s">
        <v>1701</v>
      </c>
      <c r="AU6" s="363"/>
      <c r="AV6" s="364"/>
      <c r="AW6" s="410" t="s">
        <v>64</v>
      </c>
      <c r="AX6" s="410"/>
      <c r="AY6" s="410"/>
      <c r="AZ6" s="387" t="s">
        <v>2</v>
      </c>
      <c r="BA6" s="388"/>
      <c r="BB6" s="389"/>
      <c r="BC6" s="387" t="s">
        <v>3</v>
      </c>
      <c r="BD6" s="388"/>
      <c r="BE6" s="389"/>
      <c r="BF6" s="387" t="s">
        <v>4</v>
      </c>
      <c r="BG6" s="388"/>
      <c r="BH6" s="389"/>
      <c r="BI6" s="387" t="s">
        <v>830</v>
      </c>
      <c r="BJ6" s="388"/>
      <c r="BK6" s="389"/>
      <c r="BL6" s="387" t="s">
        <v>831</v>
      </c>
      <c r="BM6" s="388"/>
      <c r="BN6" s="389"/>
      <c r="BO6" s="387" t="s">
        <v>832</v>
      </c>
      <c r="BP6" s="388"/>
      <c r="BQ6" s="389"/>
      <c r="BR6" s="387" t="s">
        <v>1026</v>
      </c>
      <c r="BS6" s="388"/>
      <c r="BT6" s="389"/>
      <c r="BU6" s="387" t="s">
        <v>1027</v>
      </c>
      <c r="BV6" s="388"/>
      <c r="BW6" s="389"/>
      <c r="BX6" s="387" t="s">
        <v>1028</v>
      </c>
      <c r="BY6" s="388"/>
      <c r="BZ6" s="389"/>
      <c r="CA6" s="387" t="s">
        <v>1029</v>
      </c>
      <c r="CB6" s="388"/>
      <c r="CC6" s="389"/>
      <c r="CD6" s="387" t="s">
        <v>1030</v>
      </c>
      <c r="CE6" s="388"/>
      <c r="CF6" s="389"/>
      <c r="CG6" s="387" t="s">
        <v>1701</v>
      </c>
      <c r="CH6" s="388"/>
      <c r="CI6" s="389"/>
      <c r="CJ6" s="361" t="s">
        <v>65</v>
      </c>
      <c r="CK6" s="361"/>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row>
    <row r="7" spans="1:174" s="9" customFormat="1" ht="49.5" customHeight="1" x14ac:dyDescent="0.2">
      <c r="A7" s="252" t="s">
        <v>66</v>
      </c>
      <c r="B7" s="252" t="s">
        <v>67</v>
      </c>
      <c r="C7" s="252" t="s">
        <v>68</v>
      </c>
      <c r="D7" s="252" t="s">
        <v>69</v>
      </c>
      <c r="E7" s="252" t="s">
        <v>70</v>
      </c>
      <c r="F7" s="252" t="s">
        <v>71</v>
      </c>
      <c r="G7" s="252" t="s">
        <v>72</v>
      </c>
      <c r="H7" s="12" t="s">
        <v>73</v>
      </c>
      <c r="I7" s="12" t="s">
        <v>74</v>
      </c>
      <c r="J7" s="252" t="s">
        <v>63</v>
      </c>
      <c r="K7" s="252" t="s">
        <v>75</v>
      </c>
      <c r="L7" s="252" t="s">
        <v>76</v>
      </c>
      <c r="M7" s="252" t="s">
        <v>77</v>
      </c>
      <c r="N7" s="66" t="s">
        <v>78</v>
      </c>
      <c r="O7" s="252" t="s">
        <v>79</v>
      </c>
      <c r="P7" s="252" t="s">
        <v>77</v>
      </c>
      <c r="Q7" s="66" t="s">
        <v>78</v>
      </c>
      <c r="R7" s="252" t="s">
        <v>79</v>
      </c>
      <c r="S7" s="252" t="s">
        <v>77</v>
      </c>
      <c r="T7" s="66" t="s">
        <v>78</v>
      </c>
      <c r="U7" s="252" t="s">
        <v>79</v>
      </c>
      <c r="V7" s="252" t="s">
        <v>77</v>
      </c>
      <c r="W7" s="66" t="s">
        <v>78</v>
      </c>
      <c r="X7" s="252" t="s">
        <v>79</v>
      </c>
      <c r="Y7" s="252" t="s">
        <v>77</v>
      </c>
      <c r="Z7" s="66" t="s">
        <v>78</v>
      </c>
      <c r="AA7" s="252" t="s">
        <v>79</v>
      </c>
      <c r="AB7" s="252" t="s">
        <v>77</v>
      </c>
      <c r="AC7" s="66" t="s">
        <v>78</v>
      </c>
      <c r="AD7" s="252" t="s">
        <v>79</v>
      </c>
      <c r="AE7" s="252" t="s">
        <v>77</v>
      </c>
      <c r="AF7" s="66" t="s">
        <v>78</v>
      </c>
      <c r="AG7" s="252" t="s">
        <v>79</v>
      </c>
      <c r="AH7" s="252" t="s">
        <v>77</v>
      </c>
      <c r="AI7" s="66" t="s">
        <v>78</v>
      </c>
      <c r="AJ7" s="252" t="s">
        <v>79</v>
      </c>
      <c r="AK7" s="252" t="s">
        <v>77</v>
      </c>
      <c r="AL7" s="66" t="s">
        <v>78</v>
      </c>
      <c r="AM7" s="252" t="s">
        <v>79</v>
      </c>
      <c r="AN7" s="252" t="s">
        <v>77</v>
      </c>
      <c r="AO7" s="66" t="s">
        <v>78</v>
      </c>
      <c r="AP7" s="252" t="s">
        <v>79</v>
      </c>
      <c r="AQ7" s="252" t="s">
        <v>77</v>
      </c>
      <c r="AR7" s="66" t="s">
        <v>78</v>
      </c>
      <c r="AS7" s="252" t="s">
        <v>79</v>
      </c>
      <c r="AT7" s="252" t="s">
        <v>77</v>
      </c>
      <c r="AU7" s="66" t="s">
        <v>78</v>
      </c>
      <c r="AV7" s="252" t="s">
        <v>79</v>
      </c>
      <c r="AW7" s="256" t="s">
        <v>64</v>
      </c>
      <c r="AX7" s="256" t="s">
        <v>80</v>
      </c>
      <c r="AY7" s="256" t="s">
        <v>81</v>
      </c>
      <c r="AZ7" s="256" t="s">
        <v>77</v>
      </c>
      <c r="BA7" s="214" t="s">
        <v>78</v>
      </c>
      <c r="BB7" s="256" t="s">
        <v>79</v>
      </c>
      <c r="BC7" s="256" t="s">
        <v>77</v>
      </c>
      <c r="BD7" s="214" t="s">
        <v>78</v>
      </c>
      <c r="BE7" s="256" t="s">
        <v>79</v>
      </c>
      <c r="BF7" s="256" t="s">
        <v>77</v>
      </c>
      <c r="BG7" s="214" t="s">
        <v>78</v>
      </c>
      <c r="BH7" s="256" t="s">
        <v>79</v>
      </c>
      <c r="BI7" s="256" t="s">
        <v>77</v>
      </c>
      <c r="BJ7" s="214" t="s">
        <v>78</v>
      </c>
      <c r="BK7" s="256" t="s">
        <v>79</v>
      </c>
      <c r="BL7" s="256" t="s">
        <v>77</v>
      </c>
      <c r="BM7" s="214" t="s">
        <v>78</v>
      </c>
      <c r="BN7" s="256" t="s">
        <v>79</v>
      </c>
      <c r="BO7" s="256" t="s">
        <v>77</v>
      </c>
      <c r="BP7" s="214" t="s">
        <v>78</v>
      </c>
      <c r="BQ7" s="256" t="s">
        <v>79</v>
      </c>
      <c r="BR7" s="256" t="s">
        <v>77</v>
      </c>
      <c r="BS7" s="214" t="s">
        <v>78</v>
      </c>
      <c r="BT7" s="256" t="s">
        <v>79</v>
      </c>
      <c r="BU7" s="256" t="s">
        <v>77</v>
      </c>
      <c r="BV7" s="214" t="s">
        <v>78</v>
      </c>
      <c r="BW7" s="256" t="s">
        <v>79</v>
      </c>
      <c r="BX7" s="256" t="s">
        <v>77</v>
      </c>
      <c r="BY7" s="214" t="s">
        <v>78</v>
      </c>
      <c r="BZ7" s="256" t="s">
        <v>79</v>
      </c>
      <c r="CA7" s="256" t="s">
        <v>77</v>
      </c>
      <c r="CB7" s="214" t="s">
        <v>78</v>
      </c>
      <c r="CC7" s="256" t="s">
        <v>79</v>
      </c>
      <c r="CD7" s="256" t="s">
        <v>77</v>
      </c>
      <c r="CE7" s="214" t="s">
        <v>78</v>
      </c>
      <c r="CF7" s="256" t="s">
        <v>79</v>
      </c>
      <c r="CG7" s="256" t="s">
        <v>77</v>
      </c>
      <c r="CH7" s="214" t="s">
        <v>78</v>
      </c>
      <c r="CI7" s="256" t="s">
        <v>79</v>
      </c>
      <c r="CJ7" s="252" t="s">
        <v>82</v>
      </c>
      <c r="CK7" s="252" t="s">
        <v>83</v>
      </c>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row>
    <row r="8" spans="1:174" s="4" customFormat="1" ht="126.75" customHeight="1" x14ac:dyDescent="0.2">
      <c r="A8" s="368" t="s">
        <v>84</v>
      </c>
      <c r="B8" s="368" t="s">
        <v>274</v>
      </c>
      <c r="C8" s="368" t="s">
        <v>2725</v>
      </c>
      <c r="D8" s="368" t="s">
        <v>49</v>
      </c>
      <c r="E8" s="458" t="s">
        <v>275</v>
      </c>
      <c r="F8" s="368" t="s">
        <v>88</v>
      </c>
      <c r="G8" s="368" t="s">
        <v>276</v>
      </c>
      <c r="H8" s="374">
        <v>11905645693</v>
      </c>
      <c r="I8" s="374">
        <v>777815151</v>
      </c>
      <c r="J8" s="368" t="s">
        <v>277</v>
      </c>
      <c r="K8" s="368" t="s">
        <v>278</v>
      </c>
      <c r="L8" s="393">
        <v>571</v>
      </c>
      <c r="M8" s="462">
        <v>32</v>
      </c>
      <c r="N8" s="366">
        <v>0.06</v>
      </c>
      <c r="O8" s="378" t="s">
        <v>279</v>
      </c>
      <c r="P8" s="459">
        <v>75</v>
      </c>
      <c r="Q8" s="366">
        <v>0.13</v>
      </c>
      <c r="R8" s="378" t="s">
        <v>280</v>
      </c>
      <c r="S8" s="459">
        <v>121</v>
      </c>
      <c r="T8" s="366">
        <v>0.21</v>
      </c>
      <c r="U8" s="378" t="s">
        <v>281</v>
      </c>
      <c r="V8" s="414">
        <v>148</v>
      </c>
      <c r="W8" s="378">
        <v>0.26</v>
      </c>
      <c r="X8" s="378" t="s">
        <v>873</v>
      </c>
      <c r="Y8" s="414">
        <v>203</v>
      </c>
      <c r="Z8" s="378">
        <v>0.36</v>
      </c>
      <c r="AA8" s="378" t="s">
        <v>874</v>
      </c>
      <c r="AB8" s="414">
        <v>261</v>
      </c>
      <c r="AC8" s="378">
        <v>0.46</v>
      </c>
      <c r="AD8" s="378" t="s">
        <v>875</v>
      </c>
      <c r="AE8" s="414">
        <v>320</v>
      </c>
      <c r="AF8" s="378">
        <v>0.56000000000000005</v>
      </c>
      <c r="AG8" s="378" t="s">
        <v>1241</v>
      </c>
      <c r="AH8" s="414">
        <v>377</v>
      </c>
      <c r="AI8" s="378">
        <v>0.66</v>
      </c>
      <c r="AJ8" s="378" t="s">
        <v>1242</v>
      </c>
      <c r="AK8" s="414">
        <v>441</v>
      </c>
      <c r="AL8" s="378">
        <v>0.77</v>
      </c>
      <c r="AM8" s="378" t="s">
        <v>1243</v>
      </c>
      <c r="AN8" s="414">
        <v>484</v>
      </c>
      <c r="AO8" s="395">
        <v>0.84760000000000002</v>
      </c>
      <c r="AP8" s="378" t="s">
        <v>1746</v>
      </c>
      <c r="AQ8" s="414">
        <v>546</v>
      </c>
      <c r="AR8" s="395">
        <v>0.95620000000000005</v>
      </c>
      <c r="AS8" s="471" t="s">
        <v>1747</v>
      </c>
      <c r="AT8" s="414">
        <v>595</v>
      </c>
      <c r="AU8" s="378">
        <v>1.04</v>
      </c>
      <c r="AV8" s="378" t="s">
        <v>1748</v>
      </c>
      <c r="AW8" s="11" t="s">
        <v>282</v>
      </c>
      <c r="AX8" s="11" t="s">
        <v>283</v>
      </c>
      <c r="AY8" s="257">
        <v>631</v>
      </c>
      <c r="AZ8" s="257">
        <v>40</v>
      </c>
      <c r="BA8" s="60">
        <v>0.06</v>
      </c>
      <c r="BC8" s="77">
        <v>78</v>
      </c>
      <c r="BD8" s="60">
        <v>0.12</v>
      </c>
      <c r="BE8" s="60" t="s">
        <v>284</v>
      </c>
      <c r="BF8" s="77">
        <v>117</v>
      </c>
      <c r="BG8" s="60">
        <v>0.19</v>
      </c>
      <c r="BH8" s="60" t="s">
        <v>285</v>
      </c>
      <c r="BI8" s="132">
        <v>157</v>
      </c>
      <c r="BJ8" s="60">
        <v>0.25</v>
      </c>
      <c r="BK8" s="60" t="s">
        <v>886</v>
      </c>
      <c r="BL8" s="132">
        <v>207</v>
      </c>
      <c r="BM8" s="60">
        <v>0.33</v>
      </c>
      <c r="BN8" s="60" t="s">
        <v>887</v>
      </c>
      <c r="BO8" s="132">
        <v>270</v>
      </c>
      <c r="BP8" s="60">
        <v>0.43</v>
      </c>
      <c r="BQ8" s="60" t="s">
        <v>888</v>
      </c>
      <c r="BR8" s="132">
        <v>330</v>
      </c>
      <c r="BS8" s="60">
        <v>0.52</v>
      </c>
      <c r="BT8" s="60" t="s">
        <v>1255</v>
      </c>
      <c r="BU8" s="132">
        <v>393</v>
      </c>
      <c r="BV8" s="60">
        <v>0.62</v>
      </c>
      <c r="BW8" s="60" t="s">
        <v>1256</v>
      </c>
      <c r="BX8" s="132">
        <v>457</v>
      </c>
      <c r="BY8" s="60">
        <v>0.72</v>
      </c>
      <c r="BZ8" s="60" t="s">
        <v>1257</v>
      </c>
      <c r="CA8" s="132">
        <v>502</v>
      </c>
      <c r="CB8" s="76">
        <v>0.79559999999999997</v>
      </c>
      <c r="CC8" s="60" t="s">
        <v>1749</v>
      </c>
      <c r="CD8" s="132">
        <v>569</v>
      </c>
      <c r="CE8" s="76">
        <v>0.90169999999999995</v>
      </c>
      <c r="CF8" s="60" t="s">
        <v>1750</v>
      </c>
      <c r="CG8" s="132">
        <v>626</v>
      </c>
      <c r="CH8" s="76">
        <v>0.99209999999999998</v>
      </c>
      <c r="CI8" s="60" t="s">
        <v>1751</v>
      </c>
      <c r="CJ8" s="11" t="s">
        <v>106</v>
      </c>
      <c r="CK8" s="11" t="s">
        <v>107</v>
      </c>
    </row>
    <row r="9" spans="1:174" s="4" customFormat="1" ht="128.25" customHeight="1" x14ac:dyDescent="0.2">
      <c r="A9" s="368"/>
      <c r="B9" s="368"/>
      <c r="C9" s="368"/>
      <c r="D9" s="368"/>
      <c r="E9" s="458"/>
      <c r="F9" s="368"/>
      <c r="G9" s="368"/>
      <c r="H9" s="401"/>
      <c r="I9" s="375"/>
      <c r="J9" s="368"/>
      <c r="K9" s="368"/>
      <c r="L9" s="393"/>
      <c r="M9" s="463"/>
      <c r="N9" s="367"/>
      <c r="O9" s="380"/>
      <c r="P9" s="461"/>
      <c r="Q9" s="367"/>
      <c r="R9" s="380"/>
      <c r="S9" s="461"/>
      <c r="T9" s="367"/>
      <c r="U9" s="380"/>
      <c r="V9" s="415"/>
      <c r="W9" s="380"/>
      <c r="X9" s="380"/>
      <c r="Y9" s="415"/>
      <c r="Z9" s="380"/>
      <c r="AA9" s="380"/>
      <c r="AB9" s="415"/>
      <c r="AC9" s="380"/>
      <c r="AD9" s="380"/>
      <c r="AE9" s="415"/>
      <c r="AF9" s="380"/>
      <c r="AG9" s="380"/>
      <c r="AH9" s="415"/>
      <c r="AI9" s="380"/>
      <c r="AJ9" s="380"/>
      <c r="AK9" s="415"/>
      <c r="AL9" s="380"/>
      <c r="AM9" s="380"/>
      <c r="AN9" s="415"/>
      <c r="AO9" s="397"/>
      <c r="AP9" s="380"/>
      <c r="AQ9" s="415"/>
      <c r="AR9" s="397"/>
      <c r="AS9" s="472"/>
      <c r="AT9" s="415"/>
      <c r="AU9" s="380"/>
      <c r="AV9" s="380"/>
      <c r="AW9" s="11" t="s">
        <v>286</v>
      </c>
      <c r="AX9" s="11" t="s">
        <v>287</v>
      </c>
      <c r="AY9" s="257">
        <v>517</v>
      </c>
      <c r="AZ9" s="257">
        <v>25</v>
      </c>
      <c r="BA9" s="60">
        <v>0.08</v>
      </c>
      <c r="BB9" s="60" t="s">
        <v>288</v>
      </c>
      <c r="BC9" s="77">
        <v>65</v>
      </c>
      <c r="BD9" s="60">
        <v>0.13</v>
      </c>
      <c r="BE9" s="60" t="s">
        <v>289</v>
      </c>
      <c r="BF9" s="77">
        <v>99</v>
      </c>
      <c r="BG9" s="60">
        <v>0.19</v>
      </c>
      <c r="BH9" s="60" t="s">
        <v>290</v>
      </c>
      <c r="BI9" s="132">
        <v>124</v>
      </c>
      <c r="BJ9" s="60">
        <v>0.24</v>
      </c>
      <c r="BK9" s="60" t="s">
        <v>891</v>
      </c>
      <c r="BL9" s="132">
        <v>178</v>
      </c>
      <c r="BM9" s="60">
        <v>0.31</v>
      </c>
      <c r="BN9" s="60" t="s">
        <v>890</v>
      </c>
      <c r="BO9" s="132">
        <v>233</v>
      </c>
      <c r="BP9" s="60">
        <v>0.45</v>
      </c>
      <c r="BQ9" s="60" t="s">
        <v>889</v>
      </c>
      <c r="BR9" s="132">
        <v>287</v>
      </c>
      <c r="BS9" s="60">
        <v>0.56000000000000005</v>
      </c>
      <c r="BT9" s="60" t="s">
        <v>1260</v>
      </c>
      <c r="BU9" s="132">
        <v>345</v>
      </c>
      <c r="BV9" s="60">
        <v>0.67</v>
      </c>
      <c r="BW9" s="60" t="s">
        <v>1259</v>
      </c>
      <c r="BX9" s="132">
        <v>403</v>
      </c>
      <c r="BY9" s="60">
        <v>0.78</v>
      </c>
      <c r="BZ9" s="60" t="s">
        <v>1258</v>
      </c>
      <c r="CA9" s="132">
        <v>441</v>
      </c>
      <c r="CB9" s="76">
        <v>0.85299999999999998</v>
      </c>
      <c r="CC9" s="60" t="s">
        <v>1752</v>
      </c>
      <c r="CD9" s="132">
        <v>499</v>
      </c>
      <c r="CE9" s="76">
        <v>0.96519999999999995</v>
      </c>
      <c r="CF9" s="60" t="s">
        <v>1753</v>
      </c>
      <c r="CG9" s="132">
        <v>546</v>
      </c>
      <c r="CH9" s="76">
        <v>1.0561</v>
      </c>
      <c r="CI9" s="60" t="s">
        <v>1754</v>
      </c>
      <c r="CJ9" s="11" t="s">
        <v>106</v>
      </c>
      <c r="CK9" s="11" t="s">
        <v>107</v>
      </c>
    </row>
    <row r="10" spans="1:174" s="4" customFormat="1" ht="116.25" customHeight="1" x14ac:dyDescent="0.2">
      <c r="A10" s="368"/>
      <c r="B10" s="368"/>
      <c r="C10" s="368"/>
      <c r="D10" s="368"/>
      <c r="E10" s="458"/>
      <c r="F10" s="368"/>
      <c r="G10" s="368"/>
      <c r="H10" s="401"/>
      <c r="I10" s="374">
        <v>2017923087</v>
      </c>
      <c r="J10" s="368" t="s">
        <v>291</v>
      </c>
      <c r="K10" s="368" t="s">
        <v>292</v>
      </c>
      <c r="L10" s="393">
        <v>1021</v>
      </c>
      <c r="M10" s="366">
        <v>0</v>
      </c>
      <c r="N10" s="366">
        <v>0</v>
      </c>
      <c r="O10" s="378" t="s">
        <v>293</v>
      </c>
      <c r="P10" s="459">
        <v>31</v>
      </c>
      <c r="Q10" s="366">
        <v>0.03</v>
      </c>
      <c r="R10" s="378" t="s">
        <v>294</v>
      </c>
      <c r="S10" s="459">
        <v>96</v>
      </c>
      <c r="T10" s="366">
        <v>0.09</v>
      </c>
      <c r="U10" s="378" t="s">
        <v>295</v>
      </c>
      <c r="V10" s="414">
        <v>163</v>
      </c>
      <c r="W10" s="378">
        <v>0.15</v>
      </c>
      <c r="X10" s="378" t="s">
        <v>878</v>
      </c>
      <c r="Y10" s="414">
        <v>246</v>
      </c>
      <c r="Z10" s="378">
        <v>0.22</v>
      </c>
      <c r="AA10" s="378" t="s">
        <v>877</v>
      </c>
      <c r="AB10" s="414">
        <v>342</v>
      </c>
      <c r="AC10" s="378">
        <v>0.31</v>
      </c>
      <c r="AD10" s="378" t="s">
        <v>876</v>
      </c>
      <c r="AE10" s="414">
        <v>439</v>
      </c>
      <c r="AF10" s="378">
        <v>0.4</v>
      </c>
      <c r="AG10" s="378" t="s">
        <v>1246</v>
      </c>
      <c r="AH10" s="414">
        <v>567</v>
      </c>
      <c r="AI10" s="378">
        <v>0.51</v>
      </c>
      <c r="AJ10" s="378" t="s">
        <v>1245</v>
      </c>
      <c r="AK10" s="414">
        <v>712</v>
      </c>
      <c r="AL10" s="378">
        <v>0.64</v>
      </c>
      <c r="AM10" s="378" t="s">
        <v>1244</v>
      </c>
      <c r="AN10" s="414">
        <v>831</v>
      </c>
      <c r="AO10" s="395">
        <v>0.75270000000000004</v>
      </c>
      <c r="AP10" s="378" t="s">
        <v>1755</v>
      </c>
      <c r="AQ10" s="414">
        <v>1007</v>
      </c>
      <c r="AR10" s="395">
        <v>0.91210000000000002</v>
      </c>
      <c r="AS10" s="378" t="s">
        <v>1756</v>
      </c>
      <c r="AT10" s="414">
        <v>1147</v>
      </c>
      <c r="AU10" s="395">
        <v>1.0398000000000001</v>
      </c>
      <c r="AV10" s="378" t="s">
        <v>1757</v>
      </c>
      <c r="AW10" s="11" t="s">
        <v>296</v>
      </c>
      <c r="AX10" s="11" t="s">
        <v>297</v>
      </c>
      <c r="AY10" s="257">
        <v>1021</v>
      </c>
      <c r="AZ10" s="259">
        <v>0.08</v>
      </c>
      <c r="BA10" s="60">
        <v>0.01</v>
      </c>
      <c r="BB10" s="60" t="s">
        <v>298</v>
      </c>
      <c r="BC10" s="77">
        <v>54</v>
      </c>
      <c r="BD10" s="60">
        <v>0.05</v>
      </c>
      <c r="BE10" s="60" t="s">
        <v>299</v>
      </c>
      <c r="BF10" s="77">
        <v>121</v>
      </c>
      <c r="BG10" s="60">
        <v>0.12</v>
      </c>
      <c r="BH10" s="60" t="s">
        <v>300</v>
      </c>
      <c r="BI10" s="132">
        <v>201</v>
      </c>
      <c r="BJ10" s="60">
        <v>0.18</v>
      </c>
      <c r="BK10" s="60" t="s">
        <v>892</v>
      </c>
      <c r="BL10" s="132">
        <v>288</v>
      </c>
      <c r="BM10" s="60">
        <v>0.26</v>
      </c>
      <c r="BN10" s="60" t="s">
        <v>893</v>
      </c>
      <c r="BO10" s="132">
        <v>383</v>
      </c>
      <c r="BP10" s="60">
        <v>0.35</v>
      </c>
      <c r="BQ10" s="60" t="s">
        <v>894</v>
      </c>
      <c r="BR10" s="132">
        <v>497</v>
      </c>
      <c r="BS10" s="60">
        <v>0.45</v>
      </c>
      <c r="BT10" s="60" t="s">
        <v>1261</v>
      </c>
      <c r="BU10" s="132">
        <v>641</v>
      </c>
      <c r="BV10" s="60">
        <v>0.57999999999999996</v>
      </c>
      <c r="BW10" s="60" t="s">
        <v>1262</v>
      </c>
      <c r="BX10" s="132">
        <v>781</v>
      </c>
      <c r="BY10" s="60">
        <v>0.71</v>
      </c>
      <c r="BZ10" s="60" t="s">
        <v>1263</v>
      </c>
      <c r="CA10" s="132">
        <v>902</v>
      </c>
      <c r="CB10" s="76">
        <v>0.81699999999999995</v>
      </c>
      <c r="CC10" s="60" t="s">
        <v>1758</v>
      </c>
      <c r="CD10" s="132">
        <v>1063</v>
      </c>
      <c r="CE10" s="76">
        <v>0.96289999999999998</v>
      </c>
      <c r="CF10" s="60" t="s">
        <v>1759</v>
      </c>
      <c r="CG10" s="132">
        <v>1119</v>
      </c>
      <c r="CH10" s="76">
        <v>1.0136000000000001</v>
      </c>
      <c r="CI10" s="60" t="s">
        <v>1760</v>
      </c>
      <c r="CJ10" s="11" t="s">
        <v>106</v>
      </c>
      <c r="CK10" s="11" t="s">
        <v>107</v>
      </c>
    </row>
    <row r="11" spans="1:174" s="4" customFormat="1" ht="45" customHeight="1" x14ac:dyDescent="0.2">
      <c r="A11" s="368"/>
      <c r="B11" s="368"/>
      <c r="C11" s="368"/>
      <c r="D11" s="368"/>
      <c r="E11" s="458"/>
      <c r="F11" s="368"/>
      <c r="G11" s="368"/>
      <c r="H11" s="401"/>
      <c r="I11" s="401"/>
      <c r="J11" s="368"/>
      <c r="K11" s="368"/>
      <c r="L11" s="393"/>
      <c r="M11" s="402"/>
      <c r="N11" s="402"/>
      <c r="O11" s="379"/>
      <c r="P11" s="460"/>
      <c r="Q11" s="402"/>
      <c r="R11" s="379"/>
      <c r="S11" s="460"/>
      <c r="T11" s="402"/>
      <c r="U11" s="379"/>
      <c r="V11" s="455"/>
      <c r="W11" s="379"/>
      <c r="X11" s="379"/>
      <c r="Y11" s="455"/>
      <c r="Z11" s="379"/>
      <c r="AA11" s="379"/>
      <c r="AB11" s="455"/>
      <c r="AC11" s="379"/>
      <c r="AD11" s="379"/>
      <c r="AE11" s="455"/>
      <c r="AF11" s="379"/>
      <c r="AG11" s="379"/>
      <c r="AH11" s="455"/>
      <c r="AI11" s="379"/>
      <c r="AJ11" s="379"/>
      <c r="AK11" s="455"/>
      <c r="AL11" s="379"/>
      <c r="AM11" s="379"/>
      <c r="AN11" s="455"/>
      <c r="AO11" s="396"/>
      <c r="AP11" s="379"/>
      <c r="AQ11" s="455"/>
      <c r="AR11" s="396"/>
      <c r="AS11" s="379"/>
      <c r="AT11" s="455"/>
      <c r="AU11" s="396"/>
      <c r="AV11" s="379"/>
      <c r="AW11" s="11" t="s">
        <v>301</v>
      </c>
      <c r="AX11" s="11" t="s">
        <v>302</v>
      </c>
      <c r="AY11" s="258">
        <v>1</v>
      </c>
      <c r="AZ11" s="259">
        <v>0</v>
      </c>
      <c r="BA11" s="60">
        <v>0</v>
      </c>
      <c r="BB11" s="60" t="s">
        <v>147</v>
      </c>
      <c r="BC11" s="259">
        <v>0</v>
      </c>
      <c r="BD11" s="60">
        <v>0</v>
      </c>
      <c r="BE11" s="60" t="s">
        <v>147</v>
      </c>
      <c r="BF11" s="259">
        <v>0</v>
      </c>
      <c r="BG11" s="60">
        <v>0</v>
      </c>
      <c r="BH11" s="60" t="s">
        <v>147</v>
      </c>
      <c r="BI11" s="259">
        <v>0</v>
      </c>
      <c r="BJ11" s="60">
        <v>0</v>
      </c>
      <c r="BK11" s="60" t="s">
        <v>147</v>
      </c>
      <c r="BL11" s="259">
        <v>0</v>
      </c>
      <c r="BM11" s="60">
        <v>0</v>
      </c>
      <c r="BN11" s="60" t="s">
        <v>147</v>
      </c>
      <c r="BO11" s="259">
        <v>0</v>
      </c>
      <c r="BP11" s="60">
        <v>0</v>
      </c>
      <c r="BQ11" s="60" t="s">
        <v>147</v>
      </c>
      <c r="BR11" s="259">
        <v>0</v>
      </c>
      <c r="BS11" s="60">
        <v>0</v>
      </c>
      <c r="BT11" s="60" t="s">
        <v>147</v>
      </c>
      <c r="BU11" s="259">
        <v>0</v>
      </c>
      <c r="BV11" s="60">
        <v>0</v>
      </c>
      <c r="BW11" s="60" t="s">
        <v>147</v>
      </c>
      <c r="BX11" s="259">
        <v>0</v>
      </c>
      <c r="BY11" s="60">
        <v>0</v>
      </c>
      <c r="BZ11" s="60" t="s">
        <v>147</v>
      </c>
      <c r="CA11" s="259">
        <v>0</v>
      </c>
      <c r="CB11" s="60">
        <v>0</v>
      </c>
      <c r="CC11" s="60" t="s">
        <v>147</v>
      </c>
      <c r="CD11" s="259">
        <v>0</v>
      </c>
      <c r="CE11" s="60">
        <v>0</v>
      </c>
      <c r="CF11" s="60" t="s">
        <v>147</v>
      </c>
      <c r="CG11" s="259">
        <v>0.95</v>
      </c>
      <c r="CH11" s="76">
        <v>0.95</v>
      </c>
      <c r="CI11" s="60" t="s">
        <v>1761</v>
      </c>
      <c r="CJ11" s="11" t="s">
        <v>106</v>
      </c>
      <c r="CK11" s="11" t="s">
        <v>107</v>
      </c>
    </row>
    <row r="12" spans="1:174" s="4" customFormat="1" ht="45" customHeight="1" x14ac:dyDescent="0.2">
      <c r="A12" s="368"/>
      <c r="B12" s="368"/>
      <c r="C12" s="368"/>
      <c r="D12" s="368"/>
      <c r="E12" s="458"/>
      <c r="F12" s="368"/>
      <c r="G12" s="368"/>
      <c r="H12" s="401"/>
      <c r="I12" s="401"/>
      <c r="J12" s="368"/>
      <c r="K12" s="368"/>
      <c r="L12" s="393"/>
      <c r="M12" s="402"/>
      <c r="N12" s="402"/>
      <c r="O12" s="379"/>
      <c r="P12" s="460"/>
      <c r="Q12" s="402"/>
      <c r="R12" s="379"/>
      <c r="S12" s="460"/>
      <c r="T12" s="402"/>
      <c r="U12" s="379"/>
      <c r="V12" s="455"/>
      <c r="W12" s="379"/>
      <c r="X12" s="379"/>
      <c r="Y12" s="455"/>
      <c r="Z12" s="379"/>
      <c r="AA12" s="379"/>
      <c r="AB12" s="455"/>
      <c r="AC12" s="379"/>
      <c r="AD12" s="379"/>
      <c r="AE12" s="455"/>
      <c r="AF12" s="379"/>
      <c r="AG12" s="379"/>
      <c r="AH12" s="455"/>
      <c r="AI12" s="379"/>
      <c r="AJ12" s="379"/>
      <c r="AK12" s="455"/>
      <c r="AL12" s="379"/>
      <c r="AM12" s="379"/>
      <c r="AN12" s="455"/>
      <c r="AO12" s="396"/>
      <c r="AP12" s="379"/>
      <c r="AQ12" s="455"/>
      <c r="AR12" s="396"/>
      <c r="AS12" s="379"/>
      <c r="AT12" s="455"/>
      <c r="AU12" s="396"/>
      <c r="AV12" s="379"/>
      <c r="AW12" s="11" t="s">
        <v>303</v>
      </c>
      <c r="AX12" s="11" t="s">
        <v>304</v>
      </c>
      <c r="AY12" s="258">
        <v>1</v>
      </c>
      <c r="AZ12" s="259">
        <v>0</v>
      </c>
      <c r="BA12" s="60">
        <v>0</v>
      </c>
      <c r="BB12" s="60" t="s">
        <v>147</v>
      </c>
      <c r="BC12" s="259">
        <v>0</v>
      </c>
      <c r="BD12" s="60">
        <v>0</v>
      </c>
      <c r="BE12" s="60" t="s">
        <v>147</v>
      </c>
      <c r="BF12" s="259">
        <v>0</v>
      </c>
      <c r="BG12" s="60">
        <v>0</v>
      </c>
      <c r="BH12" s="60" t="s">
        <v>147</v>
      </c>
      <c r="BI12" s="259">
        <v>0</v>
      </c>
      <c r="BJ12" s="60">
        <v>0</v>
      </c>
      <c r="BK12" s="60" t="s">
        <v>147</v>
      </c>
      <c r="BL12" s="259">
        <v>0</v>
      </c>
      <c r="BM12" s="60">
        <v>0</v>
      </c>
      <c r="BN12" s="60" t="s">
        <v>147</v>
      </c>
      <c r="BO12" s="259">
        <v>0</v>
      </c>
      <c r="BP12" s="60">
        <v>0</v>
      </c>
      <c r="BQ12" s="60" t="s">
        <v>147</v>
      </c>
      <c r="BR12" s="259">
        <v>0</v>
      </c>
      <c r="BS12" s="60">
        <v>0</v>
      </c>
      <c r="BT12" s="60" t="s">
        <v>147</v>
      </c>
      <c r="BU12" s="259">
        <v>0</v>
      </c>
      <c r="BV12" s="60">
        <v>0</v>
      </c>
      <c r="BW12" s="60" t="s">
        <v>147</v>
      </c>
      <c r="BX12" s="259">
        <v>0</v>
      </c>
      <c r="BY12" s="60">
        <v>0</v>
      </c>
      <c r="BZ12" s="60" t="s">
        <v>147</v>
      </c>
      <c r="CA12" s="259">
        <v>0</v>
      </c>
      <c r="CB12" s="60">
        <v>0</v>
      </c>
      <c r="CC12" s="60" t="s">
        <v>147</v>
      </c>
      <c r="CD12" s="259">
        <v>0</v>
      </c>
      <c r="CE12" s="60">
        <v>0</v>
      </c>
      <c r="CF12" s="60" t="s">
        <v>147</v>
      </c>
      <c r="CG12" s="259">
        <v>1.0900000000000001</v>
      </c>
      <c r="CH12" s="76">
        <v>1.0900000000000001</v>
      </c>
      <c r="CI12" s="60" t="s">
        <v>1762</v>
      </c>
      <c r="CJ12" s="11" t="s">
        <v>106</v>
      </c>
      <c r="CK12" s="11" t="s">
        <v>107</v>
      </c>
    </row>
    <row r="13" spans="1:174" s="4" customFormat="1" ht="45" customHeight="1" x14ac:dyDescent="0.2">
      <c r="A13" s="368"/>
      <c r="B13" s="368"/>
      <c r="C13" s="368"/>
      <c r="D13" s="368"/>
      <c r="E13" s="458"/>
      <c r="F13" s="368"/>
      <c r="G13" s="368"/>
      <c r="H13" s="401"/>
      <c r="I13" s="401"/>
      <c r="J13" s="368"/>
      <c r="K13" s="368"/>
      <c r="L13" s="393"/>
      <c r="M13" s="402"/>
      <c r="N13" s="402"/>
      <c r="O13" s="379"/>
      <c r="P13" s="460"/>
      <c r="Q13" s="402"/>
      <c r="R13" s="379"/>
      <c r="S13" s="460"/>
      <c r="T13" s="402"/>
      <c r="U13" s="379"/>
      <c r="V13" s="455"/>
      <c r="W13" s="379"/>
      <c r="X13" s="379"/>
      <c r="Y13" s="455"/>
      <c r="Z13" s="379"/>
      <c r="AA13" s="379"/>
      <c r="AB13" s="455"/>
      <c r="AC13" s="379"/>
      <c r="AD13" s="379"/>
      <c r="AE13" s="455"/>
      <c r="AF13" s="379"/>
      <c r="AG13" s="379"/>
      <c r="AH13" s="455"/>
      <c r="AI13" s="379"/>
      <c r="AJ13" s="379"/>
      <c r="AK13" s="455"/>
      <c r="AL13" s="379"/>
      <c r="AM13" s="379"/>
      <c r="AN13" s="455"/>
      <c r="AO13" s="396"/>
      <c r="AP13" s="379"/>
      <c r="AQ13" s="455"/>
      <c r="AR13" s="396"/>
      <c r="AS13" s="379"/>
      <c r="AT13" s="455"/>
      <c r="AU13" s="396"/>
      <c r="AV13" s="379"/>
      <c r="AW13" s="11" t="s">
        <v>305</v>
      </c>
      <c r="AX13" s="11" t="s">
        <v>306</v>
      </c>
      <c r="AY13" s="258">
        <v>1</v>
      </c>
      <c r="AZ13" s="259">
        <v>0</v>
      </c>
      <c r="BA13" s="60">
        <v>0</v>
      </c>
      <c r="BB13" s="60" t="s">
        <v>147</v>
      </c>
      <c r="BC13" s="259">
        <v>0</v>
      </c>
      <c r="BD13" s="60">
        <v>0</v>
      </c>
      <c r="BE13" s="60" t="s">
        <v>147</v>
      </c>
      <c r="BF13" s="259">
        <v>0</v>
      </c>
      <c r="BG13" s="60">
        <v>0</v>
      </c>
      <c r="BH13" s="60" t="s">
        <v>147</v>
      </c>
      <c r="BI13" s="259">
        <v>0</v>
      </c>
      <c r="BJ13" s="60">
        <v>0</v>
      </c>
      <c r="BK13" s="60" t="s">
        <v>147</v>
      </c>
      <c r="BL13" s="259">
        <v>0</v>
      </c>
      <c r="BM13" s="60">
        <v>0</v>
      </c>
      <c r="BN13" s="60" t="s">
        <v>147</v>
      </c>
      <c r="BO13" s="259">
        <v>0</v>
      </c>
      <c r="BP13" s="60">
        <v>0</v>
      </c>
      <c r="BQ13" s="60" t="s">
        <v>147</v>
      </c>
      <c r="BR13" s="259">
        <v>0</v>
      </c>
      <c r="BS13" s="60">
        <v>0</v>
      </c>
      <c r="BT13" s="60" t="s">
        <v>147</v>
      </c>
      <c r="BU13" s="259">
        <v>0</v>
      </c>
      <c r="BV13" s="60">
        <v>0</v>
      </c>
      <c r="BW13" s="60" t="s">
        <v>147</v>
      </c>
      <c r="BX13" s="259">
        <v>0</v>
      </c>
      <c r="BY13" s="60">
        <v>0</v>
      </c>
      <c r="BZ13" s="60" t="s">
        <v>147</v>
      </c>
      <c r="CA13" s="259">
        <v>0</v>
      </c>
      <c r="CB13" s="60">
        <v>0</v>
      </c>
      <c r="CC13" s="60" t="s">
        <v>147</v>
      </c>
      <c r="CD13" s="259">
        <v>0</v>
      </c>
      <c r="CE13" s="60">
        <v>0</v>
      </c>
      <c r="CF13" s="60" t="s">
        <v>147</v>
      </c>
      <c r="CG13" s="259">
        <v>1.3</v>
      </c>
      <c r="CH13" s="76">
        <v>1.3</v>
      </c>
      <c r="CI13" s="60" t="s">
        <v>1763</v>
      </c>
      <c r="CJ13" s="11" t="s">
        <v>106</v>
      </c>
      <c r="CK13" s="11" t="s">
        <v>107</v>
      </c>
    </row>
    <row r="14" spans="1:174" s="4" customFormat="1" ht="45" customHeight="1" x14ac:dyDescent="0.2">
      <c r="A14" s="368"/>
      <c r="B14" s="368"/>
      <c r="C14" s="368"/>
      <c r="D14" s="368"/>
      <c r="E14" s="458"/>
      <c r="F14" s="368"/>
      <c r="G14" s="368"/>
      <c r="H14" s="401"/>
      <c r="I14" s="401"/>
      <c r="J14" s="368"/>
      <c r="K14" s="368"/>
      <c r="L14" s="393"/>
      <c r="M14" s="402"/>
      <c r="N14" s="402"/>
      <c r="O14" s="379"/>
      <c r="P14" s="460"/>
      <c r="Q14" s="402"/>
      <c r="R14" s="379"/>
      <c r="S14" s="460"/>
      <c r="T14" s="402"/>
      <c r="U14" s="379"/>
      <c r="V14" s="455"/>
      <c r="W14" s="379"/>
      <c r="X14" s="379"/>
      <c r="Y14" s="455"/>
      <c r="Z14" s="379"/>
      <c r="AA14" s="379"/>
      <c r="AB14" s="455"/>
      <c r="AC14" s="379"/>
      <c r="AD14" s="379"/>
      <c r="AE14" s="455"/>
      <c r="AF14" s="379"/>
      <c r="AG14" s="379"/>
      <c r="AH14" s="455"/>
      <c r="AI14" s="379"/>
      <c r="AJ14" s="379"/>
      <c r="AK14" s="455"/>
      <c r="AL14" s="379"/>
      <c r="AM14" s="379"/>
      <c r="AN14" s="455"/>
      <c r="AO14" s="396"/>
      <c r="AP14" s="379"/>
      <c r="AQ14" s="455"/>
      <c r="AR14" s="396"/>
      <c r="AS14" s="379"/>
      <c r="AT14" s="455"/>
      <c r="AU14" s="396"/>
      <c r="AV14" s="379"/>
      <c r="AW14" s="11" t="s">
        <v>307</v>
      </c>
      <c r="AX14" s="11" t="s">
        <v>308</v>
      </c>
      <c r="AY14" s="258">
        <v>1</v>
      </c>
      <c r="AZ14" s="259">
        <v>0</v>
      </c>
      <c r="BA14" s="60">
        <v>0</v>
      </c>
      <c r="BB14" s="60" t="s">
        <v>147</v>
      </c>
      <c r="BC14" s="259">
        <v>0</v>
      </c>
      <c r="BD14" s="60">
        <v>0</v>
      </c>
      <c r="BE14" s="60" t="s">
        <v>147</v>
      </c>
      <c r="BF14" s="259">
        <v>0</v>
      </c>
      <c r="BG14" s="60">
        <v>0</v>
      </c>
      <c r="BH14" s="60" t="s">
        <v>147</v>
      </c>
      <c r="BI14" s="259">
        <v>0</v>
      </c>
      <c r="BJ14" s="60">
        <v>0</v>
      </c>
      <c r="BK14" s="60" t="s">
        <v>147</v>
      </c>
      <c r="BL14" s="259">
        <v>0</v>
      </c>
      <c r="BM14" s="60">
        <v>0</v>
      </c>
      <c r="BN14" s="60" t="s">
        <v>147</v>
      </c>
      <c r="BO14" s="259">
        <v>0</v>
      </c>
      <c r="BP14" s="60">
        <v>0</v>
      </c>
      <c r="BQ14" s="60" t="s">
        <v>147</v>
      </c>
      <c r="BR14" s="259">
        <v>0</v>
      </c>
      <c r="BS14" s="60">
        <v>0</v>
      </c>
      <c r="BT14" s="60" t="s">
        <v>147</v>
      </c>
      <c r="BU14" s="259">
        <v>0</v>
      </c>
      <c r="BV14" s="60">
        <v>0</v>
      </c>
      <c r="BW14" s="60" t="s">
        <v>147</v>
      </c>
      <c r="BX14" s="259">
        <v>0</v>
      </c>
      <c r="BY14" s="60">
        <v>0</v>
      </c>
      <c r="BZ14" s="60" t="s">
        <v>147</v>
      </c>
      <c r="CA14" s="259">
        <v>0</v>
      </c>
      <c r="CB14" s="60">
        <v>0</v>
      </c>
      <c r="CC14" s="60" t="s">
        <v>147</v>
      </c>
      <c r="CD14" s="259">
        <v>0</v>
      </c>
      <c r="CE14" s="60">
        <v>0</v>
      </c>
      <c r="CF14" s="60" t="s">
        <v>147</v>
      </c>
      <c r="CG14" s="259">
        <v>0.8</v>
      </c>
      <c r="CH14" s="76">
        <v>0.8</v>
      </c>
      <c r="CI14" s="60" t="s">
        <v>1764</v>
      </c>
      <c r="CJ14" s="11" t="s">
        <v>106</v>
      </c>
      <c r="CK14" s="11" t="s">
        <v>107</v>
      </c>
    </row>
    <row r="15" spans="1:174" s="4" customFormat="1" ht="45" customHeight="1" x14ac:dyDescent="0.2">
      <c r="A15" s="368"/>
      <c r="B15" s="368"/>
      <c r="C15" s="368"/>
      <c r="D15" s="368"/>
      <c r="E15" s="458"/>
      <c r="F15" s="368"/>
      <c r="G15" s="368"/>
      <c r="H15" s="401"/>
      <c r="I15" s="375"/>
      <c r="J15" s="368"/>
      <c r="K15" s="368"/>
      <c r="L15" s="393"/>
      <c r="M15" s="367"/>
      <c r="N15" s="367"/>
      <c r="O15" s="380"/>
      <c r="P15" s="461"/>
      <c r="Q15" s="367"/>
      <c r="R15" s="380"/>
      <c r="S15" s="461"/>
      <c r="T15" s="367"/>
      <c r="U15" s="380"/>
      <c r="V15" s="415"/>
      <c r="W15" s="380"/>
      <c r="X15" s="380"/>
      <c r="Y15" s="415"/>
      <c r="Z15" s="380"/>
      <c r="AA15" s="380"/>
      <c r="AB15" s="415"/>
      <c r="AC15" s="380"/>
      <c r="AD15" s="380"/>
      <c r="AE15" s="415"/>
      <c r="AF15" s="380"/>
      <c r="AG15" s="380"/>
      <c r="AH15" s="415"/>
      <c r="AI15" s="380"/>
      <c r="AJ15" s="380"/>
      <c r="AK15" s="415"/>
      <c r="AL15" s="380"/>
      <c r="AM15" s="380"/>
      <c r="AN15" s="415"/>
      <c r="AO15" s="397"/>
      <c r="AP15" s="380"/>
      <c r="AQ15" s="415"/>
      <c r="AR15" s="397"/>
      <c r="AS15" s="380"/>
      <c r="AT15" s="415"/>
      <c r="AU15" s="397"/>
      <c r="AV15" s="380"/>
      <c r="AW15" s="11" t="s">
        <v>309</v>
      </c>
      <c r="AX15" s="11" t="s">
        <v>310</v>
      </c>
      <c r="AY15" s="258">
        <v>1</v>
      </c>
      <c r="AZ15" s="259">
        <v>0</v>
      </c>
      <c r="BA15" s="60">
        <v>0</v>
      </c>
      <c r="BB15" s="60" t="s">
        <v>147</v>
      </c>
      <c r="BC15" s="259">
        <v>0</v>
      </c>
      <c r="BD15" s="60">
        <v>0</v>
      </c>
      <c r="BE15" s="60" t="s">
        <v>147</v>
      </c>
      <c r="BF15" s="259">
        <v>0</v>
      </c>
      <c r="BG15" s="60">
        <v>0</v>
      </c>
      <c r="BH15" s="60" t="s">
        <v>147</v>
      </c>
      <c r="BI15" s="259">
        <v>0</v>
      </c>
      <c r="BJ15" s="60">
        <v>0</v>
      </c>
      <c r="BK15" s="60" t="s">
        <v>147</v>
      </c>
      <c r="BL15" s="259">
        <v>0</v>
      </c>
      <c r="BM15" s="60">
        <v>0</v>
      </c>
      <c r="BN15" s="60" t="s">
        <v>147</v>
      </c>
      <c r="BO15" s="259">
        <v>0</v>
      </c>
      <c r="BP15" s="60">
        <v>0</v>
      </c>
      <c r="BQ15" s="60" t="s">
        <v>147</v>
      </c>
      <c r="BR15" s="259">
        <v>0</v>
      </c>
      <c r="BS15" s="60">
        <v>0</v>
      </c>
      <c r="BT15" s="60" t="s">
        <v>147</v>
      </c>
      <c r="BU15" s="259">
        <v>0</v>
      </c>
      <c r="BV15" s="60">
        <v>0</v>
      </c>
      <c r="BW15" s="60" t="s">
        <v>147</v>
      </c>
      <c r="BX15" s="259">
        <v>0</v>
      </c>
      <c r="BY15" s="60">
        <v>0</v>
      </c>
      <c r="BZ15" s="60" t="s">
        <v>147</v>
      </c>
      <c r="CA15" s="259">
        <v>0</v>
      </c>
      <c r="CB15" s="60">
        <v>0</v>
      </c>
      <c r="CC15" s="60" t="s">
        <v>147</v>
      </c>
      <c r="CD15" s="259">
        <v>0</v>
      </c>
      <c r="CE15" s="60">
        <v>0</v>
      </c>
      <c r="CF15" s="60" t="s">
        <v>147</v>
      </c>
      <c r="CG15" s="259">
        <v>0.49</v>
      </c>
      <c r="CH15" s="76">
        <v>0.49</v>
      </c>
      <c r="CI15" s="60" t="s">
        <v>1765</v>
      </c>
      <c r="CJ15" s="11" t="s">
        <v>106</v>
      </c>
      <c r="CK15" s="11" t="s">
        <v>107</v>
      </c>
    </row>
    <row r="16" spans="1:174" ht="75" x14ac:dyDescent="0.25">
      <c r="H16" s="401"/>
      <c r="M16" s="56" t="s">
        <v>161</v>
      </c>
      <c r="N16" s="67">
        <f>AVERAGE(N8:N15)</f>
        <v>0.03</v>
      </c>
      <c r="P16" s="56" t="s">
        <v>161</v>
      </c>
      <c r="Q16" s="67">
        <f>AVERAGE(Q8:Q15)</f>
        <v>0.08</v>
      </c>
      <c r="S16" s="56" t="s">
        <v>161</v>
      </c>
      <c r="T16" s="67">
        <f>AVERAGE(T8:T15)</f>
        <v>0.15</v>
      </c>
      <c r="V16" s="56" t="s">
        <v>161</v>
      </c>
      <c r="W16" s="67">
        <f>AVERAGE(W8:W15)</f>
        <v>0.20500000000000002</v>
      </c>
      <c r="Y16" s="56" t="s">
        <v>161</v>
      </c>
      <c r="Z16" s="67">
        <f>AVERAGE(Z8:Z15)</f>
        <v>0.28999999999999998</v>
      </c>
      <c r="AB16" s="56" t="s">
        <v>161</v>
      </c>
      <c r="AC16" s="67">
        <f>AVERAGE(AC8:AC15)</f>
        <v>0.38500000000000001</v>
      </c>
      <c r="AE16" s="56" t="s">
        <v>161</v>
      </c>
      <c r="AF16" s="67">
        <f>AVERAGE(AF8:AF15)</f>
        <v>0.48000000000000004</v>
      </c>
      <c r="AH16" s="56" t="s">
        <v>161</v>
      </c>
      <c r="AI16" s="67">
        <f>AVERAGE(AI8:AI15)</f>
        <v>0.58499999999999996</v>
      </c>
      <c r="AK16" s="56" t="s">
        <v>161</v>
      </c>
      <c r="AL16" s="67">
        <f>AVERAGE(AL8:AL15)</f>
        <v>0.70500000000000007</v>
      </c>
      <c r="AN16" s="56" t="s">
        <v>161</v>
      </c>
      <c r="AO16" s="67">
        <f>AVERAGE(AO8:AO15)</f>
        <v>0.80015000000000003</v>
      </c>
      <c r="AQ16" s="56" t="s">
        <v>161</v>
      </c>
      <c r="AR16" s="67">
        <f>AVERAGE(AR8:AR15)</f>
        <v>0.93415000000000004</v>
      </c>
      <c r="AT16" s="56" t="s">
        <v>161</v>
      </c>
      <c r="AU16" s="67">
        <f>AVERAGE(AU8:AU15)</f>
        <v>1.0399</v>
      </c>
      <c r="AZ16" s="56" t="s">
        <v>162</v>
      </c>
      <c r="BA16" s="67">
        <f>AVERAGE(BA8:BA10)</f>
        <v>5.000000000000001E-2</v>
      </c>
      <c r="BC16" s="56" t="s">
        <v>162</v>
      </c>
      <c r="BD16" s="67">
        <f>AVERAGE(BD8:BD10)</f>
        <v>9.9999999999999992E-2</v>
      </c>
      <c r="BF16" s="56" t="s">
        <v>162</v>
      </c>
      <c r="BG16" s="67">
        <f>AVERAGE(BG8:BG10)</f>
        <v>0.16666666666666666</v>
      </c>
      <c r="BH16" s="7"/>
      <c r="BI16" s="56" t="s">
        <v>162</v>
      </c>
      <c r="BJ16" s="67">
        <f>AVERAGE(BJ8:BJ10)</f>
        <v>0.2233333333333333</v>
      </c>
      <c r="BK16" s="7"/>
      <c r="BL16" s="56" t="s">
        <v>162</v>
      </c>
      <c r="BM16" s="67">
        <f>AVERAGE(BM8:BM10)</f>
        <v>0.3</v>
      </c>
      <c r="BN16" s="7"/>
      <c r="BO16" s="56" t="s">
        <v>162</v>
      </c>
      <c r="BP16" s="67">
        <f>AVERAGE(BP8:BP10)</f>
        <v>0.41</v>
      </c>
      <c r="BQ16" s="7"/>
      <c r="BR16" s="56" t="s">
        <v>162</v>
      </c>
      <c r="BS16" s="67">
        <f>AVERAGE(BS8:BS10)</f>
        <v>0.51</v>
      </c>
      <c r="BT16" s="7"/>
      <c r="BU16" s="56" t="s">
        <v>162</v>
      </c>
      <c r="BV16" s="67">
        <f>AVERAGE(BV8:BV10)</f>
        <v>0.62333333333333341</v>
      </c>
      <c r="BW16" s="7"/>
      <c r="BX16" s="56" t="s">
        <v>162</v>
      </c>
      <c r="BY16" s="67">
        <f>AVERAGE(BY8:BY10)</f>
        <v>0.73666666666666669</v>
      </c>
      <c r="BZ16" s="7"/>
      <c r="CA16" s="56" t="s">
        <v>162</v>
      </c>
      <c r="CB16" s="67">
        <f>AVERAGE(CB8:CB10)</f>
        <v>0.82186666666666675</v>
      </c>
      <c r="CC16" s="7"/>
      <c r="CD16" s="56" t="s">
        <v>162</v>
      </c>
      <c r="CE16" s="74">
        <f>AVERAGE(CE8:CE10)</f>
        <v>0.94326666666666659</v>
      </c>
      <c r="CF16" s="7"/>
      <c r="CG16" s="56" t="s">
        <v>162</v>
      </c>
      <c r="CH16" s="74">
        <f>AVERAGE(CH8:CH15)</f>
        <v>0.96147499999999997</v>
      </c>
      <c r="CI16" s="7"/>
      <c r="CJ16" s="7"/>
      <c r="CK16" s="7"/>
      <c r="FO16"/>
      <c r="FP16"/>
      <c r="FQ16"/>
      <c r="FR16"/>
    </row>
    <row r="17" spans="1:174" s="4" customFormat="1" ht="75" customHeight="1" x14ac:dyDescent="0.2">
      <c r="A17" s="369" t="s">
        <v>84</v>
      </c>
      <c r="B17" s="369" t="s">
        <v>274</v>
      </c>
      <c r="C17" s="369" t="s">
        <v>2726</v>
      </c>
      <c r="D17" s="369" t="s">
        <v>49</v>
      </c>
      <c r="E17" s="464" t="s">
        <v>311</v>
      </c>
      <c r="F17" s="369" t="s">
        <v>88</v>
      </c>
      <c r="G17" s="369" t="s">
        <v>276</v>
      </c>
      <c r="H17" s="401"/>
      <c r="I17" s="374">
        <v>2754561155</v>
      </c>
      <c r="J17" s="369" t="s">
        <v>312</v>
      </c>
      <c r="K17" s="369" t="s">
        <v>102</v>
      </c>
      <c r="L17" s="371">
        <v>1</v>
      </c>
      <c r="M17" s="468">
        <v>3.2199999999999999E-2</v>
      </c>
      <c r="N17" s="468">
        <v>3.2199999999999999E-2</v>
      </c>
      <c r="O17" s="378" t="s">
        <v>313</v>
      </c>
      <c r="P17" s="468">
        <v>0.10390000000000001</v>
      </c>
      <c r="Q17" s="468">
        <v>0.10390000000000001</v>
      </c>
      <c r="R17" s="378" t="s">
        <v>314</v>
      </c>
      <c r="S17" s="366">
        <v>0.19</v>
      </c>
      <c r="T17" s="366">
        <v>0.19</v>
      </c>
      <c r="U17" s="378" t="s">
        <v>315</v>
      </c>
      <c r="V17" s="407">
        <v>0.27500000000000002</v>
      </c>
      <c r="W17" s="407">
        <v>0.27500000000000002</v>
      </c>
      <c r="X17" s="378" t="s">
        <v>879</v>
      </c>
      <c r="Y17" s="407">
        <v>0.38900000000000001</v>
      </c>
      <c r="Z17" s="407">
        <v>0.38900000000000001</v>
      </c>
      <c r="AA17" s="378" t="s">
        <v>879</v>
      </c>
      <c r="AB17" s="407">
        <v>0.46400000000000002</v>
      </c>
      <c r="AC17" s="407">
        <v>0.46400000000000002</v>
      </c>
      <c r="AD17" s="378" t="s">
        <v>880</v>
      </c>
      <c r="AE17" s="407">
        <v>0.54100000000000004</v>
      </c>
      <c r="AF17" s="407">
        <v>0.54100000000000004</v>
      </c>
      <c r="AG17" s="378" t="s">
        <v>1247</v>
      </c>
      <c r="AH17" s="407">
        <v>0.61199999999999999</v>
      </c>
      <c r="AI17" s="407">
        <v>0.61199999999999999</v>
      </c>
      <c r="AJ17" s="378" t="s">
        <v>1248</v>
      </c>
      <c r="AK17" s="395">
        <v>0.68500000000000005</v>
      </c>
      <c r="AL17" s="395">
        <v>0.68500000000000005</v>
      </c>
      <c r="AM17" s="378" t="s">
        <v>1249</v>
      </c>
      <c r="AN17" s="407">
        <v>0.83399999999999996</v>
      </c>
      <c r="AO17" s="407">
        <v>0.83399999999999996</v>
      </c>
      <c r="AP17" s="378" t="s">
        <v>1766</v>
      </c>
      <c r="AQ17" s="407">
        <v>0.95099999999999996</v>
      </c>
      <c r="AR17" s="407">
        <v>0.95099999999999996</v>
      </c>
      <c r="AS17" s="378" t="s">
        <v>1767</v>
      </c>
      <c r="AT17" s="395">
        <v>0.98299999999999998</v>
      </c>
      <c r="AU17" s="395">
        <v>0.98299999999999998</v>
      </c>
      <c r="AV17" s="378" t="s">
        <v>1768</v>
      </c>
      <c r="AW17" s="11" t="s">
        <v>316</v>
      </c>
      <c r="AX17" s="11" t="s">
        <v>317</v>
      </c>
      <c r="AY17" s="257">
        <v>14</v>
      </c>
      <c r="AZ17" s="259">
        <v>0</v>
      </c>
      <c r="BA17" s="60">
        <v>0</v>
      </c>
      <c r="BB17" s="60" t="s">
        <v>318</v>
      </c>
      <c r="BC17" s="259">
        <v>0</v>
      </c>
      <c r="BD17" s="60">
        <v>0</v>
      </c>
      <c r="BE17" s="60" t="s">
        <v>319</v>
      </c>
      <c r="BF17" s="259">
        <v>0</v>
      </c>
      <c r="BG17" s="60">
        <v>0</v>
      </c>
      <c r="BH17" s="60" t="s">
        <v>320</v>
      </c>
      <c r="BI17" s="259">
        <v>0</v>
      </c>
      <c r="BJ17" s="60">
        <v>0</v>
      </c>
      <c r="BK17" s="60" t="s">
        <v>320</v>
      </c>
      <c r="BL17" s="259">
        <v>0</v>
      </c>
      <c r="BM17" s="60">
        <v>0</v>
      </c>
      <c r="BN17" s="60" t="s">
        <v>320</v>
      </c>
      <c r="BO17" s="132">
        <v>1</v>
      </c>
      <c r="BP17" s="60">
        <v>7.0000000000000007E-2</v>
      </c>
      <c r="BQ17" s="60" t="s">
        <v>895</v>
      </c>
      <c r="BR17" s="132">
        <v>1</v>
      </c>
      <c r="BS17" s="60">
        <v>7.0000000000000007E-2</v>
      </c>
      <c r="BT17" s="60" t="s">
        <v>1265</v>
      </c>
      <c r="BU17" s="132">
        <v>1</v>
      </c>
      <c r="BV17" s="60">
        <v>7.0000000000000007E-2</v>
      </c>
      <c r="BW17" s="60" t="s">
        <v>1265</v>
      </c>
      <c r="BX17" s="132">
        <v>1</v>
      </c>
      <c r="BY17" s="60">
        <v>7.0000000000000007E-2</v>
      </c>
      <c r="BZ17" s="60" t="s">
        <v>1265</v>
      </c>
      <c r="CA17" s="132">
        <v>8</v>
      </c>
      <c r="CB17" s="60">
        <v>0.56999999999999995</v>
      </c>
      <c r="CC17" s="60" t="s">
        <v>1769</v>
      </c>
      <c r="CD17" s="132">
        <v>8</v>
      </c>
      <c r="CE17" s="60">
        <v>0.56999999999999995</v>
      </c>
      <c r="CF17" s="60" t="s">
        <v>1770</v>
      </c>
      <c r="CG17" s="132">
        <v>14</v>
      </c>
      <c r="CH17" s="60">
        <v>1</v>
      </c>
      <c r="CI17" s="60" t="s">
        <v>1771</v>
      </c>
      <c r="CJ17" s="11" t="s">
        <v>106</v>
      </c>
      <c r="CK17" s="11" t="s">
        <v>107</v>
      </c>
    </row>
    <row r="18" spans="1:174" s="4" customFormat="1" ht="85.5" customHeight="1" x14ac:dyDescent="0.2">
      <c r="A18" s="394"/>
      <c r="B18" s="394"/>
      <c r="C18" s="394"/>
      <c r="D18" s="394"/>
      <c r="E18" s="465"/>
      <c r="F18" s="394"/>
      <c r="G18" s="394"/>
      <c r="H18" s="401"/>
      <c r="I18" s="401"/>
      <c r="J18" s="394"/>
      <c r="K18" s="394"/>
      <c r="L18" s="406"/>
      <c r="M18" s="470"/>
      <c r="N18" s="470"/>
      <c r="O18" s="379"/>
      <c r="P18" s="470"/>
      <c r="Q18" s="470"/>
      <c r="R18" s="379"/>
      <c r="S18" s="402"/>
      <c r="T18" s="402"/>
      <c r="U18" s="379"/>
      <c r="V18" s="408"/>
      <c r="W18" s="408"/>
      <c r="X18" s="379"/>
      <c r="Y18" s="408"/>
      <c r="Z18" s="408"/>
      <c r="AA18" s="379"/>
      <c r="AB18" s="408"/>
      <c r="AC18" s="408"/>
      <c r="AD18" s="379"/>
      <c r="AE18" s="408"/>
      <c r="AF18" s="408"/>
      <c r="AG18" s="379"/>
      <c r="AH18" s="408"/>
      <c r="AI18" s="408"/>
      <c r="AJ18" s="379"/>
      <c r="AK18" s="396"/>
      <c r="AL18" s="396"/>
      <c r="AM18" s="379"/>
      <c r="AN18" s="408"/>
      <c r="AO18" s="408"/>
      <c r="AP18" s="379"/>
      <c r="AQ18" s="408"/>
      <c r="AR18" s="408"/>
      <c r="AS18" s="379"/>
      <c r="AT18" s="396"/>
      <c r="AU18" s="396"/>
      <c r="AV18" s="379"/>
      <c r="AW18" s="11" t="s">
        <v>321</v>
      </c>
      <c r="AX18" s="11" t="s">
        <v>322</v>
      </c>
      <c r="AY18" s="257">
        <v>357</v>
      </c>
      <c r="AZ18" s="259">
        <v>0</v>
      </c>
      <c r="BA18" s="60">
        <v>0</v>
      </c>
      <c r="BB18" s="60" t="s">
        <v>323</v>
      </c>
      <c r="BC18" s="259">
        <v>0</v>
      </c>
      <c r="BD18" s="60">
        <v>0</v>
      </c>
      <c r="BE18" s="60" t="s">
        <v>324</v>
      </c>
      <c r="BF18" s="77">
        <v>158</v>
      </c>
      <c r="BG18" s="60">
        <v>0.36</v>
      </c>
      <c r="BH18" s="60" t="s">
        <v>325</v>
      </c>
      <c r="BI18" s="77">
        <v>158</v>
      </c>
      <c r="BJ18" s="60">
        <v>0.36</v>
      </c>
      <c r="BK18" s="60" t="s">
        <v>898</v>
      </c>
      <c r="BL18" s="77">
        <v>158</v>
      </c>
      <c r="BM18" s="60">
        <v>0.36</v>
      </c>
      <c r="BN18" s="60" t="s">
        <v>897</v>
      </c>
      <c r="BO18" s="77">
        <v>158</v>
      </c>
      <c r="BP18" s="60">
        <v>0.36</v>
      </c>
      <c r="BQ18" s="60" t="s">
        <v>896</v>
      </c>
      <c r="BR18" s="77">
        <v>158</v>
      </c>
      <c r="BS18" s="60">
        <v>0.36</v>
      </c>
      <c r="BT18" s="60" t="s">
        <v>1266</v>
      </c>
      <c r="BU18" s="77">
        <v>158</v>
      </c>
      <c r="BV18" s="60">
        <v>0.36</v>
      </c>
      <c r="BW18" s="60" t="s">
        <v>1267</v>
      </c>
      <c r="BX18" s="77">
        <v>158</v>
      </c>
      <c r="BY18" s="60">
        <v>0.36</v>
      </c>
      <c r="BZ18" s="60" t="s">
        <v>1772</v>
      </c>
      <c r="CA18" s="77">
        <v>158</v>
      </c>
      <c r="CB18" s="60">
        <v>0.36</v>
      </c>
      <c r="CC18" s="60" t="s">
        <v>1773</v>
      </c>
      <c r="CD18" s="77">
        <v>158</v>
      </c>
      <c r="CE18" s="60">
        <v>0.36</v>
      </c>
      <c r="CF18" s="60" t="s">
        <v>1774</v>
      </c>
      <c r="CG18" s="77">
        <v>561</v>
      </c>
      <c r="CH18" s="60">
        <v>1.27</v>
      </c>
      <c r="CI18" s="60" t="s">
        <v>1775</v>
      </c>
      <c r="CJ18" s="11" t="s">
        <v>106</v>
      </c>
      <c r="CK18" s="11" t="s">
        <v>107</v>
      </c>
    </row>
    <row r="19" spans="1:174" s="4" customFormat="1" ht="45" customHeight="1" x14ac:dyDescent="0.2">
      <c r="A19" s="370"/>
      <c r="B19" s="370"/>
      <c r="C19" s="370"/>
      <c r="D19" s="370"/>
      <c r="E19" s="466"/>
      <c r="F19" s="370"/>
      <c r="G19" s="370"/>
      <c r="H19" s="401"/>
      <c r="I19" s="375"/>
      <c r="J19" s="370"/>
      <c r="K19" s="370"/>
      <c r="L19" s="372"/>
      <c r="M19" s="469"/>
      <c r="N19" s="469"/>
      <c r="O19" s="380"/>
      <c r="P19" s="469"/>
      <c r="Q19" s="469"/>
      <c r="R19" s="380"/>
      <c r="S19" s="367"/>
      <c r="T19" s="367"/>
      <c r="U19" s="380"/>
      <c r="V19" s="409"/>
      <c r="W19" s="409"/>
      <c r="X19" s="380"/>
      <c r="Y19" s="409"/>
      <c r="Z19" s="409"/>
      <c r="AA19" s="380"/>
      <c r="AB19" s="409"/>
      <c r="AC19" s="409"/>
      <c r="AD19" s="380"/>
      <c r="AE19" s="409"/>
      <c r="AF19" s="409"/>
      <c r="AG19" s="380"/>
      <c r="AH19" s="409"/>
      <c r="AI19" s="409"/>
      <c r="AJ19" s="380"/>
      <c r="AK19" s="397"/>
      <c r="AL19" s="397"/>
      <c r="AM19" s="380"/>
      <c r="AN19" s="409"/>
      <c r="AO19" s="409"/>
      <c r="AP19" s="380"/>
      <c r="AQ19" s="409"/>
      <c r="AR19" s="409"/>
      <c r="AS19" s="380"/>
      <c r="AT19" s="397"/>
      <c r="AU19" s="397"/>
      <c r="AV19" s="380"/>
      <c r="AW19" s="11" t="s">
        <v>326</v>
      </c>
      <c r="AX19" s="11" t="s">
        <v>327</v>
      </c>
      <c r="AY19" s="258">
        <v>0.04</v>
      </c>
      <c r="AZ19" s="259">
        <v>0</v>
      </c>
      <c r="BA19" s="60">
        <v>0</v>
      </c>
      <c r="BB19" s="60" t="s">
        <v>147</v>
      </c>
      <c r="BC19" s="259">
        <v>0</v>
      </c>
      <c r="BD19" s="60">
        <v>0</v>
      </c>
      <c r="BE19" s="60" t="s">
        <v>147</v>
      </c>
      <c r="BF19" s="259">
        <v>0</v>
      </c>
      <c r="BG19" s="60">
        <v>0</v>
      </c>
      <c r="BH19" s="60" t="s">
        <v>147</v>
      </c>
      <c r="BI19" s="259">
        <v>0</v>
      </c>
      <c r="BJ19" s="60">
        <v>0</v>
      </c>
      <c r="BK19" s="60" t="s">
        <v>147</v>
      </c>
      <c r="BL19" s="259">
        <v>0</v>
      </c>
      <c r="BM19" s="60">
        <v>0</v>
      </c>
      <c r="BN19" s="60" t="s">
        <v>147</v>
      </c>
      <c r="BO19" s="259">
        <v>0</v>
      </c>
      <c r="BP19" s="60">
        <v>0</v>
      </c>
      <c r="BQ19" s="60" t="s">
        <v>147</v>
      </c>
      <c r="BR19" s="259">
        <v>0</v>
      </c>
      <c r="BS19" s="60">
        <v>0</v>
      </c>
      <c r="BT19" s="60" t="s">
        <v>147</v>
      </c>
      <c r="BU19" s="259">
        <v>0</v>
      </c>
      <c r="BV19" s="60">
        <v>0</v>
      </c>
      <c r="BW19" s="60" t="s">
        <v>147</v>
      </c>
      <c r="BX19" s="259">
        <v>0</v>
      </c>
      <c r="BY19" s="60">
        <v>0</v>
      </c>
      <c r="BZ19" s="60" t="s">
        <v>147</v>
      </c>
      <c r="CA19" s="259">
        <v>0</v>
      </c>
      <c r="CB19" s="60">
        <v>0</v>
      </c>
      <c r="CC19" s="60" t="s">
        <v>147</v>
      </c>
      <c r="CD19" s="259">
        <v>0</v>
      </c>
      <c r="CE19" s="60">
        <v>0</v>
      </c>
      <c r="CF19" s="60" t="s">
        <v>147</v>
      </c>
      <c r="CG19" s="63">
        <v>3.6299999999999999E-2</v>
      </c>
      <c r="CH19" s="60">
        <v>0.91</v>
      </c>
      <c r="CI19" s="60" t="s">
        <v>1776</v>
      </c>
      <c r="CJ19" s="11" t="s">
        <v>106</v>
      </c>
      <c r="CK19" s="11" t="s">
        <v>107</v>
      </c>
    </row>
    <row r="20" spans="1:174" ht="75" x14ac:dyDescent="0.25">
      <c r="H20" s="401"/>
      <c r="M20" s="56" t="s">
        <v>161</v>
      </c>
      <c r="N20" s="67">
        <f>AVERAGE(N17:N19)</f>
        <v>3.2199999999999999E-2</v>
      </c>
      <c r="P20" s="56" t="s">
        <v>161</v>
      </c>
      <c r="Q20" s="67">
        <f>AVERAGE(Q17:Q19)</f>
        <v>0.10390000000000001</v>
      </c>
      <c r="S20" s="56" t="s">
        <v>161</v>
      </c>
      <c r="T20" s="67">
        <f>AVERAGE(T17:T19)</f>
        <v>0.19</v>
      </c>
      <c r="V20" s="56" t="s">
        <v>161</v>
      </c>
      <c r="W20" s="67">
        <f>AVERAGE(W17)</f>
        <v>0.27500000000000002</v>
      </c>
      <c r="Y20" s="56" t="s">
        <v>161</v>
      </c>
      <c r="Z20" s="67">
        <v>0.38900000000000001</v>
      </c>
      <c r="AB20" s="56" t="s">
        <v>161</v>
      </c>
      <c r="AC20" s="67">
        <v>0.46400000000000002</v>
      </c>
      <c r="AE20" s="56" t="s">
        <v>161</v>
      </c>
      <c r="AF20" s="217">
        <f>AVERAGE(AF17)</f>
        <v>0.54100000000000004</v>
      </c>
      <c r="AH20" s="56" t="s">
        <v>161</v>
      </c>
      <c r="AI20" s="217">
        <f>AI17</f>
        <v>0.61199999999999999</v>
      </c>
      <c r="AK20" s="56" t="s">
        <v>161</v>
      </c>
      <c r="AL20" s="67">
        <f>AL17</f>
        <v>0.68500000000000005</v>
      </c>
      <c r="AN20" s="56" t="s">
        <v>161</v>
      </c>
      <c r="AO20" s="74">
        <f>AO17</f>
        <v>0.83399999999999996</v>
      </c>
      <c r="AQ20" s="56" t="s">
        <v>161</v>
      </c>
      <c r="AR20" s="74">
        <f>AR17</f>
        <v>0.95099999999999996</v>
      </c>
      <c r="AT20" s="56" t="s">
        <v>161</v>
      </c>
      <c r="AU20" s="74">
        <f>AU17</f>
        <v>0.98299999999999998</v>
      </c>
      <c r="AZ20" s="56" t="s">
        <v>162</v>
      </c>
      <c r="BA20" s="67">
        <f>AVERAGE(BA17:BA19)</f>
        <v>0</v>
      </c>
      <c r="BC20" s="56" t="s">
        <v>162</v>
      </c>
      <c r="BD20" s="67">
        <f>AVERAGE(BD17:BD19)</f>
        <v>0</v>
      </c>
      <c r="BF20" s="56" t="s">
        <v>162</v>
      </c>
      <c r="BG20" s="67">
        <f>AVERAGE(BG17:BG19)</f>
        <v>0.12</v>
      </c>
      <c r="BH20" s="7"/>
      <c r="BI20" s="56" t="s">
        <v>162</v>
      </c>
      <c r="BJ20" s="67">
        <f>AVERAGE(BJ17:BJ18)</f>
        <v>0.18</v>
      </c>
      <c r="BK20" s="7"/>
      <c r="BL20" s="56" t="s">
        <v>162</v>
      </c>
      <c r="BM20" s="67">
        <f>AVERAGE(BM17:BM18)</f>
        <v>0.18</v>
      </c>
      <c r="BN20" s="7"/>
      <c r="BO20" s="56" t="s">
        <v>162</v>
      </c>
      <c r="BP20" s="67">
        <f>AVERAGE(BP17:BP18)</f>
        <v>0.215</v>
      </c>
      <c r="BQ20" s="7"/>
      <c r="BR20" s="56" t="s">
        <v>162</v>
      </c>
      <c r="BS20" s="67">
        <f>AVERAGE(BS17:BS19)</f>
        <v>0.14333333333333334</v>
      </c>
      <c r="BT20" s="7"/>
      <c r="BU20" s="56" t="s">
        <v>162</v>
      </c>
      <c r="BV20" s="67">
        <f>AVERAGE(BV17:BV19)</f>
        <v>0.14333333333333334</v>
      </c>
      <c r="BW20" s="7"/>
      <c r="BX20" s="56" t="s">
        <v>162</v>
      </c>
      <c r="BY20" s="67">
        <f>AVERAGE(BY17:BY19)</f>
        <v>0.14333333333333334</v>
      </c>
      <c r="BZ20" s="7"/>
      <c r="CA20" s="56" t="s">
        <v>162</v>
      </c>
      <c r="CB20" s="67">
        <f>AVERAGE(CB17:CB18)</f>
        <v>0.46499999999999997</v>
      </c>
      <c r="CC20" s="7"/>
      <c r="CD20" s="56" t="s">
        <v>162</v>
      </c>
      <c r="CE20" s="67">
        <f>AVERAGE(CE17:CE18)</f>
        <v>0.46499999999999997</v>
      </c>
      <c r="CF20" s="7"/>
      <c r="CG20" s="56" t="s">
        <v>162</v>
      </c>
      <c r="CH20" s="67">
        <f>AVERAGE(CH12:CH14)</f>
        <v>1.0633333333333335</v>
      </c>
      <c r="CI20" s="7"/>
      <c r="CJ20" s="7"/>
      <c r="CK20" s="7"/>
      <c r="FO20"/>
      <c r="FP20"/>
      <c r="FQ20"/>
      <c r="FR20"/>
    </row>
    <row r="21" spans="1:174" s="4" customFormat="1" ht="45" customHeight="1" x14ac:dyDescent="0.2">
      <c r="A21" s="369" t="s">
        <v>84</v>
      </c>
      <c r="B21" s="369" t="s">
        <v>274</v>
      </c>
      <c r="C21" s="369" t="s">
        <v>2717</v>
      </c>
      <c r="D21" s="369" t="s">
        <v>49</v>
      </c>
      <c r="E21" s="369" t="s">
        <v>328</v>
      </c>
      <c r="F21" s="369" t="s">
        <v>88</v>
      </c>
      <c r="G21" s="369" t="s">
        <v>276</v>
      </c>
      <c r="H21" s="401"/>
      <c r="I21" s="374">
        <v>1210333368</v>
      </c>
      <c r="J21" s="369" t="s">
        <v>329</v>
      </c>
      <c r="K21" s="369" t="s">
        <v>330</v>
      </c>
      <c r="L21" s="436">
        <v>18299</v>
      </c>
      <c r="M21" s="459">
        <v>1884</v>
      </c>
      <c r="N21" s="366">
        <v>0.10299999999999999</v>
      </c>
      <c r="O21" s="378" t="s">
        <v>331</v>
      </c>
      <c r="P21" s="459">
        <v>3888</v>
      </c>
      <c r="Q21" s="366">
        <v>0.21</v>
      </c>
      <c r="R21" s="378" t="s">
        <v>332</v>
      </c>
      <c r="S21" s="459">
        <v>5989</v>
      </c>
      <c r="T21" s="366">
        <v>0.33</v>
      </c>
      <c r="U21" s="378" t="s">
        <v>333</v>
      </c>
      <c r="V21" s="414">
        <v>7865</v>
      </c>
      <c r="W21" s="378">
        <v>0.43</v>
      </c>
      <c r="X21" s="378" t="s">
        <v>883</v>
      </c>
      <c r="Y21" s="414">
        <v>9646</v>
      </c>
      <c r="Z21" s="378">
        <v>0.53</v>
      </c>
      <c r="AA21" s="378" t="s">
        <v>882</v>
      </c>
      <c r="AB21" s="414">
        <v>11458</v>
      </c>
      <c r="AC21" s="378">
        <v>0.63</v>
      </c>
      <c r="AD21" s="378" t="s">
        <v>881</v>
      </c>
      <c r="AE21" s="414">
        <v>13364</v>
      </c>
      <c r="AF21" s="378">
        <v>0.73</v>
      </c>
      <c r="AG21" s="378" t="s">
        <v>1252</v>
      </c>
      <c r="AH21" s="414">
        <v>15289</v>
      </c>
      <c r="AI21" s="378">
        <v>0.84</v>
      </c>
      <c r="AJ21" s="378" t="s">
        <v>1251</v>
      </c>
      <c r="AK21" s="414">
        <v>17179</v>
      </c>
      <c r="AL21" s="378">
        <v>0.77</v>
      </c>
      <c r="AM21" s="378" t="s">
        <v>1250</v>
      </c>
      <c r="AN21" s="414">
        <v>19162</v>
      </c>
      <c r="AO21" s="395">
        <v>0.85370000000000001</v>
      </c>
      <c r="AP21" s="378" t="s">
        <v>1777</v>
      </c>
      <c r="AQ21" s="414">
        <v>21086</v>
      </c>
      <c r="AR21" s="395">
        <v>0.93940000000000001</v>
      </c>
      <c r="AS21" s="378" t="s">
        <v>1778</v>
      </c>
      <c r="AT21" s="414">
        <v>22995</v>
      </c>
      <c r="AU21" s="395">
        <v>1.0244</v>
      </c>
      <c r="AV21" s="378" t="s">
        <v>1779</v>
      </c>
      <c r="AW21" s="11" t="s">
        <v>334</v>
      </c>
      <c r="AX21" s="11" t="s">
        <v>335</v>
      </c>
      <c r="AY21" s="257">
        <v>1920</v>
      </c>
      <c r="AZ21" s="77">
        <v>82</v>
      </c>
      <c r="BA21" s="60">
        <v>4.2999999999999997E-2</v>
      </c>
      <c r="BB21" s="60" t="s">
        <v>336</v>
      </c>
      <c r="BC21" s="77">
        <v>271</v>
      </c>
      <c r="BD21" s="60">
        <v>0.14000000000000001</v>
      </c>
      <c r="BE21" s="60" t="s">
        <v>337</v>
      </c>
      <c r="BF21" s="77">
        <v>446</v>
      </c>
      <c r="BG21" s="60">
        <v>0.23</v>
      </c>
      <c r="BH21" s="110" t="s">
        <v>338</v>
      </c>
      <c r="BI21" s="133">
        <v>637</v>
      </c>
      <c r="BJ21" s="110">
        <v>0.33</v>
      </c>
      <c r="BK21" s="110" t="s">
        <v>901</v>
      </c>
      <c r="BL21" s="133">
        <v>798</v>
      </c>
      <c r="BM21" s="110">
        <v>0.42</v>
      </c>
      <c r="BN21" s="110" t="s">
        <v>900</v>
      </c>
      <c r="BO21" s="133">
        <v>968</v>
      </c>
      <c r="BP21" s="110">
        <v>0.5</v>
      </c>
      <c r="BQ21" s="110" t="s">
        <v>899</v>
      </c>
      <c r="BR21" s="133">
        <v>1144</v>
      </c>
      <c r="BS21" s="110">
        <v>0.6</v>
      </c>
      <c r="BT21" s="110" t="s">
        <v>1268</v>
      </c>
      <c r="BU21" s="133">
        <v>1326</v>
      </c>
      <c r="BV21" s="110">
        <v>0.69</v>
      </c>
      <c r="BW21" s="110" t="s">
        <v>1273</v>
      </c>
      <c r="BX21" s="133">
        <v>1491</v>
      </c>
      <c r="BY21" s="110">
        <v>0.78</v>
      </c>
      <c r="BZ21" s="110" t="s">
        <v>1274</v>
      </c>
      <c r="CA21" s="133">
        <v>1679</v>
      </c>
      <c r="CB21" s="280">
        <v>0.87450000000000006</v>
      </c>
      <c r="CC21" s="110" t="s">
        <v>1780</v>
      </c>
      <c r="CD21" s="133">
        <v>1839</v>
      </c>
      <c r="CE21" s="280">
        <v>0.95779999999999998</v>
      </c>
      <c r="CF21" s="110" t="s">
        <v>1781</v>
      </c>
      <c r="CG21" s="133">
        <v>2041</v>
      </c>
      <c r="CH21" s="280">
        <v>1.0629999999999999</v>
      </c>
      <c r="CI21" s="110" t="s">
        <v>1782</v>
      </c>
      <c r="CJ21" s="11" t="s">
        <v>106</v>
      </c>
      <c r="CK21" s="11" t="s">
        <v>107</v>
      </c>
    </row>
    <row r="22" spans="1:174" s="4" customFormat="1" ht="45" customHeight="1" x14ac:dyDescent="0.2">
      <c r="A22" s="394"/>
      <c r="B22" s="394"/>
      <c r="C22" s="394"/>
      <c r="D22" s="394"/>
      <c r="E22" s="394"/>
      <c r="F22" s="394"/>
      <c r="G22" s="394"/>
      <c r="H22" s="401"/>
      <c r="I22" s="401"/>
      <c r="J22" s="394"/>
      <c r="K22" s="394"/>
      <c r="L22" s="467"/>
      <c r="M22" s="460"/>
      <c r="N22" s="402"/>
      <c r="O22" s="379"/>
      <c r="P22" s="460"/>
      <c r="Q22" s="402"/>
      <c r="R22" s="379"/>
      <c r="S22" s="460"/>
      <c r="T22" s="402"/>
      <c r="U22" s="379"/>
      <c r="V22" s="455"/>
      <c r="W22" s="379"/>
      <c r="X22" s="379"/>
      <c r="Y22" s="455"/>
      <c r="Z22" s="379"/>
      <c r="AA22" s="379"/>
      <c r="AB22" s="455"/>
      <c r="AC22" s="379"/>
      <c r="AD22" s="379"/>
      <c r="AE22" s="455"/>
      <c r="AF22" s="379"/>
      <c r="AG22" s="379"/>
      <c r="AH22" s="455"/>
      <c r="AI22" s="379"/>
      <c r="AJ22" s="379"/>
      <c r="AK22" s="455"/>
      <c r="AL22" s="379"/>
      <c r="AM22" s="379"/>
      <c r="AN22" s="455"/>
      <c r="AO22" s="396"/>
      <c r="AP22" s="379"/>
      <c r="AQ22" s="455"/>
      <c r="AR22" s="396"/>
      <c r="AS22" s="379"/>
      <c r="AT22" s="455"/>
      <c r="AU22" s="396"/>
      <c r="AV22" s="379"/>
      <c r="AW22" s="11" t="s">
        <v>339</v>
      </c>
      <c r="AX22" s="11" t="s">
        <v>340</v>
      </c>
      <c r="AY22" s="257">
        <v>17930</v>
      </c>
      <c r="AZ22" s="77">
        <v>1874</v>
      </c>
      <c r="BA22" s="109">
        <v>0.105</v>
      </c>
      <c r="BB22" s="60" t="s">
        <v>341</v>
      </c>
      <c r="BC22" s="77">
        <v>3775</v>
      </c>
      <c r="BD22" s="60">
        <v>0.21</v>
      </c>
      <c r="BE22" s="60" t="s">
        <v>342</v>
      </c>
      <c r="BF22" s="77">
        <v>5791</v>
      </c>
      <c r="BG22" s="60">
        <v>0.32</v>
      </c>
      <c r="BH22" s="110" t="s">
        <v>343</v>
      </c>
      <c r="BI22" s="133">
        <v>7598</v>
      </c>
      <c r="BJ22" s="110">
        <v>0.42</v>
      </c>
      <c r="BK22" s="110" t="s">
        <v>902</v>
      </c>
      <c r="BL22" s="133">
        <v>9334</v>
      </c>
      <c r="BM22" s="110">
        <v>0.52</v>
      </c>
      <c r="BN22" s="110" t="s">
        <v>903</v>
      </c>
      <c r="BO22" s="133">
        <v>11105</v>
      </c>
      <c r="BP22" s="110">
        <v>0.62</v>
      </c>
      <c r="BQ22" s="110" t="s">
        <v>904</v>
      </c>
      <c r="BR22" s="133">
        <v>1295</v>
      </c>
      <c r="BS22" s="110">
        <v>0.72</v>
      </c>
      <c r="BT22" s="110" t="s">
        <v>1270</v>
      </c>
      <c r="BU22" s="133">
        <v>14819</v>
      </c>
      <c r="BV22" s="110">
        <v>0.83</v>
      </c>
      <c r="BW22" s="110" t="s">
        <v>1275</v>
      </c>
      <c r="BX22" s="133">
        <v>16655</v>
      </c>
      <c r="BY22" s="110">
        <v>0.76</v>
      </c>
      <c r="BZ22" s="110" t="s">
        <v>1276</v>
      </c>
      <c r="CA22" s="133">
        <v>18569</v>
      </c>
      <c r="CB22" s="280">
        <v>0.85219999999999996</v>
      </c>
      <c r="CC22" s="110" t="s">
        <v>1783</v>
      </c>
      <c r="CD22" s="133">
        <v>1839</v>
      </c>
      <c r="CE22" s="280">
        <v>0.95779999999999998</v>
      </c>
      <c r="CF22" s="110" t="s">
        <v>1781</v>
      </c>
      <c r="CG22" s="133">
        <v>22289</v>
      </c>
      <c r="CH22" s="280">
        <v>1.0228999999999999</v>
      </c>
      <c r="CI22" s="110" t="s">
        <v>1784</v>
      </c>
      <c r="CJ22" s="11" t="s">
        <v>106</v>
      </c>
      <c r="CK22" s="11" t="s">
        <v>107</v>
      </c>
    </row>
    <row r="23" spans="1:174" s="4" customFormat="1" ht="45" customHeight="1" x14ac:dyDescent="0.2">
      <c r="A23" s="394"/>
      <c r="B23" s="394"/>
      <c r="C23" s="394"/>
      <c r="D23" s="394"/>
      <c r="E23" s="394"/>
      <c r="F23" s="394"/>
      <c r="G23" s="394"/>
      <c r="H23" s="401"/>
      <c r="I23" s="401"/>
      <c r="J23" s="394"/>
      <c r="K23" s="394"/>
      <c r="L23" s="467"/>
      <c r="M23" s="460"/>
      <c r="N23" s="402"/>
      <c r="O23" s="379"/>
      <c r="P23" s="460"/>
      <c r="Q23" s="402"/>
      <c r="R23" s="379"/>
      <c r="S23" s="460"/>
      <c r="T23" s="402"/>
      <c r="U23" s="379"/>
      <c r="V23" s="455"/>
      <c r="W23" s="379"/>
      <c r="X23" s="379"/>
      <c r="Y23" s="455"/>
      <c r="Z23" s="379"/>
      <c r="AA23" s="379"/>
      <c r="AB23" s="455"/>
      <c r="AC23" s="379"/>
      <c r="AD23" s="379"/>
      <c r="AE23" s="455"/>
      <c r="AF23" s="379"/>
      <c r="AG23" s="379"/>
      <c r="AH23" s="455"/>
      <c r="AI23" s="379"/>
      <c r="AJ23" s="379"/>
      <c r="AK23" s="455"/>
      <c r="AL23" s="379"/>
      <c r="AM23" s="379"/>
      <c r="AN23" s="455"/>
      <c r="AO23" s="396"/>
      <c r="AP23" s="379"/>
      <c r="AQ23" s="455"/>
      <c r="AR23" s="396"/>
      <c r="AS23" s="379"/>
      <c r="AT23" s="455"/>
      <c r="AU23" s="396"/>
      <c r="AV23" s="379"/>
      <c r="AW23" s="11" t="s">
        <v>344</v>
      </c>
      <c r="AX23" s="11" t="s">
        <v>345</v>
      </c>
      <c r="AY23" s="258">
        <v>0.79</v>
      </c>
      <c r="AZ23" s="259">
        <v>0</v>
      </c>
      <c r="BA23" s="60">
        <v>0</v>
      </c>
      <c r="BB23" s="60" t="s">
        <v>346</v>
      </c>
      <c r="BC23" s="259">
        <v>0</v>
      </c>
      <c r="BD23" s="60">
        <v>0</v>
      </c>
      <c r="BE23" s="60" t="s">
        <v>346</v>
      </c>
      <c r="BF23" s="259">
        <v>0</v>
      </c>
      <c r="BG23" s="60">
        <v>0</v>
      </c>
      <c r="BH23" s="60" t="s">
        <v>346</v>
      </c>
      <c r="BI23" s="60">
        <v>0</v>
      </c>
      <c r="BJ23" s="60">
        <v>0</v>
      </c>
      <c r="BK23" s="60" t="s">
        <v>346</v>
      </c>
      <c r="BL23" s="60">
        <v>0</v>
      </c>
      <c r="BM23" s="60">
        <v>0</v>
      </c>
      <c r="BN23" s="60" t="s">
        <v>346</v>
      </c>
      <c r="BO23" s="60">
        <v>0</v>
      </c>
      <c r="BP23" s="60">
        <v>0</v>
      </c>
      <c r="BQ23" s="60" t="s">
        <v>906</v>
      </c>
      <c r="BR23" s="60">
        <v>0</v>
      </c>
      <c r="BS23" s="60">
        <v>0</v>
      </c>
      <c r="BT23" s="60" t="s">
        <v>906</v>
      </c>
      <c r="BU23" s="60">
        <v>0</v>
      </c>
      <c r="BV23" s="60">
        <v>0</v>
      </c>
      <c r="BW23" s="60" t="s">
        <v>906</v>
      </c>
      <c r="BX23" s="60">
        <v>0</v>
      </c>
      <c r="BY23" s="60">
        <v>0</v>
      </c>
      <c r="BZ23" s="60" t="s">
        <v>906</v>
      </c>
      <c r="CA23" s="60">
        <v>0</v>
      </c>
      <c r="CB23" s="60">
        <v>0</v>
      </c>
      <c r="CC23" s="60" t="s">
        <v>906</v>
      </c>
      <c r="CD23" s="60">
        <v>0</v>
      </c>
      <c r="CE23" s="60">
        <v>0</v>
      </c>
      <c r="CF23" s="60" t="s">
        <v>906</v>
      </c>
      <c r="CG23" s="60">
        <v>0.77</v>
      </c>
      <c r="CH23" s="76">
        <v>0.97</v>
      </c>
      <c r="CI23" s="60" t="s">
        <v>1785</v>
      </c>
      <c r="CJ23" s="11" t="s">
        <v>106</v>
      </c>
      <c r="CK23" s="11" t="s">
        <v>107</v>
      </c>
    </row>
    <row r="24" spans="1:174" s="4" customFormat="1" ht="45" customHeight="1" x14ac:dyDescent="0.2">
      <c r="A24" s="394"/>
      <c r="B24" s="394"/>
      <c r="C24" s="394"/>
      <c r="D24" s="394"/>
      <c r="E24" s="394"/>
      <c r="F24" s="394"/>
      <c r="G24" s="394"/>
      <c r="H24" s="401"/>
      <c r="I24" s="401"/>
      <c r="J24" s="394"/>
      <c r="K24" s="394"/>
      <c r="L24" s="467"/>
      <c r="M24" s="460"/>
      <c r="N24" s="402"/>
      <c r="O24" s="379"/>
      <c r="P24" s="460"/>
      <c r="Q24" s="402"/>
      <c r="R24" s="379"/>
      <c r="S24" s="460"/>
      <c r="T24" s="402"/>
      <c r="U24" s="379"/>
      <c r="V24" s="455"/>
      <c r="W24" s="379"/>
      <c r="X24" s="379"/>
      <c r="Y24" s="455"/>
      <c r="Z24" s="379"/>
      <c r="AA24" s="379"/>
      <c r="AB24" s="455"/>
      <c r="AC24" s="379"/>
      <c r="AD24" s="379"/>
      <c r="AE24" s="455"/>
      <c r="AF24" s="379"/>
      <c r="AG24" s="379"/>
      <c r="AH24" s="455"/>
      <c r="AI24" s="379"/>
      <c r="AJ24" s="379"/>
      <c r="AK24" s="455"/>
      <c r="AL24" s="379"/>
      <c r="AM24" s="379"/>
      <c r="AN24" s="455"/>
      <c r="AO24" s="396"/>
      <c r="AP24" s="379"/>
      <c r="AQ24" s="455"/>
      <c r="AR24" s="396"/>
      <c r="AS24" s="379"/>
      <c r="AT24" s="455"/>
      <c r="AU24" s="396"/>
      <c r="AV24" s="379"/>
      <c r="AW24" s="11" t="s">
        <v>347</v>
      </c>
      <c r="AX24" s="11" t="s">
        <v>348</v>
      </c>
      <c r="AY24" s="258">
        <v>0.83</v>
      </c>
      <c r="AZ24" s="259">
        <v>0</v>
      </c>
      <c r="BA24" s="60">
        <v>0</v>
      </c>
      <c r="BB24" s="60" t="s">
        <v>346</v>
      </c>
      <c r="BC24" s="259">
        <v>0</v>
      </c>
      <c r="BD24" s="60">
        <v>0</v>
      </c>
      <c r="BE24" s="60" t="s">
        <v>346</v>
      </c>
      <c r="BF24" s="259">
        <v>0</v>
      </c>
      <c r="BG24" s="60">
        <v>0</v>
      </c>
      <c r="BH24" s="60" t="s">
        <v>346</v>
      </c>
      <c r="BI24" s="60">
        <v>0</v>
      </c>
      <c r="BJ24" s="60">
        <v>0</v>
      </c>
      <c r="BK24" s="60" t="s">
        <v>346</v>
      </c>
      <c r="BL24" s="60">
        <v>0</v>
      </c>
      <c r="BM24" s="60">
        <v>0</v>
      </c>
      <c r="BN24" s="60" t="s">
        <v>346</v>
      </c>
      <c r="BO24" s="60">
        <v>0</v>
      </c>
      <c r="BP24" s="60">
        <v>0</v>
      </c>
      <c r="BQ24" s="60" t="s">
        <v>905</v>
      </c>
      <c r="BR24" s="60">
        <v>0</v>
      </c>
      <c r="BS24" s="60">
        <v>0</v>
      </c>
      <c r="BT24" s="60" t="s">
        <v>905</v>
      </c>
      <c r="BU24" s="60">
        <v>0</v>
      </c>
      <c r="BV24" s="60">
        <v>0</v>
      </c>
      <c r="BW24" s="60" t="s">
        <v>905</v>
      </c>
      <c r="BX24" s="60">
        <v>0</v>
      </c>
      <c r="BY24" s="60">
        <v>0</v>
      </c>
      <c r="BZ24" s="60" t="s">
        <v>905</v>
      </c>
      <c r="CA24" s="60">
        <v>0</v>
      </c>
      <c r="CB24" s="60">
        <v>0</v>
      </c>
      <c r="CC24" s="60" t="s">
        <v>905</v>
      </c>
      <c r="CD24" s="60">
        <v>0</v>
      </c>
      <c r="CE24" s="60">
        <v>0</v>
      </c>
      <c r="CF24" s="60" t="s">
        <v>905</v>
      </c>
      <c r="CG24" s="60">
        <v>0.9</v>
      </c>
      <c r="CH24" s="76">
        <v>1.08</v>
      </c>
      <c r="CI24" s="60" t="s">
        <v>1786</v>
      </c>
      <c r="CJ24" s="11" t="s">
        <v>106</v>
      </c>
      <c r="CK24" s="11" t="s">
        <v>107</v>
      </c>
    </row>
    <row r="25" spans="1:174" s="4" customFormat="1" ht="45" customHeight="1" x14ac:dyDescent="0.2">
      <c r="A25" s="370"/>
      <c r="B25" s="370"/>
      <c r="C25" s="370"/>
      <c r="D25" s="370"/>
      <c r="E25" s="370"/>
      <c r="F25" s="370"/>
      <c r="G25" s="370"/>
      <c r="H25" s="401"/>
      <c r="I25" s="375"/>
      <c r="J25" s="370"/>
      <c r="K25" s="370"/>
      <c r="L25" s="437"/>
      <c r="M25" s="461"/>
      <c r="N25" s="367"/>
      <c r="O25" s="380"/>
      <c r="P25" s="461"/>
      <c r="Q25" s="367"/>
      <c r="R25" s="380"/>
      <c r="S25" s="461"/>
      <c r="T25" s="367"/>
      <c r="U25" s="380"/>
      <c r="V25" s="415"/>
      <c r="W25" s="380"/>
      <c r="X25" s="380"/>
      <c r="Y25" s="415"/>
      <c r="Z25" s="380"/>
      <c r="AA25" s="380"/>
      <c r="AB25" s="415"/>
      <c r="AC25" s="380"/>
      <c r="AD25" s="380"/>
      <c r="AE25" s="415"/>
      <c r="AF25" s="380"/>
      <c r="AG25" s="380"/>
      <c r="AH25" s="415"/>
      <c r="AI25" s="380"/>
      <c r="AJ25" s="380"/>
      <c r="AK25" s="415"/>
      <c r="AL25" s="380"/>
      <c r="AM25" s="380"/>
      <c r="AN25" s="415"/>
      <c r="AO25" s="397"/>
      <c r="AP25" s="380"/>
      <c r="AQ25" s="415"/>
      <c r="AR25" s="397"/>
      <c r="AS25" s="380"/>
      <c r="AT25" s="415"/>
      <c r="AU25" s="397"/>
      <c r="AV25" s="380"/>
      <c r="AW25" s="11" t="s">
        <v>349</v>
      </c>
      <c r="AX25" s="11" t="s">
        <v>350</v>
      </c>
      <c r="AY25" s="16">
        <v>8.5000000000000006E-2</v>
      </c>
      <c r="AZ25" s="80">
        <v>5.1299999999999998E-2</v>
      </c>
      <c r="BA25" s="60">
        <v>0.18</v>
      </c>
      <c r="BB25" s="60" t="s">
        <v>351</v>
      </c>
      <c r="BC25" s="80">
        <v>5.5800000000000002E-2</v>
      </c>
      <c r="BD25" s="60">
        <v>0.253</v>
      </c>
      <c r="BE25" s="60" t="s">
        <v>352</v>
      </c>
      <c r="BF25" s="80">
        <v>5.7599999999999998E-2</v>
      </c>
      <c r="BG25" s="60">
        <v>0.36799999999999999</v>
      </c>
      <c r="BH25" s="60" t="s">
        <v>353</v>
      </c>
      <c r="BI25" s="60" t="s">
        <v>909</v>
      </c>
      <c r="BJ25" s="60">
        <v>0.51200000000000001</v>
      </c>
      <c r="BK25" s="60" t="s">
        <v>910</v>
      </c>
      <c r="BL25" s="76">
        <v>5.5199999999999999E-2</v>
      </c>
      <c r="BM25" s="60">
        <v>0.64100000000000001</v>
      </c>
      <c r="BN25" s="60" t="s">
        <v>908</v>
      </c>
      <c r="BO25" s="76">
        <v>5.5100000000000003E-2</v>
      </c>
      <c r="BP25" s="60">
        <v>0.77</v>
      </c>
      <c r="BQ25" s="60" t="s">
        <v>907</v>
      </c>
      <c r="BR25" s="76">
        <v>5.5100000000000003E-2</v>
      </c>
      <c r="BS25" s="76">
        <v>0.89700000000000002</v>
      </c>
      <c r="BT25" s="60" t="s">
        <v>1269</v>
      </c>
      <c r="BU25" s="76">
        <v>5.4600000000000003E-2</v>
      </c>
      <c r="BV25" s="60">
        <v>1.04</v>
      </c>
      <c r="BW25" s="60" t="s">
        <v>1279</v>
      </c>
      <c r="BX25" s="60" t="s">
        <v>1278</v>
      </c>
      <c r="BY25" s="60">
        <v>0.89</v>
      </c>
      <c r="BZ25" s="60" t="s">
        <v>1277</v>
      </c>
      <c r="CA25" s="76">
        <v>5.2900000000000003E-2</v>
      </c>
      <c r="CB25" s="76">
        <v>0.92100000000000004</v>
      </c>
      <c r="CC25" s="60" t="s">
        <v>1787</v>
      </c>
      <c r="CD25" s="76">
        <v>5.2699999999999997E-2</v>
      </c>
      <c r="CE25" s="76">
        <v>1.1274</v>
      </c>
      <c r="CF25" s="60" t="s">
        <v>1788</v>
      </c>
      <c r="CG25" s="76">
        <v>5.2299999999999999E-2</v>
      </c>
      <c r="CH25" s="281">
        <v>1.1366000000000001</v>
      </c>
      <c r="CI25" s="60" t="s">
        <v>1789</v>
      </c>
      <c r="CJ25" s="11" t="s">
        <v>106</v>
      </c>
      <c r="CK25" s="11" t="s">
        <v>107</v>
      </c>
    </row>
    <row r="26" spans="1:174" ht="75" x14ac:dyDescent="0.25">
      <c r="H26" s="401"/>
      <c r="M26" s="56" t="s">
        <v>161</v>
      </c>
      <c r="N26" s="67">
        <f>AVERAGE(N21:N25)</f>
        <v>0.10299999999999999</v>
      </c>
      <c r="P26" s="56" t="s">
        <v>161</v>
      </c>
      <c r="Q26" s="67">
        <f>AVERAGE(Q21:Q25)</f>
        <v>0.21</v>
      </c>
      <c r="S26" s="56" t="s">
        <v>161</v>
      </c>
      <c r="T26" s="67">
        <f>AVERAGE(T21:T25)</f>
        <v>0.33</v>
      </c>
      <c r="V26" s="56" t="s">
        <v>161</v>
      </c>
      <c r="W26" s="67">
        <v>0.43</v>
      </c>
      <c r="Y26" s="56" t="s">
        <v>161</v>
      </c>
      <c r="Z26" s="67">
        <v>0.53</v>
      </c>
      <c r="AB26" s="56" t="s">
        <v>161</v>
      </c>
      <c r="AC26" s="67">
        <v>0.63</v>
      </c>
      <c r="AE26" s="56" t="s">
        <v>161</v>
      </c>
      <c r="AF26" s="67">
        <f>AF21</f>
        <v>0.73</v>
      </c>
      <c r="AH26" s="56" t="s">
        <v>161</v>
      </c>
      <c r="AI26" s="67">
        <f>AI21</f>
        <v>0.84</v>
      </c>
      <c r="AK26" s="56" t="s">
        <v>161</v>
      </c>
      <c r="AL26" s="67">
        <f>AL21</f>
        <v>0.77</v>
      </c>
      <c r="AN26" s="56" t="s">
        <v>161</v>
      </c>
      <c r="AO26" s="74">
        <f>AO21</f>
        <v>0.85370000000000001</v>
      </c>
      <c r="AQ26" s="56" t="s">
        <v>161</v>
      </c>
      <c r="AR26" s="74">
        <f>AR21</f>
        <v>0.93940000000000001</v>
      </c>
      <c r="AT26" s="56" t="s">
        <v>161</v>
      </c>
      <c r="AU26" s="74">
        <f>AU21</f>
        <v>1.0244</v>
      </c>
      <c r="AZ26" s="56" t="s">
        <v>162</v>
      </c>
      <c r="BA26" s="67">
        <f>AVERAGE(BA21,BA22,BA25)</f>
        <v>0.10933333333333332</v>
      </c>
      <c r="BC26" s="56" t="s">
        <v>162</v>
      </c>
      <c r="BD26" s="67">
        <f>AVERAGE(BD21,BD22,BD25)</f>
        <v>0.20099999999999998</v>
      </c>
      <c r="BF26" s="56" t="s">
        <v>162</v>
      </c>
      <c r="BG26" s="67">
        <f>AVERAGE(BG21,BG22,BG25)</f>
        <v>0.30599999999999999</v>
      </c>
      <c r="BH26" s="7"/>
      <c r="BI26" s="56" t="s">
        <v>162</v>
      </c>
      <c r="BJ26" s="67">
        <f>AVERAGE(BJ21:BJ22,BJ25)</f>
        <v>0.42066666666666669</v>
      </c>
      <c r="BK26" s="7"/>
      <c r="BL26" s="56" t="s">
        <v>162</v>
      </c>
      <c r="BM26" s="67">
        <f>AVERAGE(BM18:BM20)</f>
        <v>0.18000000000000002</v>
      </c>
      <c r="BN26" s="7"/>
      <c r="BO26" s="56" t="s">
        <v>162</v>
      </c>
      <c r="BP26" s="67" t="s">
        <v>915</v>
      </c>
      <c r="BQ26" s="7"/>
      <c r="BR26" s="56" t="s">
        <v>162</v>
      </c>
      <c r="BS26" s="67">
        <f>AVERAGE(BS18:BS20)</f>
        <v>0.16777777777777778</v>
      </c>
      <c r="BT26" s="7"/>
      <c r="BU26" s="56" t="s">
        <v>162</v>
      </c>
      <c r="BV26" s="67">
        <f>AVERAGE(BV18:BV20)</f>
        <v>0.16777777777777778</v>
      </c>
      <c r="BW26" s="7"/>
      <c r="BX26" s="56" t="s">
        <v>162</v>
      </c>
      <c r="BY26" s="67">
        <f>AVERAGE(BY18:BY20)</f>
        <v>0.16777777777777778</v>
      </c>
      <c r="BZ26" s="7"/>
      <c r="CA26" s="56" t="s">
        <v>162</v>
      </c>
      <c r="CB26" s="74">
        <f>AVERAGE(CB21:CB25)</f>
        <v>0.52954000000000012</v>
      </c>
      <c r="CC26" s="7"/>
      <c r="CD26" s="56" t="s">
        <v>162</v>
      </c>
      <c r="CE26" s="74">
        <f>AVERAGE(CE21:CE25)</f>
        <v>0.60860000000000003</v>
      </c>
      <c r="CF26" s="7"/>
      <c r="CG26" s="56" t="s">
        <v>162</v>
      </c>
      <c r="CH26" s="74">
        <f>AVERAGE(CH21:CH25)</f>
        <v>1.0544999999999998</v>
      </c>
      <c r="CI26" s="7"/>
      <c r="CJ26" s="7"/>
      <c r="CK26" s="7"/>
      <c r="FO26"/>
      <c r="FP26"/>
      <c r="FQ26"/>
      <c r="FR26"/>
    </row>
    <row r="27" spans="1:174" s="4" customFormat="1" ht="113.25" customHeight="1" x14ac:dyDescent="0.2">
      <c r="A27" s="369" t="s">
        <v>84</v>
      </c>
      <c r="B27" s="369" t="s">
        <v>274</v>
      </c>
      <c r="C27" s="369" t="s">
        <v>2726</v>
      </c>
      <c r="D27" s="369" t="s">
        <v>49</v>
      </c>
      <c r="E27" s="369" t="s">
        <v>354</v>
      </c>
      <c r="F27" s="369" t="s">
        <v>88</v>
      </c>
      <c r="G27" s="369" t="s">
        <v>276</v>
      </c>
      <c r="H27" s="401"/>
      <c r="I27" s="374">
        <v>4422038151</v>
      </c>
      <c r="J27" s="369" t="s">
        <v>355</v>
      </c>
      <c r="K27" s="369" t="s">
        <v>356</v>
      </c>
      <c r="L27" s="436">
        <v>8</v>
      </c>
      <c r="M27" s="459">
        <v>0</v>
      </c>
      <c r="N27" s="366">
        <v>5.3800000000000001E-2</v>
      </c>
      <c r="O27" s="378" t="s">
        <v>357</v>
      </c>
      <c r="P27" s="459">
        <v>0</v>
      </c>
      <c r="Q27" s="366">
        <v>5.3800000000000001E-2</v>
      </c>
      <c r="R27" s="378" t="s">
        <v>358</v>
      </c>
      <c r="S27" s="459">
        <v>1</v>
      </c>
      <c r="T27" s="468">
        <v>0.125</v>
      </c>
      <c r="U27" s="378" t="s">
        <v>359</v>
      </c>
      <c r="V27" s="414">
        <v>1</v>
      </c>
      <c r="W27" s="378">
        <v>0.125</v>
      </c>
      <c r="X27" s="378" t="s">
        <v>884</v>
      </c>
      <c r="Y27" s="456">
        <v>3</v>
      </c>
      <c r="Z27" s="378">
        <v>0.375</v>
      </c>
      <c r="AA27" s="378" t="s">
        <v>885</v>
      </c>
      <c r="AB27" s="456">
        <v>3</v>
      </c>
      <c r="AC27" s="378">
        <v>0.375</v>
      </c>
      <c r="AD27" s="378" t="s">
        <v>885</v>
      </c>
      <c r="AE27" s="456">
        <v>4</v>
      </c>
      <c r="AF27" s="378">
        <v>0.5</v>
      </c>
      <c r="AG27" s="378" t="s">
        <v>1253</v>
      </c>
      <c r="AH27" s="456">
        <v>4</v>
      </c>
      <c r="AI27" s="378">
        <v>0.5</v>
      </c>
      <c r="AJ27" s="378" t="s">
        <v>1253</v>
      </c>
      <c r="AK27" s="456">
        <v>5</v>
      </c>
      <c r="AL27" s="378">
        <v>0.625</v>
      </c>
      <c r="AM27" s="378" t="s">
        <v>1254</v>
      </c>
      <c r="AN27" s="456">
        <v>6</v>
      </c>
      <c r="AO27" s="378">
        <v>0.75</v>
      </c>
      <c r="AP27" s="378" t="s">
        <v>1790</v>
      </c>
      <c r="AQ27" s="456">
        <v>6</v>
      </c>
      <c r="AR27" s="378">
        <v>0.75</v>
      </c>
      <c r="AS27" s="378" t="s">
        <v>1790</v>
      </c>
      <c r="AT27" s="456">
        <v>8</v>
      </c>
      <c r="AU27" s="378">
        <v>1</v>
      </c>
      <c r="AV27" s="378" t="s">
        <v>1791</v>
      </c>
      <c r="AW27" s="11" t="s">
        <v>360</v>
      </c>
      <c r="AX27" s="11" t="s">
        <v>361</v>
      </c>
      <c r="AY27" s="257">
        <v>100</v>
      </c>
      <c r="AZ27" s="77">
        <v>8</v>
      </c>
      <c r="BA27" s="60">
        <v>0.08</v>
      </c>
      <c r="BB27" s="60" t="s">
        <v>362</v>
      </c>
      <c r="BC27" s="77">
        <v>22</v>
      </c>
      <c r="BD27" s="60">
        <v>0.22</v>
      </c>
      <c r="BE27" s="60" t="s">
        <v>363</v>
      </c>
      <c r="BF27" s="77">
        <v>42</v>
      </c>
      <c r="BG27" s="60">
        <v>0.42</v>
      </c>
      <c r="BH27" s="60" t="s">
        <v>364</v>
      </c>
      <c r="BI27" s="132">
        <v>66</v>
      </c>
      <c r="BJ27" s="60">
        <v>0.66</v>
      </c>
      <c r="BK27" s="60" t="s">
        <v>911</v>
      </c>
      <c r="BL27" s="132">
        <v>80</v>
      </c>
      <c r="BM27" s="60">
        <v>0.8</v>
      </c>
      <c r="BN27" s="60" t="s">
        <v>912</v>
      </c>
      <c r="BO27" s="132">
        <v>92</v>
      </c>
      <c r="BP27" s="60">
        <v>0.92</v>
      </c>
      <c r="BQ27" s="60" t="s">
        <v>913</v>
      </c>
      <c r="BR27" s="132">
        <v>100</v>
      </c>
      <c r="BS27" s="60">
        <v>1</v>
      </c>
      <c r="BT27" s="60" t="s">
        <v>1271</v>
      </c>
      <c r="BU27" s="132">
        <v>140</v>
      </c>
      <c r="BV27" s="60">
        <v>1.4</v>
      </c>
      <c r="BW27" s="60" t="s">
        <v>1282</v>
      </c>
      <c r="BX27" s="132">
        <v>177</v>
      </c>
      <c r="BY27" s="60">
        <v>0.73</v>
      </c>
      <c r="BZ27" s="60" t="s">
        <v>1280</v>
      </c>
      <c r="CA27" s="132">
        <v>211</v>
      </c>
      <c r="CB27" s="76">
        <v>0.86829999999999996</v>
      </c>
      <c r="CC27" s="60" t="s">
        <v>1792</v>
      </c>
      <c r="CD27" s="132">
        <v>241</v>
      </c>
      <c r="CE27" s="76">
        <v>0.99180000000000001</v>
      </c>
      <c r="CF27" s="60" t="s">
        <v>1793</v>
      </c>
      <c r="CG27" s="132">
        <v>289</v>
      </c>
      <c r="CH27" s="76">
        <v>1.1893</v>
      </c>
      <c r="CI27" s="60" t="s">
        <v>1794</v>
      </c>
      <c r="CJ27" s="11" t="s">
        <v>106</v>
      </c>
      <c r="CK27" s="11" t="s">
        <v>107</v>
      </c>
    </row>
    <row r="28" spans="1:174" s="4" customFormat="1" ht="123.75" customHeight="1" x14ac:dyDescent="0.2">
      <c r="A28" s="370"/>
      <c r="B28" s="370"/>
      <c r="C28" s="370"/>
      <c r="D28" s="370"/>
      <c r="E28" s="370"/>
      <c r="F28" s="370"/>
      <c r="G28" s="370"/>
      <c r="H28" s="375"/>
      <c r="I28" s="375"/>
      <c r="J28" s="370"/>
      <c r="K28" s="370"/>
      <c r="L28" s="437"/>
      <c r="M28" s="461"/>
      <c r="N28" s="367"/>
      <c r="O28" s="380"/>
      <c r="P28" s="461"/>
      <c r="Q28" s="367"/>
      <c r="R28" s="380"/>
      <c r="S28" s="461"/>
      <c r="T28" s="469"/>
      <c r="U28" s="380"/>
      <c r="V28" s="415"/>
      <c r="W28" s="380"/>
      <c r="X28" s="380"/>
      <c r="Y28" s="457"/>
      <c r="Z28" s="380"/>
      <c r="AA28" s="380"/>
      <c r="AB28" s="457"/>
      <c r="AC28" s="380"/>
      <c r="AD28" s="380"/>
      <c r="AE28" s="457"/>
      <c r="AF28" s="380"/>
      <c r="AG28" s="380"/>
      <c r="AH28" s="457"/>
      <c r="AI28" s="380"/>
      <c r="AJ28" s="380"/>
      <c r="AK28" s="457"/>
      <c r="AL28" s="380"/>
      <c r="AM28" s="380"/>
      <c r="AN28" s="457"/>
      <c r="AO28" s="380"/>
      <c r="AP28" s="380"/>
      <c r="AQ28" s="457"/>
      <c r="AR28" s="380"/>
      <c r="AS28" s="380"/>
      <c r="AT28" s="457"/>
      <c r="AU28" s="380"/>
      <c r="AV28" s="380"/>
      <c r="AW28" s="11" t="s">
        <v>365</v>
      </c>
      <c r="AX28" s="11" t="s">
        <v>366</v>
      </c>
      <c r="AY28" s="257">
        <v>4</v>
      </c>
      <c r="AZ28" s="77">
        <v>0.8</v>
      </c>
      <c r="BA28" s="60">
        <v>0.2</v>
      </c>
      <c r="BB28" s="60" t="s">
        <v>367</v>
      </c>
      <c r="BC28" s="77">
        <v>0.8</v>
      </c>
      <c r="BD28" s="60">
        <v>0.2</v>
      </c>
      <c r="BE28" s="60" t="s">
        <v>367</v>
      </c>
      <c r="BF28" s="77">
        <v>0.8</v>
      </c>
      <c r="BG28" s="60">
        <v>0.2</v>
      </c>
      <c r="BH28" s="60" t="s">
        <v>368</v>
      </c>
      <c r="BI28" s="132">
        <v>1</v>
      </c>
      <c r="BJ28" s="60">
        <v>0.25</v>
      </c>
      <c r="BK28" s="60" t="s">
        <v>914</v>
      </c>
      <c r="BL28" s="132">
        <v>1</v>
      </c>
      <c r="BM28" s="60">
        <v>0.25</v>
      </c>
      <c r="BN28" s="60" t="s">
        <v>914</v>
      </c>
      <c r="BO28" s="132">
        <v>1</v>
      </c>
      <c r="BP28" s="60">
        <v>0.25</v>
      </c>
      <c r="BQ28" s="60" t="s">
        <v>914</v>
      </c>
      <c r="BR28" s="132">
        <v>1</v>
      </c>
      <c r="BS28" s="60">
        <v>0.25</v>
      </c>
      <c r="BT28" s="60" t="s">
        <v>1272</v>
      </c>
      <c r="BU28" s="132">
        <v>2</v>
      </c>
      <c r="BV28" s="60">
        <v>0.5</v>
      </c>
      <c r="BW28" s="60" t="s">
        <v>1283</v>
      </c>
      <c r="BX28" s="132">
        <v>2</v>
      </c>
      <c r="BY28" s="60">
        <v>0.5</v>
      </c>
      <c r="BZ28" s="60" t="s">
        <v>1281</v>
      </c>
      <c r="CA28" s="132">
        <v>2</v>
      </c>
      <c r="CB28" s="60">
        <v>0.5</v>
      </c>
      <c r="CC28" s="60" t="s">
        <v>1281</v>
      </c>
      <c r="CD28" s="132">
        <v>4</v>
      </c>
      <c r="CE28" s="76">
        <v>1</v>
      </c>
      <c r="CF28" s="60" t="s">
        <v>1795</v>
      </c>
      <c r="CG28" s="132">
        <v>4</v>
      </c>
      <c r="CH28" s="76">
        <v>1</v>
      </c>
      <c r="CI28" s="60" t="s">
        <v>1795</v>
      </c>
      <c r="CJ28" s="11" t="s">
        <v>106</v>
      </c>
      <c r="CK28" s="11" t="s">
        <v>107</v>
      </c>
    </row>
    <row r="29" spans="1:174" ht="75" x14ac:dyDescent="0.25">
      <c r="M29" s="56" t="s">
        <v>161</v>
      </c>
      <c r="N29" s="67">
        <f>AVERAGE(N27:N28)</f>
        <v>5.3800000000000001E-2</v>
      </c>
      <c r="P29" s="56" t="s">
        <v>161</v>
      </c>
      <c r="Q29" s="67">
        <f>AVERAGE(Q27:Q28)</f>
        <v>5.3800000000000001E-2</v>
      </c>
      <c r="S29" s="56" t="s">
        <v>161</v>
      </c>
      <c r="T29" s="67">
        <f>AVERAGE(T27:T28)</f>
        <v>0.125</v>
      </c>
      <c r="V29" s="56" t="s">
        <v>161</v>
      </c>
      <c r="W29" s="67">
        <v>0.13</v>
      </c>
      <c r="Y29" s="56" t="s">
        <v>161</v>
      </c>
      <c r="Z29" s="67">
        <v>0.38</v>
      </c>
      <c r="AB29" s="56" t="s">
        <v>161</v>
      </c>
      <c r="AC29" s="67">
        <v>0.38</v>
      </c>
      <c r="AE29" s="56" t="s">
        <v>161</v>
      </c>
      <c r="AF29" s="67">
        <f>AF27</f>
        <v>0.5</v>
      </c>
      <c r="AH29" s="56" t="s">
        <v>161</v>
      </c>
      <c r="AI29" s="67">
        <f>AI27</f>
        <v>0.5</v>
      </c>
      <c r="AK29" s="56" t="s">
        <v>161</v>
      </c>
      <c r="AL29" s="67">
        <f>AL27</f>
        <v>0.625</v>
      </c>
      <c r="AN29" s="56" t="s">
        <v>161</v>
      </c>
      <c r="AO29" s="67">
        <f>AO27</f>
        <v>0.75</v>
      </c>
      <c r="AQ29" s="56" t="s">
        <v>161</v>
      </c>
      <c r="AR29" s="67">
        <f>AR27</f>
        <v>0.75</v>
      </c>
      <c r="AT29" s="56" t="s">
        <v>161</v>
      </c>
      <c r="AU29" s="67">
        <f>AU27</f>
        <v>1</v>
      </c>
      <c r="AZ29" s="56" t="s">
        <v>162</v>
      </c>
      <c r="BA29" s="67">
        <f>AVERAGE(BA27:BA28)</f>
        <v>0.14000000000000001</v>
      </c>
      <c r="BC29" s="56" t="s">
        <v>162</v>
      </c>
      <c r="BD29" s="67">
        <f>AVERAGE(BD27:BD28)</f>
        <v>0.21000000000000002</v>
      </c>
      <c r="BF29" s="56" t="s">
        <v>162</v>
      </c>
      <c r="BG29" s="67">
        <f>AVERAGE(BG27:BG28)</f>
        <v>0.31</v>
      </c>
      <c r="BH29" s="7"/>
      <c r="BI29" s="56" t="s">
        <v>162</v>
      </c>
      <c r="BJ29" s="67">
        <f ca="1">AVERAGE(BJ27:BJ29)</f>
        <v>0</v>
      </c>
      <c r="BK29" s="7"/>
      <c r="BL29" s="56" t="s">
        <v>162</v>
      </c>
      <c r="BM29" s="67">
        <f>AVERAGE(BM27:BM28)</f>
        <v>0.52500000000000002</v>
      </c>
      <c r="BN29" s="7"/>
      <c r="BO29" s="56" t="s">
        <v>162</v>
      </c>
      <c r="BP29" s="67">
        <f>AVERAGE(BP27:BP28)</f>
        <v>0.58499999999999996</v>
      </c>
      <c r="BQ29" s="7"/>
      <c r="BR29" s="56" t="s">
        <v>162</v>
      </c>
      <c r="BS29" s="67">
        <f>AVERAGE(BS27:BS28)</f>
        <v>0.625</v>
      </c>
      <c r="BT29" s="7"/>
      <c r="BU29" s="56" t="s">
        <v>162</v>
      </c>
      <c r="BV29" s="67">
        <f>AVERAGE(BV27:BV28)</f>
        <v>0.95</v>
      </c>
      <c r="BW29" s="7"/>
      <c r="BX29" s="56" t="s">
        <v>162</v>
      </c>
      <c r="BY29" s="67">
        <f>AVERAGE(BY27:BY28)</f>
        <v>0.61499999999999999</v>
      </c>
      <c r="BZ29" s="7"/>
      <c r="CA29" s="56" t="s">
        <v>162</v>
      </c>
      <c r="CB29" s="67">
        <f>AVERAGE(CB27:CB28)</f>
        <v>0.68415000000000004</v>
      </c>
      <c r="CC29" s="7"/>
      <c r="CD29" s="56" t="s">
        <v>162</v>
      </c>
      <c r="CE29" s="67">
        <f>AVERAGE(CE27:CE28)</f>
        <v>0.99590000000000001</v>
      </c>
      <c r="CF29" s="7"/>
      <c r="CG29" s="56" t="s">
        <v>162</v>
      </c>
      <c r="CH29" s="67">
        <f>AVERAGE(CH27:CH28)</f>
        <v>1.0946500000000001</v>
      </c>
      <c r="CI29" s="7"/>
      <c r="CJ29" s="7"/>
      <c r="CK29" s="7"/>
      <c r="FO29"/>
      <c r="FP29"/>
      <c r="FQ29"/>
      <c r="FR29"/>
    </row>
    <row r="30" spans="1:174" s="4" customFormat="1" ht="33.75" customHeight="1" x14ac:dyDescent="0.2">
      <c r="A30" s="116"/>
      <c r="B30" s="116"/>
      <c r="C30" s="117"/>
      <c r="D30" s="116"/>
      <c r="E30" s="117"/>
      <c r="F30" s="116"/>
      <c r="G30" s="116"/>
      <c r="H30" s="58"/>
      <c r="I30" s="58"/>
      <c r="J30" s="118"/>
      <c r="K30" s="118"/>
      <c r="L30" s="119"/>
      <c r="M30" s="59"/>
      <c r="N30" s="68"/>
      <c r="O30" s="59"/>
      <c r="P30" s="59"/>
      <c r="Q30" s="68"/>
      <c r="R30" s="59"/>
      <c r="S30" s="59"/>
      <c r="T30" s="68"/>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120"/>
      <c r="AX30" s="120"/>
      <c r="AY30" s="119"/>
      <c r="AZ30" s="59"/>
      <c r="BA30" s="68"/>
      <c r="BB30" s="59"/>
      <c r="BC30" s="59"/>
      <c r="BD30" s="68"/>
      <c r="BE30" s="59"/>
      <c r="BF30" s="59"/>
      <c r="BG30" s="68"/>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120"/>
      <c r="CK30" s="120"/>
    </row>
    <row r="31" spans="1:174" ht="75" x14ac:dyDescent="0.25">
      <c r="M31" s="56" t="s">
        <v>153</v>
      </c>
      <c r="N31" s="67">
        <f>AVERAGE(N16,N20,N26,N29)</f>
        <v>5.4749999999999993E-2</v>
      </c>
      <c r="P31" s="56" t="s">
        <v>153</v>
      </c>
      <c r="Q31" s="67">
        <f>AVERAGE(Q16,Q20,Q26,Q29)</f>
        <v>0.11192500000000001</v>
      </c>
      <c r="S31" s="56" t="s">
        <v>153</v>
      </c>
      <c r="T31" s="67">
        <f>AVERAGE(T16,T20,T26,T29)</f>
        <v>0.19874999999999998</v>
      </c>
      <c r="V31" s="56" t="s">
        <v>153</v>
      </c>
      <c r="W31" s="67">
        <f>AVERAGE(W16,W20,W26,W29)</f>
        <v>0.26</v>
      </c>
      <c r="Y31" s="56" t="s">
        <v>153</v>
      </c>
      <c r="Z31" s="67">
        <f>AVERAGE(Z16,Z20,Z26,Z29)</f>
        <v>0.39724999999999999</v>
      </c>
      <c r="AB31" s="56" t="s">
        <v>153</v>
      </c>
      <c r="AC31" s="67">
        <f>AVERAGE(AC16,AC20,AC26,AC29)</f>
        <v>0.46475</v>
      </c>
      <c r="AE31" s="56" t="s">
        <v>161</v>
      </c>
      <c r="AF31" s="67">
        <f>AVERAGE(AF29,AF26,AF20,AF16)</f>
        <v>0.56274999999999997</v>
      </c>
      <c r="AH31" s="56" t="s">
        <v>161</v>
      </c>
      <c r="AI31" s="67">
        <f>AVERAGE(AI29,AI26,AI20,AI16)</f>
        <v>0.63424999999999998</v>
      </c>
      <c r="AK31" s="56" t="s">
        <v>161</v>
      </c>
      <c r="AL31" s="67">
        <f>AVERAGE(AL29,AL26,AL20,AL16)</f>
        <v>0.69625000000000004</v>
      </c>
      <c r="AN31" s="56" t="s">
        <v>161</v>
      </c>
      <c r="AO31" s="67">
        <f>AVERAGE(AO29,AO26,AO20,AO16)</f>
        <v>0.80946249999999997</v>
      </c>
      <c r="AQ31" s="56" t="s">
        <v>161</v>
      </c>
      <c r="AR31" s="67">
        <f>AVERAGE(AR29,AR26,AR20,AR16)</f>
        <v>0.89363750000000008</v>
      </c>
      <c r="AT31" s="56" t="s">
        <v>161</v>
      </c>
      <c r="AU31" s="67">
        <f>AVERAGE(AU29,AU26,AU20,AU16)</f>
        <v>1.011825</v>
      </c>
      <c r="AZ31" s="56" t="s">
        <v>154</v>
      </c>
      <c r="BA31" s="67">
        <f>AVERAGE(BA16,BA20,BA26,BA29)</f>
        <v>7.4833333333333335E-2</v>
      </c>
      <c r="BC31" s="56" t="s">
        <v>154</v>
      </c>
      <c r="BD31" s="67">
        <f>AVERAGE(BD16,BD20,BD26,BD29)</f>
        <v>0.12775</v>
      </c>
      <c r="BF31" s="56" t="s">
        <v>154</v>
      </c>
      <c r="BG31" s="67">
        <f>AVERAGE(BG16,BG20,BG26,BG29)</f>
        <v>0.22566666666666668</v>
      </c>
      <c r="BH31" s="7"/>
      <c r="BI31" s="56" t="s">
        <v>154</v>
      </c>
      <c r="BJ31" s="67">
        <v>0.31530000000000002</v>
      </c>
      <c r="BK31" s="7"/>
      <c r="BL31" s="56" t="s">
        <v>154</v>
      </c>
      <c r="BM31" s="67">
        <v>0.38529999999999998</v>
      </c>
      <c r="BN31" s="7"/>
      <c r="BO31" s="56" t="s">
        <v>154</v>
      </c>
      <c r="BP31" s="67">
        <v>0.39679999999999999</v>
      </c>
      <c r="BQ31" s="7"/>
      <c r="BR31" s="56" t="s">
        <v>162</v>
      </c>
      <c r="BS31" s="74">
        <v>0.4481</v>
      </c>
      <c r="BT31" s="7"/>
      <c r="BU31" s="56" t="s">
        <v>162</v>
      </c>
      <c r="BV31" s="74">
        <v>0.57499999999999996</v>
      </c>
      <c r="BW31" s="7"/>
      <c r="BX31" s="56" t="s">
        <v>162</v>
      </c>
      <c r="BY31" s="74">
        <v>0.53110000000000002</v>
      </c>
      <c r="BZ31" s="7"/>
      <c r="CA31" s="56" t="s">
        <v>162</v>
      </c>
      <c r="CB31" s="74">
        <v>0.62509999999999999</v>
      </c>
      <c r="CC31" s="7"/>
      <c r="CD31" s="56" t="s">
        <v>162</v>
      </c>
      <c r="CE31" s="74">
        <v>0.75219999999999998</v>
      </c>
      <c r="CF31" s="7"/>
      <c r="CG31" s="56" t="s">
        <v>162</v>
      </c>
      <c r="CH31" s="74">
        <v>1</v>
      </c>
      <c r="CI31" s="7"/>
      <c r="CJ31" s="7"/>
      <c r="CK31" s="7"/>
      <c r="FO31"/>
      <c r="FP31"/>
      <c r="FQ31"/>
      <c r="FR31"/>
    </row>
    <row r="32" spans="1:174" s="4" customFormat="1" ht="38.25" customHeight="1" x14ac:dyDescent="0.25">
      <c r="A32"/>
      <c r="B32"/>
      <c r="C32" s="3"/>
      <c r="D32" s="3"/>
      <c r="E32" s="3"/>
      <c r="F32" s="3"/>
      <c r="G32" s="3"/>
      <c r="H32" s="1"/>
      <c r="I32" s="1"/>
      <c r="J32" s="3"/>
      <c r="K32" s="3"/>
      <c r="L32" s="5"/>
      <c r="M32" s="3"/>
      <c r="N32" s="64"/>
      <c r="O32" s="5"/>
      <c r="P32" s="3"/>
      <c r="Q32" s="64"/>
      <c r="R32" s="5"/>
      <c r="S32" s="3"/>
      <c r="T32" s="64"/>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2"/>
      <c r="AX32" s="2"/>
      <c r="AY32" s="6"/>
      <c r="AZ32" s="3"/>
      <c r="BA32" s="64"/>
      <c r="BB32" s="5"/>
      <c r="BC32" s="3"/>
      <c r="BD32" s="64"/>
      <c r="BE32" s="5"/>
      <c r="BF32" s="3"/>
      <c r="BG32" s="64"/>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10"/>
      <c r="CK32" s="10"/>
    </row>
    <row r="33" spans="1:1" ht="38.25" customHeight="1" x14ac:dyDescent="0.25"/>
    <row r="34" spans="1:1" ht="38.25" customHeight="1" x14ac:dyDescent="0.25">
      <c r="A34" t="s">
        <v>273</v>
      </c>
    </row>
  </sheetData>
  <autoFilter ref="A7:BR34" xr:uid="{00000000-0009-0000-0000-000000000000}"/>
  <mergeCells count="258">
    <mergeCell ref="AN27:AN28"/>
    <mergeCell ref="AO27:AO28"/>
    <mergeCell ref="AP27:AP28"/>
    <mergeCell ref="AQ27:AQ28"/>
    <mergeCell ref="AR27:AR28"/>
    <mergeCell ref="AS27:AS28"/>
    <mergeCell ref="AT27:AT28"/>
    <mergeCell ref="AU27:AU28"/>
    <mergeCell ref="AV27:AV28"/>
    <mergeCell ref="AN21:AN25"/>
    <mergeCell ref="AO21:AO25"/>
    <mergeCell ref="AP21:AP25"/>
    <mergeCell ref="AQ21:AQ25"/>
    <mergeCell ref="AR21:AR25"/>
    <mergeCell ref="AS21:AS25"/>
    <mergeCell ref="AT21:AT25"/>
    <mergeCell ref="AU21:AU25"/>
    <mergeCell ref="AV21:AV25"/>
    <mergeCell ref="AN17:AN19"/>
    <mergeCell ref="AO17:AO19"/>
    <mergeCell ref="AP17:AP19"/>
    <mergeCell ref="AQ17:AQ19"/>
    <mergeCell ref="AR17:AR19"/>
    <mergeCell ref="AS17:AS19"/>
    <mergeCell ref="AT17:AT19"/>
    <mergeCell ref="AU17:AU19"/>
    <mergeCell ref="AV17:AV19"/>
    <mergeCell ref="AN10:AN15"/>
    <mergeCell ref="AO10:AO15"/>
    <mergeCell ref="AP10:AP15"/>
    <mergeCell ref="AQ10:AQ15"/>
    <mergeCell ref="AR10:AR15"/>
    <mergeCell ref="AS10:AS15"/>
    <mergeCell ref="AT10:AT15"/>
    <mergeCell ref="AU10:AU15"/>
    <mergeCell ref="AV10:AV15"/>
    <mergeCell ref="BR6:BT6"/>
    <mergeCell ref="BU6:BW6"/>
    <mergeCell ref="BX6:BZ6"/>
    <mergeCell ref="CA6:CC6"/>
    <mergeCell ref="CD6:CF6"/>
    <mergeCell ref="CG6:CI6"/>
    <mergeCell ref="CJ6:CK6"/>
    <mergeCell ref="AN8:AN9"/>
    <mergeCell ref="AO8:AO9"/>
    <mergeCell ref="AP8:AP9"/>
    <mergeCell ref="AQ8:AQ9"/>
    <mergeCell ref="AR8:AR9"/>
    <mergeCell ref="AS8:AS9"/>
    <mergeCell ref="AT8:AT9"/>
    <mergeCell ref="AU8:AU9"/>
    <mergeCell ref="AV8:AV9"/>
    <mergeCell ref="BC6:BE6"/>
    <mergeCell ref="BF6:BH6"/>
    <mergeCell ref="BO6:BQ6"/>
    <mergeCell ref="BI6:BK6"/>
    <mergeCell ref="BL6:BN6"/>
    <mergeCell ref="M17:M19"/>
    <mergeCell ref="N17:N19"/>
    <mergeCell ref="O17:O19"/>
    <mergeCell ref="P17:P19"/>
    <mergeCell ref="Q17:Q19"/>
    <mergeCell ref="R21:R25"/>
    <mergeCell ref="S21:S25"/>
    <mergeCell ref="T21:T25"/>
    <mergeCell ref="U21:U25"/>
    <mergeCell ref="M21:M25"/>
    <mergeCell ref="N21:N25"/>
    <mergeCell ref="O21:O25"/>
    <mergeCell ref="P21:P25"/>
    <mergeCell ref="Q21:Q25"/>
    <mergeCell ref="R17:R19"/>
    <mergeCell ref="S17:S19"/>
    <mergeCell ref="T17:T19"/>
    <mergeCell ref="U17:U19"/>
    <mergeCell ref="M27:M28"/>
    <mergeCell ref="N27:N28"/>
    <mergeCell ref="O27:O28"/>
    <mergeCell ref="P27:P28"/>
    <mergeCell ref="Q27:Q28"/>
    <mergeCell ref="R27:R28"/>
    <mergeCell ref="S27:S28"/>
    <mergeCell ref="T27:T28"/>
    <mergeCell ref="U27:U28"/>
    <mergeCell ref="L27:L28"/>
    <mergeCell ref="A27:A28"/>
    <mergeCell ref="B27:B28"/>
    <mergeCell ref="C27:C28"/>
    <mergeCell ref="D27:D28"/>
    <mergeCell ref="E27:E28"/>
    <mergeCell ref="F27:F28"/>
    <mergeCell ref="G27:G28"/>
    <mergeCell ref="I27:I28"/>
    <mergeCell ref="J27:J28"/>
    <mergeCell ref="K27:K28"/>
    <mergeCell ref="B21:B25"/>
    <mergeCell ref="C21:C25"/>
    <mergeCell ref="D21:D25"/>
    <mergeCell ref="E21:E25"/>
    <mergeCell ref="F21:F25"/>
    <mergeCell ref="G21:G25"/>
    <mergeCell ref="I21:I25"/>
    <mergeCell ref="J21:J25"/>
    <mergeCell ref="K21:K25"/>
    <mergeCell ref="F17:F19"/>
    <mergeCell ref="G17:G19"/>
    <mergeCell ref="I17:I19"/>
    <mergeCell ref="J17:J19"/>
    <mergeCell ref="K17:K19"/>
    <mergeCell ref="L17:L19"/>
    <mergeCell ref="A17:A19"/>
    <mergeCell ref="B17:B19"/>
    <mergeCell ref="C17:C19"/>
    <mergeCell ref="D17:D19"/>
    <mergeCell ref="E17:E19"/>
    <mergeCell ref="H8:H28"/>
    <mergeCell ref="I8:I9"/>
    <mergeCell ref="J8:J9"/>
    <mergeCell ref="K8:K9"/>
    <mergeCell ref="L8:L9"/>
    <mergeCell ref="I10:I15"/>
    <mergeCell ref="J10:J15"/>
    <mergeCell ref="K10:K15"/>
    <mergeCell ref="L10:L15"/>
    <mergeCell ref="A8:A15"/>
    <mergeCell ref="B8:B15"/>
    <mergeCell ref="L21:L25"/>
    <mergeCell ref="A21:A25"/>
    <mergeCell ref="C8:C15"/>
    <mergeCell ref="D8:D15"/>
    <mergeCell ref="E8:E15"/>
    <mergeCell ref="F8:F15"/>
    <mergeCell ref="G8:G15"/>
    <mergeCell ref="M10:M15"/>
    <mergeCell ref="N10:N15"/>
    <mergeCell ref="T10:T15"/>
    <mergeCell ref="U10:U15"/>
    <mergeCell ref="O10:O15"/>
    <mergeCell ref="P10:P15"/>
    <mergeCell ref="Q10:Q15"/>
    <mergeCell ref="R10:R15"/>
    <mergeCell ref="S10:S15"/>
    <mergeCell ref="M8:M9"/>
    <mergeCell ref="N8:N9"/>
    <mergeCell ref="O8:O9"/>
    <mergeCell ref="P8:P9"/>
    <mergeCell ref="Q8:Q9"/>
    <mergeCell ref="R8:R9"/>
    <mergeCell ref="S8:S9"/>
    <mergeCell ref="T8:T9"/>
    <mergeCell ref="U8:U9"/>
    <mergeCell ref="D6:E6"/>
    <mergeCell ref="F6:I6"/>
    <mergeCell ref="J6:L6"/>
    <mergeCell ref="M6:O6"/>
    <mergeCell ref="P6:R6"/>
    <mergeCell ref="AQ6:AS6"/>
    <mergeCell ref="S6:U6"/>
    <mergeCell ref="AN6:AP6"/>
    <mergeCell ref="V6:X6"/>
    <mergeCell ref="Y6:AA6"/>
    <mergeCell ref="AK6:AM6"/>
    <mergeCell ref="AB6:AD6"/>
    <mergeCell ref="AE6:AG6"/>
    <mergeCell ref="AH6:AJ6"/>
    <mergeCell ref="AB8:AB9"/>
    <mergeCell ref="AC8:AC9"/>
    <mergeCell ref="AD8:AD9"/>
    <mergeCell ref="AB10:AB15"/>
    <mergeCell ref="AC10:AC15"/>
    <mergeCell ref="AD10:AD15"/>
    <mergeCell ref="AT6:AV6"/>
    <mergeCell ref="AW6:AY6"/>
    <mergeCell ref="AZ6:BB6"/>
    <mergeCell ref="AG8:AG9"/>
    <mergeCell ref="AF8:AF9"/>
    <mergeCell ref="AE8:AE9"/>
    <mergeCell ref="AE10:AE15"/>
    <mergeCell ref="AF10:AF15"/>
    <mergeCell ref="AG10:AG15"/>
    <mergeCell ref="AH8:AH9"/>
    <mergeCell ref="AI8:AI9"/>
    <mergeCell ref="AJ8:AJ9"/>
    <mergeCell ref="AH10:AH15"/>
    <mergeCell ref="AI10:AI15"/>
    <mergeCell ref="AJ10:AJ15"/>
    <mergeCell ref="AK8:AK9"/>
    <mergeCell ref="AL8:AL9"/>
    <mergeCell ref="AM8:AM9"/>
    <mergeCell ref="V8:V9"/>
    <mergeCell ref="V10:V15"/>
    <mergeCell ref="W8:W9"/>
    <mergeCell ref="W10:W15"/>
    <mergeCell ref="X8:X9"/>
    <mergeCell ref="X10:X15"/>
    <mergeCell ref="Y8:Y9"/>
    <mergeCell ref="Z8:Z9"/>
    <mergeCell ref="AA8:AA9"/>
    <mergeCell ref="Y10:Y15"/>
    <mergeCell ref="Z10:Z15"/>
    <mergeCell ref="AA10:AA15"/>
    <mergeCell ref="V17:V19"/>
    <mergeCell ref="W17:W19"/>
    <mergeCell ref="X17:X19"/>
    <mergeCell ref="Y17:Y19"/>
    <mergeCell ref="Z17:Z19"/>
    <mergeCell ref="AA17:AA19"/>
    <mergeCell ref="AK17:AK19"/>
    <mergeCell ref="AL17:AL19"/>
    <mergeCell ref="AM17:AM19"/>
    <mergeCell ref="AB17:AB19"/>
    <mergeCell ref="AC17:AC19"/>
    <mergeCell ref="AD17:AD19"/>
    <mergeCell ref="AG17:AG19"/>
    <mergeCell ref="AF17:AF19"/>
    <mergeCell ref="AE17:AE19"/>
    <mergeCell ref="AH17:AH19"/>
    <mergeCell ref="AI17:AI19"/>
    <mergeCell ref="AJ17:AJ19"/>
    <mergeCell ref="V21:V25"/>
    <mergeCell ref="W21:W25"/>
    <mergeCell ref="X21:X25"/>
    <mergeCell ref="Y21:Y25"/>
    <mergeCell ref="Z21:Z25"/>
    <mergeCell ref="AA21:AA25"/>
    <mergeCell ref="AB21:AB25"/>
    <mergeCell ref="AC21:AC25"/>
    <mergeCell ref="AD21:AD25"/>
    <mergeCell ref="V27:V28"/>
    <mergeCell ref="W27:W28"/>
    <mergeCell ref="X27:X28"/>
    <mergeCell ref="Y27:Y28"/>
    <mergeCell ref="Z27:Z28"/>
    <mergeCell ref="AA27:AA28"/>
    <mergeCell ref="AK27:AK28"/>
    <mergeCell ref="AL27:AL28"/>
    <mergeCell ref="AM27:AM28"/>
    <mergeCell ref="AB27:AB28"/>
    <mergeCell ref="AC27:AC28"/>
    <mergeCell ref="AD27:AD28"/>
    <mergeCell ref="AE27:AE28"/>
    <mergeCell ref="AF27:AF28"/>
    <mergeCell ref="AG27:AG28"/>
    <mergeCell ref="AI27:AI28"/>
    <mergeCell ref="AH27:AH28"/>
    <mergeCell ref="AJ27:AJ28"/>
    <mergeCell ref="AK10:AK15"/>
    <mergeCell ref="AL10:AL15"/>
    <mergeCell ref="AM10:AM15"/>
    <mergeCell ref="AH21:AH25"/>
    <mergeCell ref="AI21:AI25"/>
    <mergeCell ref="AJ21:AJ25"/>
    <mergeCell ref="AE21:AE25"/>
    <mergeCell ref="AF21:AF25"/>
    <mergeCell ref="AG21:AG25"/>
    <mergeCell ref="AK21:AK25"/>
    <mergeCell ref="AL21:AL25"/>
    <mergeCell ref="AM21:AM25"/>
  </mergeCells>
  <pageMargins left="0.75" right="0.75" top="1" bottom="1" header="0.5" footer="0.5"/>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455B9-30B8-4B58-B9A9-0F8F0D4E4E78}">
  <sheetPr>
    <tabColor theme="9" tint="-0.249977111117893"/>
  </sheetPr>
  <dimension ref="A1:FR57"/>
  <sheetViews>
    <sheetView showGridLines="0" zoomScaleNormal="100" workbookViewId="0">
      <selection activeCell="I46" sqref="A46:XFD51"/>
    </sheetView>
  </sheetViews>
  <sheetFormatPr baseColWidth="10" defaultColWidth="11.42578125" defaultRowHeight="15" x14ac:dyDescent="0.25"/>
  <cols>
    <col min="1" max="1" width="45.42578125" style="296" customWidth="1"/>
    <col min="2" max="2" width="45.7109375" style="296" bestFit="1" customWidth="1"/>
    <col min="3" max="3" width="19.42578125" style="3" customWidth="1"/>
    <col min="4" max="4" width="17.7109375" style="3" customWidth="1"/>
    <col min="5" max="5" width="43" style="3" bestFit="1" customWidth="1"/>
    <col min="6" max="6" width="15.5703125" style="3" customWidth="1"/>
    <col min="7" max="7" width="45.7109375" style="3" customWidth="1"/>
    <col min="8" max="8" width="19.42578125" style="1" customWidth="1"/>
    <col min="9" max="9" width="15.5703125" style="1" customWidth="1"/>
    <col min="10" max="11" width="45.7109375" style="3" customWidth="1"/>
    <col min="12" max="12" width="17.7109375" style="5" customWidth="1"/>
    <col min="13" max="13" width="15.28515625" style="3" customWidth="1"/>
    <col min="14" max="14" width="23.42578125" style="320" customWidth="1"/>
    <col min="15" max="15" width="17.7109375" style="5" customWidth="1"/>
    <col min="16" max="16" width="15.28515625" style="3" customWidth="1"/>
    <col min="17" max="17" width="23.42578125" style="320" customWidth="1"/>
    <col min="18" max="18" width="17.7109375" style="5" customWidth="1"/>
    <col min="19" max="19" width="15.28515625" style="3" customWidth="1"/>
    <col min="20" max="20" width="23.42578125" style="320" customWidth="1"/>
    <col min="21" max="21" width="17.7109375" style="5" customWidth="1"/>
    <col min="22" max="22" width="15.28515625" style="3" customWidth="1"/>
    <col min="23" max="23" width="23.42578125" style="320" customWidth="1"/>
    <col min="24" max="24" width="17.7109375" style="5" customWidth="1"/>
    <col min="25" max="25" width="15.28515625" style="3" customWidth="1"/>
    <col min="26" max="26" width="23.42578125" style="320" customWidth="1"/>
    <col min="27" max="27" width="17.7109375" style="5" customWidth="1"/>
    <col min="28" max="28" width="15.28515625" style="3" customWidth="1"/>
    <col min="29" max="29" width="23.42578125" style="320" customWidth="1"/>
    <col min="30" max="30" width="17.7109375" style="5" customWidth="1"/>
    <col min="31" max="31" width="15.28515625" style="3" customWidth="1"/>
    <col min="32" max="32" width="23.42578125" style="320" customWidth="1"/>
    <col min="33" max="33" width="17.7109375" style="5" customWidth="1"/>
    <col min="34" max="34" width="15.28515625" style="3" customWidth="1"/>
    <col min="35" max="35" width="23.42578125" style="320" customWidth="1"/>
    <col min="36" max="36" width="17.7109375" style="5" customWidth="1"/>
    <col min="37" max="37" width="15.28515625" style="3" customWidth="1"/>
    <col min="38" max="38" width="23.42578125" style="320" customWidth="1"/>
    <col min="39" max="39" width="17.7109375" style="5" customWidth="1"/>
    <col min="40" max="40" width="15.28515625" style="3" customWidth="1"/>
    <col min="41" max="41" width="23.42578125" style="320" customWidth="1"/>
    <col min="42" max="42" width="17.7109375" style="5" customWidth="1"/>
    <col min="43" max="43" width="15.28515625" style="3" customWidth="1"/>
    <col min="44" max="44" width="23.42578125" style="320" customWidth="1"/>
    <col min="45" max="45" width="17.7109375" style="5" customWidth="1"/>
    <col min="46" max="46" width="15.28515625" style="3" customWidth="1"/>
    <col min="47" max="47" width="23.42578125" style="320" customWidth="1"/>
    <col min="48" max="48" width="17.7109375" style="5" customWidth="1"/>
    <col min="49" max="49" width="45.7109375" style="2" bestFit="1" customWidth="1"/>
    <col min="50" max="50" width="45.7109375" style="2" customWidth="1"/>
    <col min="51" max="51" width="15.28515625" style="298" bestFit="1" customWidth="1"/>
    <col min="52" max="52" width="15.28515625" style="3" customWidth="1"/>
    <col min="53" max="53" width="23.42578125" style="320" customWidth="1"/>
    <col min="54" max="54" width="17.7109375" style="5" customWidth="1"/>
    <col min="55" max="55" width="15.28515625" style="3" customWidth="1"/>
    <col min="56" max="56" width="23.42578125" style="320" customWidth="1"/>
    <col min="57" max="57" width="17.7109375" style="5" customWidth="1"/>
    <col min="58" max="58" width="15.28515625" style="3" customWidth="1"/>
    <col min="59" max="59" width="23.42578125" style="320" customWidth="1"/>
    <col min="60" max="60" width="17.7109375" style="5" customWidth="1"/>
    <col min="61" max="61" width="15.28515625" style="3" customWidth="1"/>
    <col min="62" max="62" width="23.42578125" style="320" customWidth="1"/>
    <col min="63" max="63" width="17.7109375" style="5" customWidth="1"/>
    <col min="64" max="64" width="15.28515625" style="3" customWidth="1"/>
    <col min="65" max="65" width="23.42578125" style="320" customWidth="1"/>
    <col min="66" max="66" width="17.7109375" style="5" customWidth="1"/>
    <col min="67" max="67" width="15.28515625" style="3" customWidth="1"/>
    <col min="68" max="68" width="23.42578125" style="320" customWidth="1"/>
    <col min="69" max="69" width="17.7109375" style="5" customWidth="1"/>
    <col min="70" max="70" width="15.28515625" style="3" customWidth="1"/>
    <col min="71" max="71" width="23.42578125" style="320" customWidth="1"/>
    <col min="72" max="72" width="17.7109375" style="5" customWidth="1"/>
    <col min="73" max="73" width="15.28515625" style="3" customWidth="1"/>
    <col min="74" max="74" width="23.42578125" style="320" customWidth="1"/>
    <col min="75" max="75" width="17.7109375" style="5" customWidth="1"/>
    <col min="76" max="76" width="15.28515625" style="3" customWidth="1"/>
    <col min="77" max="77" width="23.42578125" style="320" customWidth="1"/>
    <col min="78" max="78" width="17.7109375" style="5" customWidth="1"/>
    <col min="79" max="79" width="15.28515625" style="3" customWidth="1"/>
    <col min="80" max="80" width="23.42578125" style="320" customWidth="1"/>
    <col min="81" max="81" width="17.7109375" style="5" customWidth="1"/>
    <col min="82" max="82" width="15.28515625" style="3" customWidth="1"/>
    <col min="83" max="83" width="23.42578125" style="320" customWidth="1"/>
    <col min="84" max="84" width="17.7109375" style="5" bestFit="1" customWidth="1"/>
    <col min="85" max="85" width="15.28515625" style="3" customWidth="1"/>
    <col min="86" max="86" width="23.42578125" style="320" customWidth="1"/>
    <col min="87" max="87" width="17.7109375" style="5" bestFit="1" customWidth="1"/>
    <col min="88" max="88" width="30.140625" style="10" bestFit="1" customWidth="1"/>
    <col min="89" max="89" width="45.7109375" style="10" bestFit="1" customWidth="1"/>
    <col min="90" max="174" width="11.42578125" style="292"/>
    <col min="175" max="16384" width="11.42578125" style="296"/>
  </cols>
  <sheetData>
    <row r="1" spans="1:174" x14ac:dyDescent="0.25">
      <c r="H1" s="296"/>
      <c r="I1" s="296"/>
      <c r="AY1" s="111"/>
    </row>
    <row r="2" spans="1:174" x14ac:dyDescent="0.25">
      <c r="H2" s="296"/>
      <c r="I2" s="296"/>
      <c r="AY2" s="111"/>
    </row>
    <row r="3" spans="1:174" x14ac:dyDescent="0.25">
      <c r="H3" s="296"/>
      <c r="I3" s="296"/>
      <c r="AY3" s="111"/>
    </row>
    <row r="4" spans="1:174" x14ac:dyDescent="0.25">
      <c r="H4" s="296"/>
      <c r="I4" s="296"/>
      <c r="AY4" s="111"/>
    </row>
    <row r="5" spans="1:174" x14ac:dyDescent="0.25">
      <c r="H5" s="296"/>
      <c r="I5" s="296"/>
      <c r="N5" s="321"/>
      <c r="Q5" s="321"/>
      <c r="T5" s="321"/>
      <c r="W5" s="321"/>
      <c r="Z5" s="321"/>
      <c r="AC5" s="321"/>
      <c r="AF5" s="321"/>
      <c r="AI5" s="321"/>
      <c r="AL5" s="321"/>
      <c r="AO5" s="321"/>
      <c r="AR5" s="321"/>
      <c r="AU5" s="321"/>
      <c r="AY5" s="111"/>
      <c r="BA5" s="321"/>
      <c r="BD5" s="321"/>
      <c r="BG5" s="321"/>
      <c r="BJ5" s="321"/>
      <c r="BM5" s="321"/>
      <c r="BP5" s="321"/>
      <c r="BS5" s="321"/>
      <c r="BV5" s="321"/>
      <c r="BY5" s="321"/>
      <c r="CB5" s="321"/>
      <c r="CE5" s="321"/>
      <c r="CH5" s="321"/>
    </row>
    <row r="6" spans="1:174" s="9" customFormat="1" ht="30" x14ac:dyDescent="0.2">
      <c r="A6" s="282" t="s">
        <v>59</v>
      </c>
      <c r="B6" s="282" t="s">
        <v>60</v>
      </c>
      <c r="C6" s="318"/>
      <c r="D6" s="358" t="s">
        <v>61</v>
      </c>
      <c r="E6" s="359"/>
      <c r="F6" s="358" t="s">
        <v>62</v>
      </c>
      <c r="G6" s="360"/>
      <c r="H6" s="360"/>
      <c r="I6" s="359"/>
      <c r="J6" s="361" t="s">
        <v>63</v>
      </c>
      <c r="K6" s="361"/>
      <c r="L6" s="361"/>
      <c r="M6" s="362" t="s">
        <v>2</v>
      </c>
      <c r="N6" s="363"/>
      <c r="O6" s="364"/>
      <c r="P6" s="362" t="s">
        <v>3</v>
      </c>
      <c r="Q6" s="363"/>
      <c r="R6" s="364"/>
      <c r="S6" s="362" t="s">
        <v>4</v>
      </c>
      <c r="T6" s="363"/>
      <c r="U6" s="364"/>
      <c r="V6" s="362" t="s">
        <v>830</v>
      </c>
      <c r="W6" s="363"/>
      <c r="X6" s="364"/>
      <c r="Y6" s="362" t="s">
        <v>831</v>
      </c>
      <c r="Z6" s="363"/>
      <c r="AA6" s="364"/>
      <c r="AB6" s="362" t="s">
        <v>832</v>
      </c>
      <c r="AC6" s="363"/>
      <c r="AD6" s="364"/>
      <c r="AE6" s="362" t="s">
        <v>1026</v>
      </c>
      <c r="AF6" s="363"/>
      <c r="AG6" s="364"/>
      <c r="AH6" s="362" t="s">
        <v>1027</v>
      </c>
      <c r="AI6" s="363"/>
      <c r="AJ6" s="364"/>
      <c r="AK6" s="362" t="s">
        <v>1028</v>
      </c>
      <c r="AL6" s="363"/>
      <c r="AM6" s="364"/>
      <c r="AN6" s="362" t="s">
        <v>1029</v>
      </c>
      <c r="AO6" s="363"/>
      <c r="AP6" s="364"/>
      <c r="AQ6" s="362" t="s">
        <v>1030</v>
      </c>
      <c r="AR6" s="363"/>
      <c r="AS6" s="364"/>
      <c r="AT6" s="362" t="s">
        <v>1701</v>
      </c>
      <c r="AU6" s="363"/>
      <c r="AV6" s="364"/>
      <c r="AW6" s="410" t="s">
        <v>64</v>
      </c>
      <c r="AX6" s="410"/>
      <c r="AY6" s="410"/>
      <c r="AZ6" s="387" t="s">
        <v>2</v>
      </c>
      <c r="BA6" s="388"/>
      <c r="BB6" s="389"/>
      <c r="BC6" s="387" t="s">
        <v>3</v>
      </c>
      <c r="BD6" s="388"/>
      <c r="BE6" s="389"/>
      <c r="BF6" s="387" t="s">
        <v>4</v>
      </c>
      <c r="BG6" s="388"/>
      <c r="BH6" s="389"/>
      <c r="BI6" s="387" t="s">
        <v>830</v>
      </c>
      <c r="BJ6" s="388"/>
      <c r="BK6" s="389"/>
      <c r="BL6" s="387" t="s">
        <v>831</v>
      </c>
      <c r="BM6" s="388"/>
      <c r="BN6" s="389"/>
      <c r="BO6" s="387" t="s">
        <v>832</v>
      </c>
      <c r="BP6" s="388"/>
      <c r="BQ6" s="389"/>
      <c r="BR6" s="387" t="s">
        <v>1026</v>
      </c>
      <c r="BS6" s="388"/>
      <c r="BT6" s="389"/>
      <c r="BU6" s="387" t="s">
        <v>1027</v>
      </c>
      <c r="BV6" s="388"/>
      <c r="BW6" s="389"/>
      <c r="BX6" s="387" t="s">
        <v>1028</v>
      </c>
      <c r="BY6" s="388"/>
      <c r="BZ6" s="389"/>
      <c r="CA6" s="387" t="s">
        <v>1029</v>
      </c>
      <c r="CB6" s="388"/>
      <c r="CC6" s="389"/>
      <c r="CD6" s="387" t="s">
        <v>1030</v>
      </c>
      <c r="CE6" s="388"/>
      <c r="CF6" s="389"/>
      <c r="CG6" s="387" t="s">
        <v>1701</v>
      </c>
      <c r="CH6" s="388"/>
      <c r="CI6" s="389"/>
      <c r="CJ6" s="361" t="s">
        <v>65</v>
      </c>
      <c r="CK6" s="361"/>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row>
    <row r="7" spans="1:174" s="9" customFormat="1" ht="49.5" customHeight="1" x14ac:dyDescent="0.2">
      <c r="A7" s="282" t="s">
        <v>66</v>
      </c>
      <c r="B7" s="282" t="s">
        <v>67</v>
      </c>
      <c r="C7" s="282" t="s">
        <v>68</v>
      </c>
      <c r="D7" s="282" t="s">
        <v>69</v>
      </c>
      <c r="E7" s="282" t="s">
        <v>70</v>
      </c>
      <c r="F7" s="282" t="s">
        <v>71</v>
      </c>
      <c r="G7" s="282" t="s">
        <v>72</v>
      </c>
      <c r="H7" s="12" t="s">
        <v>73</v>
      </c>
      <c r="I7" s="12" t="s">
        <v>74</v>
      </c>
      <c r="J7" s="282" t="s">
        <v>63</v>
      </c>
      <c r="K7" s="282" t="s">
        <v>75</v>
      </c>
      <c r="L7" s="282" t="s">
        <v>76</v>
      </c>
      <c r="M7" s="282" t="s">
        <v>77</v>
      </c>
      <c r="N7" s="322" t="s">
        <v>78</v>
      </c>
      <c r="O7" s="282" t="s">
        <v>79</v>
      </c>
      <c r="P7" s="282" t="s">
        <v>77</v>
      </c>
      <c r="Q7" s="322" t="s">
        <v>78</v>
      </c>
      <c r="R7" s="282" t="s">
        <v>79</v>
      </c>
      <c r="S7" s="282" t="s">
        <v>77</v>
      </c>
      <c r="T7" s="322" t="s">
        <v>78</v>
      </c>
      <c r="U7" s="282" t="s">
        <v>79</v>
      </c>
      <c r="V7" s="282" t="s">
        <v>77</v>
      </c>
      <c r="W7" s="322" t="s">
        <v>78</v>
      </c>
      <c r="X7" s="282" t="s">
        <v>79</v>
      </c>
      <c r="Y7" s="282" t="s">
        <v>77</v>
      </c>
      <c r="Z7" s="322" t="s">
        <v>78</v>
      </c>
      <c r="AA7" s="282" t="s">
        <v>79</v>
      </c>
      <c r="AB7" s="282" t="s">
        <v>77</v>
      </c>
      <c r="AC7" s="322" t="s">
        <v>78</v>
      </c>
      <c r="AD7" s="282" t="s">
        <v>79</v>
      </c>
      <c r="AE7" s="282" t="s">
        <v>77</v>
      </c>
      <c r="AF7" s="322" t="s">
        <v>78</v>
      </c>
      <c r="AG7" s="282" t="s">
        <v>79</v>
      </c>
      <c r="AH7" s="282" t="s">
        <v>77</v>
      </c>
      <c r="AI7" s="322" t="s">
        <v>78</v>
      </c>
      <c r="AJ7" s="282" t="s">
        <v>79</v>
      </c>
      <c r="AK7" s="282" t="s">
        <v>77</v>
      </c>
      <c r="AL7" s="322" t="s">
        <v>78</v>
      </c>
      <c r="AM7" s="282" t="s">
        <v>79</v>
      </c>
      <c r="AN7" s="282" t="s">
        <v>77</v>
      </c>
      <c r="AO7" s="322" t="s">
        <v>78</v>
      </c>
      <c r="AP7" s="282" t="s">
        <v>79</v>
      </c>
      <c r="AQ7" s="282" t="s">
        <v>77</v>
      </c>
      <c r="AR7" s="322" t="s">
        <v>78</v>
      </c>
      <c r="AS7" s="282" t="s">
        <v>79</v>
      </c>
      <c r="AT7" s="282" t="s">
        <v>77</v>
      </c>
      <c r="AU7" s="322" t="s">
        <v>78</v>
      </c>
      <c r="AV7" s="282" t="s">
        <v>79</v>
      </c>
      <c r="AW7" s="284" t="s">
        <v>64</v>
      </c>
      <c r="AX7" s="284" t="s">
        <v>80</v>
      </c>
      <c r="AY7" s="284" t="s">
        <v>81</v>
      </c>
      <c r="AZ7" s="284" t="s">
        <v>77</v>
      </c>
      <c r="BA7" s="323" t="s">
        <v>78</v>
      </c>
      <c r="BB7" s="284" t="s">
        <v>79</v>
      </c>
      <c r="BC7" s="284" t="s">
        <v>77</v>
      </c>
      <c r="BD7" s="323" t="s">
        <v>78</v>
      </c>
      <c r="BE7" s="284" t="s">
        <v>79</v>
      </c>
      <c r="BF7" s="284" t="s">
        <v>77</v>
      </c>
      <c r="BG7" s="323" t="s">
        <v>78</v>
      </c>
      <c r="BH7" s="284" t="s">
        <v>79</v>
      </c>
      <c r="BI7" s="284" t="s">
        <v>77</v>
      </c>
      <c r="BJ7" s="323" t="s">
        <v>78</v>
      </c>
      <c r="BK7" s="284" t="s">
        <v>79</v>
      </c>
      <c r="BL7" s="284" t="s">
        <v>77</v>
      </c>
      <c r="BM7" s="323" t="s">
        <v>78</v>
      </c>
      <c r="BN7" s="284" t="s">
        <v>79</v>
      </c>
      <c r="BO7" s="284" t="s">
        <v>77</v>
      </c>
      <c r="BP7" s="323" t="s">
        <v>78</v>
      </c>
      <c r="BQ7" s="284" t="s">
        <v>79</v>
      </c>
      <c r="BR7" s="284" t="s">
        <v>77</v>
      </c>
      <c r="BS7" s="323" t="s">
        <v>78</v>
      </c>
      <c r="BT7" s="284" t="s">
        <v>79</v>
      </c>
      <c r="BU7" s="284" t="s">
        <v>77</v>
      </c>
      <c r="BV7" s="323" t="s">
        <v>78</v>
      </c>
      <c r="BW7" s="284" t="s">
        <v>79</v>
      </c>
      <c r="BX7" s="284" t="s">
        <v>77</v>
      </c>
      <c r="BY7" s="323" t="s">
        <v>78</v>
      </c>
      <c r="BZ7" s="284" t="s">
        <v>79</v>
      </c>
      <c r="CA7" s="284" t="s">
        <v>77</v>
      </c>
      <c r="CB7" s="323" t="s">
        <v>78</v>
      </c>
      <c r="CC7" s="284" t="s">
        <v>79</v>
      </c>
      <c r="CD7" s="284" t="s">
        <v>77</v>
      </c>
      <c r="CE7" s="323" t="s">
        <v>78</v>
      </c>
      <c r="CF7" s="284" t="s">
        <v>79</v>
      </c>
      <c r="CG7" s="284" t="s">
        <v>77</v>
      </c>
      <c r="CH7" s="323" t="s">
        <v>78</v>
      </c>
      <c r="CI7" s="284" t="s">
        <v>79</v>
      </c>
      <c r="CJ7" s="282" t="s">
        <v>82</v>
      </c>
      <c r="CK7" s="282" t="s">
        <v>83</v>
      </c>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row>
    <row r="8" spans="1:174" s="4" customFormat="1" ht="33.75" customHeight="1" x14ac:dyDescent="0.2">
      <c r="A8" s="368" t="s">
        <v>84</v>
      </c>
      <c r="B8" s="368" t="s">
        <v>274</v>
      </c>
      <c r="C8" s="368" t="s">
        <v>2718</v>
      </c>
      <c r="D8" s="368" t="s">
        <v>32</v>
      </c>
      <c r="E8" s="373" t="s">
        <v>2124</v>
      </c>
      <c r="F8" s="368" t="s">
        <v>88</v>
      </c>
      <c r="G8" s="368" t="s">
        <v>276</v>
      </c>
      <c r="H8" s="374">
        <v>14125207239</v>
      </c>
      <c r="I8" s="374">
        <v>999948176</v>
      </c>
      <c r="J8" s="368" t="s">
        <v>2125</v>
      </c>
      <c r="K8" s="368" t="s">
        <v>2126</v>
      </c>
      <c r="L8" s="435">
        <v>0.92</v>
      </c>
      <c r="M8" s="366">
        <f>3/3</f>
        <v>1</v>
      </c>
      <c r="N8" s="403">
        <f>(M8/$L8)*(8.3%*1)</f>
        <v>9.0217391304347833E-2</v>
      </c>
      <c r="O8" s="366" t="s">
        <v>2127</v>
      </c>
      <c r="P8" s="366">
        <f>3/3</f>
        <v>1</v>
      </c>
      <c r="Q8" s="403">
        <f>(P8/$L8)*(8.3%*2)</f>
        <v>0.18043478260869567</v>
      </c>
      <c r="R8" s="366" t="s">
        <v>2128</v>
      </c>
      <c r="S8" s="366">
        <f>4/4</f>
        <v>1</v>
      </c>
      <c r="T8" s="403">
        <f>(S8/$L8)*(8.3%*3)</f>
        <v>0.27065217391304347</v>
      </c>
      <c r="U8" s="366" t="s">
        <v>2129</v>
      </c>
      <c r="V8" s="366">
        <f>5/5</f>
        <v>1</v>
      </c>
      <c r="W8" s="403">
        <f>(V8/$L8)*(8.3%*4)</f>
        <v>0.36086956521739133</v>
      </c>
      <c r="X8" s="366" t="s">
        <v>2130</v>
      </c>
      <c r="Y8" s="366">
        <f>5/5</f>
        <v>1</v>
      </c>
      <c r="Z8" s="403">
        <f>(Y8/$L8)*(8.3%*5)</f>
        <v>0.45108695652173914</v>
      </c>
      <c r="AA8" s="366" t="s">
        <v>2131</v>
      </c>
      <c r="AB8" s="366">
        <f>7/7</f>
        <v>1</v>
      </c>
      <c r="AC8" s="403">
        <f>(AB8/$L8)*(8.3%*6)</f>
        <v>0.54130434782608694</v>
      </c>
      <c r="AD8" s="366" t="s">
        <v>2132</v>
      </c>
      <c r="AE8" s="366">
        <f>8/8</f>
        <v>1</v>
      </c>
      <c r="AF8" s="403">
        <f>(AE8/$L8)*(8.3%*7)</f>
        <v>0.63152173913043486</v>
      </c>
      <c r="AG8" s="366" t="s">
        <v>2133</v>
      </c>
      <c r="AH8" s="366">
        <f>11/11</f>
        <v>1</v>
      </c>
      <c r="AI8" s="403">
        <f>(AH8/$L8)*(8.3%*8)</f>
        <v>0.72173913043478266</v>
      </c>
      <c r="AJ8" s="366" t="s">
        <v>2134</v>
      </c>
      <c r="AK8" s="366">
        <f>16/16</f>
        <v>1</v>
      </c>
      <c r="AL8" s="403">
        <f>(AK8/$L8)*(8.3%*9)</f>
        <v>0.81195652173913035</v>
      </c>
      <c r="AM8" s="366" t="s">
        <v>2135</v>
      </c>
      <c r="AN8" s="366">
        <f>17/17</f>
        <v>1</v>
      </c>
      <c r="AO8" s="403">
        <f>(AN8/$L8)*(8.3%*10)</f>
        <v>0.90217391304347827</v>
      </c>
      <c r="AP8" s="366" t="s">
        <v>2136</v>
      </c>
      <c r="AQ8" s="366">
        <f>20/20</f>
        <v>1</v>
      </c>
      <c r="AR8" s="403">
        <f>(AQ8/$L8)*(8.3%*11)</f>
        <v>0.99239130434782608</v>
      </c>
      <c r="AS8" s="366" t="s">
        <v>2137</v>
      </c>
      <c r="AT8" s="366">
        <f>24/24</f>
        <v>1</v>
      </c>
      <c r="AU8" s="403">
        <f>(AT8/$L8)*(8.3%*12)</f>
        <v>1.0826086956521739</v>
      </c>
      <c r="AV8" s="477" t="s">
        <v>2138</v>
      </c>
      <c r="AW8" s="11" t="s">
        <v>2139</v>
      </c>
      <c r="AX8" s="11" t="s">
        <v>2140</v>
      </c>
      <c r="AY8" s="287">
        <v>0.92</v>
      </c>
      <c r="AZ8" s="288">
        <f>1/1</f>
        <v>1</v>
      </c>
      <c r="BA8" s="76">
        <f>(AZ8/$AY8)*(8.3%*1)</f>
        <v>9.0217391304347833E-2</v>
      </c>
      <c r="BB8" s="288" t="s">
        <v>2141</v>
      </c>
      <c r="BC8" s="288">
        <f>3/3</f>
        <v>1</v>
      </c>
      <c r="BD8" s="76">
        <f>(BC8/$AY8)*(8.3%*2)</f>
        <v>0.18043478260869567</v>
      </c>
      <c r="BE8" s="288" t="s">
        <v>2142</v>
      </c>
      <c r="BF8" s="288">
        <f>5/5</f>
        <v>1</v>
      </c>
      <c r="BG8" s="76">
        <f>(BF8/$AY8)*(8.3%*3)</f>
        <v>0.27065217391304347</v>
      </c>
      <c r="BH8" s="288" t="s">
        <v>2143</v>
      </c>
      <c r="BI8" s="288">
        <f>9/9</f>
        <v>1</v>
      </c>
      <c r="BJ8" s="76">
        <f>(BI8/$AY8)*(8.3%*4)</f>
        <v>0.36086956521739133</v>
      </c>
      <c r="BK8" s="288" t="s">
        <v>2144</v>
      </c>
      <c r="BL8" s="288">
        <f>11/11</f>
        <v>1</v>
      </c>
      <c r="BM8" s="76">
        <f>(BL8/$AY8)*(8.3%*5)</f>
        <v>0.45108695652173914</v>
      </c>
      <c r="BN8" s="288" t="s">
        <v>2145</v>
      </c>
      <c r="BO8" s="288">
        <f>16/16</f>
        <v>1</v>
      </c>
      <c r="BP8" s="76">
        <f>(BO8/$AY8)*(8.3%*6)</f>
        <v>0.54130434782608694</v>
      </c>
      <c r="BQ8" s="288" t="s">
        <v>2146</v>
      </c>
      <c r="BR8" s="288">
        <f>17/17</f>
        <v>1</v>
      </c>
      <c r="BS8" s="76">
        <f>(BR8/$AY8)*(8.3%*7)</f>
        <v>0.63152173913043486</v>
      </c>
      <c r="BT8" s="288" t="s">
        <v>2147</v>
      </c>
      <c r="BU8" s="288">
        <f>19/19</f>
        <v>1</v>
      </c>
      <c r="BV8" s="76">
        <f>(BU8/$AY8)*(8.3%*8)</f>
        <v>0.72173913043478266</v>
      </c>
      <c r="BW8" s="288" t="s">
        <v>2148</v>
      </c>
      <c r="BX8" s="288">
        <f>22/22</f>
        <v>1</v>
      </c>
      <c r="BY8" s="76">
        <f>(BX8/$AY8)*(8.3%*9)</f>
        <v>0.81195652173913035</v>
      </c>
      <c r="BZ8" s="288" t="s">
        <v>2149</v>
      </c>
      <c r="CA8" s="288">
        <f>24/24</f>
        <v>1</v>
      </c>
      <c r="CB8" s="76">
        <f>(CA8/$AY8)*(8.3%*10)</f>
        <v>0.90217391304347827</v>
      </c>
      <c r="CC8" s="288" t="s">
        <v>2150</v>
      </c>
      <c r="CD8" s="288">
        <f>26/26</f>
        <v>1</v>
      </c>
      <c r="CE8" s="76">
        <f>(CD8/$AY8)*(8.3%*11)</f>
        <v>0.99239130434782608</v>
      </c>
      <c r="CF8" s="288" t="s">
        <v>2151</v>
      </c>
      <c r="CG8" s="288">
        <f>28/28</f>
        <v>1</v>
      </c>
      <c r="CH8" s="76">
        <f>(CG8/$AY8)*(8.3%*12)</f>
        <v>1.0826086956521739</v>
      </c>
      <c r="CI8" s="324" t="s">
        <v>2152</v>
      </c>
      <c r="CJ8" s="11" t="s">
        <v>106</v>
      </c>
      <c r="CK8" s="11" t="s">
        <v>107</v>
      </c>
    </row>
    <row r="9" spans="1:174" s="4" customFormat="1" ht="33.75" customHeight="1" x14ac:dyDescent="0.2">
      <c r="A9" s="368"/>
      <c r="B9" s="368"/>
      <c r="C9" s="368"/>
      <c r="D9" s="368"/>
      <c r="E9" s="373"/>
      <c r="F9" s="368"/>
      <c r="G9" s="368"/>
      <c r="H9" s="401"/>
      <c r="I9" s="375"/>
      <c r="J9" s="368"/>
      <c r="K9" s="368"/>
      <c r="L9" s="435"/>
      <c r="M9" s="367"/>
      <c r="N9" s="405"/>
      <c r="O9" s="367"/>
      <c r="P9" s="367"/>
      <c r="Q9" s="405"/>
      <c r="R9" s="367"/>
      <c r="S9" s="367"/>
      <c r="T9" s="405"/>
      <c r="U9" s="367"/>
      <c r="V9" s="367"/>
      <c r="W9" s="405"/>
      <c r="X9" s="367"/>
      <c r="Y9" s="367"/>
      <c r="Z9" s="405"/>
      <c r="AA9" s="367"/>
      <c r="AB9" s="367"/>
      <c r="AC9" s="405"/>
      <c r="AD9" s="367"/>
      <c r="AE9" s="367"/>
      <c r="AF9" s="405"/>
      <c r="AG9" s="367"/>
      <c r="AH9" s="367"/>
      <c r="AI9" s="405"/>
      <c r="AJ9" s="367"/>
      <c r="AK9" s="367"/>
      <c r="AL9" s="405"/>
      <c r="AM9" s="367"/>
      <c r="AN9" s="367"/>
      <c r="AO9" s="405"/>
      <c r="AP9" s="367"/>
      <c r="AQ9" s="367"/>
      <c r="AR9" s="405"/>
      <c r="AS9" s="367"/>
      <c r="AT9" s="367"/>
      <c r="AU9" s="405"/>
      <c r="AV9" s="478"/>
      <c r="AW9" s="11" t="s">
        <v>2153</v>
      </c>
      <c r="AX9" s="11" t="s">
        <v>2154</v>
      </c>
      <c r="AY9" s="287">
        <v>0.92</v>
      </c>
      <c r="AZ9" s="288">
        <v>0</v>
      </c>
      <c r="BA9" s="76">
        <f t="shared" ref="BA9:BA12" si="0">(AZ9/$AY9)*(8.3%*1)</f>
        <v>0</v>
      </c>
      <c r="BB9" s="288" t="s">
        <v>2155</v>
      </c>
      <c r="BC9" s="288">
        <v>0</v>
      </c>
      <c r="BD9" s="76">
        <f>(BC9/$AY9)*(8.3%*2)</f>
        <v>0</v>
      </c>
      <c r="BE9" s="288" t="s">
        <v>2156</v>
      </c>
      <c r="BF9" s="288">
        <f>0/2</f>
        <v>0</v>
      </c>
      <c r="BG9" s="76">
        <f>(BF9/$AY9)*(8.3%*3)</f>
        <v>0</v>
      </c>
      <c r="BH9" s="288" t="s">
        <v>2157</v>
      </c>
      <c r="BI9" s="288">
        <v>0</v>
      </c>
      <c r="BJ9" s="76">
        <f t="shared" ref="BJ9:BJ12" si="1">(BI9/$AY9)*(8.3%*4)</f>
        <v>0</v>
      </c>
      <c r="BK9" s="288" t="s">
        <v>2158</v>
      </c>
      <c r="BL9" s="288">
        <f>1/4</f>
        <v>0.25</v>
      </c>
      <c r="BM9" s="76">
        <f t="shared" ref="BM9:BM12" si="2">(BL9/$AY9)*(8.3%*5)</f>
        <v>0.11277173913043478</v>
      </c>
      <c r="BN9" s="288" t="s">
        <v>2159</v>
      </c>
      <c r="BO9" s="288">
        <f>1/4</f>
        <v>0.25</v>
      </c>
      <c r="BP9" s="76">
        <f t="shared" ref="BP9:BP12" si="3">(BO9/$AY9)*(8.3%*6)</f>
        <v>0.13532608695652174</v>
      </c>
      <c r="BQ9" s="288" t="s">
        <v>2160</v>
      </c>
      <c r="BR9" s="288">
        <f>2/8</f>
        <v>0.25</v>
      </c>
      <c r="BS9" s="76">
        <f>(BR9/$AY9)*(8.3%*7)</f>
        <v>0.15788043478260871</v>
      </c>
      <c r="BT9" s="288" t="s">
        <v>2161</v>
      </c>
      <c r="BU9" s="288">
        <f>4/12</f>
        <v>0.33333333333333331</v>
      </c>
      <c r="BV9" s="76">
        <f>(BU9/$AY9)*(8.3%*8)</f>
        <v>0.24057971014492752</v>
      </c>
      <c r="BW9" s="288" t="s">
        <v>2162</v>
      </c>
      <c r="BX9" s="288">
        <f>4/15</f>
        <v>0.26666666666666666</v>
      </c>
      <c r="BY9" s="76">
        <f>(BX9/$AY9)*(8.3%*9)</f>
        <v>0.21652173913043479</v>
      </c>
      <c r="BZ9" s="288" t="s">
        <v>2163</v>
      </c>
      <c r="CA9" s="288">
        <f>4/17</f>
        <v>0.23529411764705882</v>
      </c>
      <c r="CB9" s="76">
        <f>(CA9/$AY9)*(8.3%*10)</f>
        <v>0.21227621483375958</v>
      </c>
      <c r="CC9" s="288" t="s">
        <v>2164</v>
      </c>
      <c r="CD9" s="288">
        <f>7/21</f>
        <v>0.33333333333333331</v>
      </c>
      <c r="CE9" s="76">
        <f>(CD9/$AY9)*(8.3%*11)</f>
        <v>0.33079710144927532</v>
      </c>
      <c r="CF9" s="288" t="s">
        <v>2165</v>
      </c>
      <c r="CG9" s="288">
        <f>7/23</f>
        <v>0.30434782608695654</v>
      </c>
      <c r="CH9" s="76">
        <f>(CG9/$AY9)*(8.3%*12)</f>
        <v>0.32948960302457464</v>
      </c>
      <c r="CI9" s="324" t="s">
        <v>2166</v>
      </c>
      <c r="CJ9" s="11" t="s">
        <v>106</v>
      </c>
      <c r="CK9" s="11" t="s">
        <v>107</v>
      </c>
    </row>
    <row r="10" spans="1:174" s="4" customFormat="1" ht="33.75" customHeight="1" x14ac:dyDescent="0.2">
      <c r="A10" s="368"/>
      <c r="B10" s="368"/>
      <c r="C10" s="368"/>
      <c r="D10" s="368"/>
      <c r="E10" s="373"/>
      <c r="F10" s="368"/>
      <c r="G10" s="368"/>
      <c r="H10" s="401"/>
      <c r="I10" s="374">
        <v>1077525282</v>
      </c>
      <c r="J10" s="368" t="s">
        <v>2167</v>
      </c>
      <c r="K10" s="368" t="s">
        <v>2168</v>
      </c>
      <c r="L10" s="393">
        <v>45</v>
      </c>
      <c r="M10" s="474">
        <v>3</v>
      </c>
      <c r="N10" s="403">
        <f>M10/$L10</f>
        <v>6.6666666666666666E-2</v>
      </c>
      <c r="O10" s="366" t="s">
        <v>2169</v>
      </c>
      <c r="P10" s="474">
        <v>3</v>
      </c>
      <c r="Q10" s="403">
        <f>P10/$L10</f>
        <v>6.6666666666666666E-2</v>
      </c>
      <c r="R10" s="366" t="s">
        <v>2170</v>
      </c>
      <c r="S10" s="474">
        <v>4</v>
      </c>
      <c r="T10" s="403">
        <f>S10/$L10</f>
        <v>8.8888888888888892E-2</v>
      </c>
      <c r="U10" s="366" t="s">
        <v>2171</v>
      </c>
      <c r="V10" s="474">
        <v>17</v>
      </c>
      <c r="W10" s="403">
        <f>V10/$L10</f>
        <v>0.37777777777777777</v>
      </c>
      <c r="X10" s="366" t="s">
        <v>2172</v>
      </c>
      <c r="Y10" s="474">
        <v>20</v>
      </c>
      <c r="Z10" s="403">
        <f>Y10/$L10</f>
        <v>0.44444444444444442</v>
      </c>
      <c r="AA10" s="366" t="s">
        <v>2173</v>
      </c>
      <c r="AB10" s="474">
        <v>23</v>
      </c>
      <c r="AC10" s="403">
        <f>AB10/$L10</f>
        <v>0.51111111111111107</v>
      </c>
      <c r="AD10" s="366" t="s">
        <v>2174</v>
      </c>
      <c r="AE10" s="474">
        <v>25</v>
      </c>
      <c r="AF10" s="403">
        <f>AE10/$L10</f>
        <v>0.55555555555555558</v>
      </c>
      <c r="AG10" s="366" t="s">
        <v>2175</v>
      </c>
      <c r="AH10" s="474">
        <v>29</v>
      </c>
      <c r="AI10" s="403">
        <f>AH10/$L10</f>
        <v>0.64444444444444449</v>
      </c>
      <c r="AJ10" s="366" t="s">
        <v>2176</v>
      </c>
      <c r="AK10" s="474">
        <v>35</v>
      </c>
      <c r="AL10" s="403">
        <f>AK10/$L10</f>
        <v>0.77777777777777779</v>
      </c>
      <c r="AM10" s="366" t="s">
        <v>2177</v>
      </c>
      <c r="AN10" s="474">
        <v>38</v>
      </c>
      <c r="AO10" s="403">
        <f>AN10/$L10</f>
        <v>0.84444444444444444</v>
      </c>
      <c r="AP10" s="366" t="s">
        <v>2178</v>
      </c>
      <c r="AQ10" s="474">
        <v>43</v>
      </c>
      <c r="AR10" s="403">
        <f>AQ10/$L10</f>
        <v>0.9555555555555556</v>
      </c>
      <c r="AS10" s="366" t="s">
        <v>2179</v>
      </c>
      <c r="AT10" s="474">
        <v>48</v>
      </c>
      <c r="AU10" s="403">
        <f>AT10/$L10</f>
        <v>1.0666666666666667</v>
      </c>
      <c r="AV10" s="477" t="s">
        <v>2180</v>
      </c>
      <c r="AW10" s="11" t="s">
        <v>2181</v>
      </c>
      <c r="AX10" s="11" t="s">
        <v>2182</v>
      </c>
      <c r="AY10" s="285">
        <v>30</v>
      </c>
      <c r="AZ10" s="325">
        <v>1</v>
      </c>
      <c r="BA10" s="76">
        <f>AZ10/$AY10</f>
        <v>3.3333333333333333E-2</v>
      </c>
      <c r="BB10" s="288" t="s">
        <v>2183</v>
      </c>
      <c r="BC10" s="325">
        <v>4</v>
      </c>
      <c r="BD10" s="76">
        <f>BC10/$AY10</f>
        <v>0.13333333333333333</v>
      </c>
      <c r="BE10" s="325" t="s">
        <v>2184</v>
      </c>
      <c r="BF10" s="325">
        <v>10</v>
      </c>
      <c r="BG10" s="76">
        <f>BF10/$AY10</f>
        <v>0.33333333333333331</v>
      </c>
      <c r="BH10" s="288" t="s">
        <v>2185</v>
      </c>
      <c r="BI10" s="325">
        <v>13</v>
      </c>
      <c r="BJ10" s="76">
        <f>(BI10/$AY10)</f>
        <v>0.43333333333333335</v>
      </c>
      <c r="BK10" s="288" t="s">
        <v>2186</v>
      </c>
      <c r="BL10" s="325">
        <v>15</v>
      </c>
      <c r="BM10" s="76">
        <f>(BL10/$AY10)</f>
        <v>0.5</v>
      </c>
      <c r="BN10" s="325" t="s">
        <v>2187</v>
      </c>
      <c r="BO10" s="325">
        <v>19</v>
      </c>
      <c r="BP10" s="76">
        <f>(BO10/$AY10)</f>
        <v>0.6333333333333333</v>
      </c>
      <c r="BQ10" s="288" t="s">
        <v>2188</v>
      </c>
      <c r="BR10" s="325">
        <v>22</v>
      </c>
      <c r="BS10" s="76">
        <f>(BR10/$AY10)</f>
        <v>0.73333333333333328</v>
      </c>
      <c r="BT10" s="288" t="s">
        <v>2189</v>
      </c>
      <c r="BU10" s="325">
        <v>26</v>
      </c>
      <c r="BV10" s="76">
        <f>(BU10/$AY10)</f>
        <v>0.8666666666666667</v>
      </c>
      <c r="BW10" s="288" t="s">
        <v>2190</v>
      </c>
      <c r="BX10" s="325">
        <v>28</v>
      </c>
      <c r="BY10" s="76">
        <f>(BX10/$AY10)</f>
        <v>0.93333333333333335</v>
      </c>
      <c r="BZ10" s="288" t="s">
        <v>2191</v>
      </c>
      <c r="CA10" s="325">
        <v>30</v>
      </c>
      <c r="CB10" s="76">
        <f>(CA10/$AY10)</f>
        <v>1</v>
      </c>
      <c r="CC10" s="288" t="s">
        <v>2192</v>
      </c>
      <c r="CD10" s="325">
        <v>32</v>
      </c>
      <c r="CE10" s="76">
        <f>(CD10/$AY10)</f>
        <v>1.0666666666666667</v>
      </c>
      <c r="CF10" s="288" t="s">
        <v>2193</v>
      </c>
      <c r="CG10" s="325">
        <v>34</v>
      </c>
      <c r="CH10" s="76">
        <f>(CG10/$AY10)</f>
        <v>1.1333333333333333</v>
      </c>
      <c r="CI10" s="324" t="s">
        <v>2194</v>
      </c>
      <c r="CJ10" s="11" t="s">
        <v>106</v>
      </c>
      <c r="CK10" s="11" t="s">
        <v>107</v>
      </c>
    </row>
    <row r="11" spans="1:174" s="4" customFormat="1" ht="45" customHeight="1" x14ac:dyDescent="0.2">
      <c r="A11" s="368"/>
      <c r="B11" s="368"/>
      <c r="C11" s="368"/>
      <c r="D11" s="368"/>
      <c r="E11" s="373"/>
      <c r="F11" s="368"/>
      <c r="G11" s="368"/>
      <c r="H11" s="401"/>
      <c r="I11" s="401"/>
      <c r="J11" s="368"/>
      <c r="K11" s="368"/>
      <c r="L11" s="393"/>
      <c r="M11" s="475"/>
      <c r="N11" s="404"/>
      <c r="O11" s="402"/>
      <c r="P11" s="475"/>
      <c r="Q11" s="404"/>
      <c r="R11" s="402"/>
      <c r="S11" s="475"/>
      <c r="T11" s="404"/>
      <c r="U11" s="402"/>
      <c r="V11" s="475"/>
      <c r="W11" s="404"/>
      <c r="X11" s="402"/>
      <c r="Y11" s="475"/>
      <c r="Z11" s="404"/>
      <c r="AA11" s="402"/>
      <c r="AB11" s="475"/>
      <c r="AC11" s="404"/>
      <c r="AD11" s="402"/>
      <c r="AE11" s="475"/>
      <c r="AF11" s="404"/>
      <c r="AG11" s="402"/>
      <c r="AH11" s="475"/>
      <c r="AI11" s="404"/>
      <c r="AJ11" s="402"/>
      <c r="AK11" s="475"/>
      <c r="AL11" s="404"/>
      <c r="AM11" s="402"/>
      <c r="AN11" s="475"/>
      <c r="AO11" s="404"/>
      <c r="AP11" s="402"/>
      <c r="AQ11" s="475"/>
      <c r="AR11" s="404"/>
      <c r="AS11" s="402"/>
      <c r="AT11" s="475"/>
      <c r="AU11" s="404"/>
      <c r="AV11" s="479"/>
      <c r="AW11" s="11" t="s">
        <v>2195</v>
      </c>
      <c r="AX11" s="11" t="s">
        <v>2196</v>
      </c>
      <c r="AY11" s="285">
        <v>35</v>
      </c>
      <c r="AZ11" s="325">
        <v>2</v>
      </c>
      <c r="BA11" s="76">
        <f>AZ11/$AY11</f>
        <v>5.7142857142857141E-2</v>
      </c>
      <c r="BB11" s="288" t="s">
        <v>2197</v>
      </c>
      <c r="BC11" s="325">
        <v>2</v>
      </c>
      <c r="BD11" s="76">
        <f>BC11/$AY11</f>
        <v>5.7142857142857141E-2</v>
      </c>
      <c r="BE11" s="325" t="s">
        <v>2198</v>
      </c>
      <c r="BF11" s="325">
        <v>3</v>
      </c>
      <c r="BG11" s="76">
        <f>BF11/$AY11</f>
        <v>8.5714285714285715E-2</v>
      </c>
      <c r="BH11" s="288" t="s">
        <v>2199</v>
      </c>
      <c r="BI11" s="325">
        <v>16</v>
      </c>
      <c r="BJ11" s="76">
        <f>(BI11/$AY11)</f>
        <v>0.45714285714285713</v>
      </c>
      <c r="BK11" s="288" t="s">
        <v>2200</v>
      </c>
      <c r="BL11" s="325">
        <v>20</v>
      </c>
      <c r="BM11" s="76">
        <f>(BL11/$AY11)</f>
        <v>0.5714285714285714</v>
      </c>
      <c r="BN11" s="325" t="s">
        <v>2201</v>
      </c>
      <c r="BO11" s="325">
        <v>22</v>
      </c>
      <c r="BP11" s="76">
        <f>(BO11/$AY11)</f>
        <v>0.62857142857142856</v>
      </c>
      <c r="BQ11" s="288" t="s">
        <v>2202</v>
      </c>
      <c r="BR11" s="325">
        <v>24</v>
      </c>
      <c r="BS11" s="76">
        <f>(BR11/$AY11)</f>
        <v>0.68571428571428572</v>
      </c>
      <c r="BT11" s="288" t="s">
        <v>2203</v>
      </c>
      <c r="BU11" s="325">
        <v>29</v>
      </c>
      <c r="BV11" s="76">
        <f>(BU11/$AY11)</f>
        <v>0.82857142857142863</v>
      </c>
      <c r="BW11" s="288" t="s">
        <v>2204</v>
      </c>
      <c r="BX11" s="325">
        <v>34</v>
      </c>
      <c r="BY11" s="76">
        <f>(BX11/$AY11)</f>
        <v>0.97142857142857142</v>
      </c>
      <c r="BZ11" s="288" t="s">
        <v>2205</v>
      </c>
      <c r="CA11" s="325">
        <v>38</v>
      </c>
      <c r="CB11" s="76">
        <f>(CA11/$AY11)</f>
        <v>1.0857142857142856</v>
      </c>
      <c r="CC11" s="288" t="s">
        <v>2206</v>
      </c>
      <c r="CD11" s="325">
        <v>44</v>
      </c>
      <c r="CE11" s="76">
        <f>(CD11/$AY11)</f>
        <v>1.2571428571428571</v>
      </c>
      <c r="CF11" s="288" t="s">
        <v>2207</v>
      </c>
      <c r="CG11" s="325">
        <v>47</v>
      </c>
      <c r="CH11" s="76">
        <f>(CG11/$AY11)</f>
        <v>1.3428571428571427</v>
      </c>
      <c r="CI11" s="324" t="s">
        <v>2208</v>
      </c>
      <c r="CJ11" s="11" t="s">
        <v>106</v>
      </c>
      <c r="CK11" s="11" t="s">
        <v>107</v>
      </c>
    </row>
    <row r="12" spans="1:174" s="4" customFormat="1" ht="228" x14ac:dyDescent="0.2">
      <c r="A12" s="368"/>
      <c r="B12" s="368"/>
      <c r="C12" s="368"/>
      <c r="D12" s="368"/>
      <c r="E12" s="373"/>
      <c r="F12" s="368"/>
      <c r="G12" s="368"/>
      <c r="H12" s="401"/>
      <c r="I12" s="375"/>
      <c r="J12" s="368"/>
      <c r="K12" s="368"/>
      <c r="L12" s="393"/>
      <c r="M12" s="476"/>
      <c r="N12" s="405"/>
      <c r="O12" s="367"/>
      <c r="P12" s="476"/>
      <c r="Q12" s="405"/>
      <c r="R12" s="367"/>
      <c r="S12" s="476"/>
      <c r="T12" s="405"/>
      <c r="U12" s="367"/>
      <c r="V12" s="476"/>
      <c r="W12" s="405"/>
      <c r="X12" s="367"/>
      <c r="Y12" s="476"/>
      <c r="Z12" s="405"/>
      <c r="AA12" s="367"/>
      <c r="AB12" s="476"/>
      <c r="AC12" s="405"/>
      <c r="AD12" s="367"/>
      <c r="AE12" s="476"/>
      <c r="AF12" s="405"/>
      <c r="AG12" s="367"/>
      <c r="AH12" s="476"/>
      <c r="AI12" s="405"/>
      <c r="AJ12" s="367"/>
      <c r="AK12" s="476"/>
      <c r="AL12" s="405"/>
      <c r="AM12" s="367"/>
      <c r="AN12" s="476"/>
      <c r="AO12" s="405"/>
      <c r="AP12" s="367"/>
      <c r="AQ12" s="476"/>
      <c r="AR12" s="405"/>
      <c r="AS12" s="367"/>
      <c r="AT12" s="476"/>
      <c r="AU12" s="405"/>
      <c r="AV12" s="478"/>
      <c r="AW12" s="11" t="s">
        <v>2209</v>
      </c>
      <c r="AX12" s="11" t="s">
        <v>2210</v>
      </c>
      <c r="AY12" s="287">
        <v>0.85</v>
      </c>
      <c r="AZ12" s="288">
        <f>2/2</f>
        <v>1</v>
      </c>
      <c r="BA12" s="76">
        <f t="shared" si="0"/>
        <v>9.764705882352942E-2</v>
      </c>
      <c r="BB12" s="288" t="s">
        <v>2211</v>
      </c>
      <c r="BC12" s="288">
        <f>2/2</f>
        <v>1</v>
      </c>
      <c r="BD12" s="76">
        <f>(BC12/$AY12)*(8.3%*2)</f>
        <v>0.19529411764705884</v>
      </c>
      <c r="BE12" s="288" t="s">
        <v>2212</v>
      </c>
      <c r="BF12" s="288">
        <f>3/3</f>
        <v>1</v>
      </c>
      <c r="BG12" s="76">
        <f>(BF12/$AY12)*(8.3%*3)</f>
        <v>0.29294117647058826</v>
      </c>
      <c r="BH12" s="288" t="s">
        <v>2213</v>
      </c>
      <c r="BI12" s="288">
        <f>5/5</f>
        <v>1</v>
      </c>
      <c r="BJ12" s="76">
        <f t="shared" si="1"/>
        <v>0.39058823529411768</v>
      </c>
      <c r="BK12" s="288" t="s">
        <v>2214</v>
      </c>
      <c r="BL12" s="288">
        <f>7/7</f>
        <v>1</v>
      </c>
      <c r="BM12" s="76">
        <f t="shared" si="2"/>
        <v>0.4882352941176471</v>
      </c>
      <c r="BN12" s="288" t="s">
        <v>2215</v>
      </c>
      <c r="BO12" s="288">
        <f>8/8</f>
        <v>1</v>
      </c>
      <c r="BP12" s="76">
        <f t="shared" si="3"/>
        <v>0.58588235294117652</v>
      </c>
      <c r="BQ12" s="288" t="s">
        <v>2216</v>
      </c>
      <c r="BR12" s="288">
        <f>10/10</f>
        <v>1</v>
      </c>
      <c r="BS12" s="76">
        <f>(BR12/$AY12)*(8.3%*7)</f>
        <v>0.68352941176470594</v>
      </c>
      <c r="BT12" s="288" t="s">
        <v>2217</v>
      </c>
      <c r="BU12" s="288">
        <f>13/13</f>
        <v>1</v>
      </c>
      <c r="BV12" s="76">
        <f>(BU12/$AY12)*(8.3%*8)</f>
        <v>0.78117647058823536</v>
      </c>
      <c r="BW12" s="288" t="s">
        <v>2218</v>
      </c>
      <c r="BX12" s="288">
        <f>18/18</f>
        <v>1</v>
      </c>
      <c r="BY12" s="76">
        <f>(BX12/$AY12)*(8.3%*9)</f>
        <v>0.87882352941176478</v>
      </c>
      <c r="BZ12" s="288" t="s">
        <v>2219</v>
      </c>
      <c r="CA12" s="288">
        <f>21/21</f>
        <v>1</v>
      </c>
      <c r="CB12" s="76">
        <f>(CA12/$AY12)*(8.3%*10)</f>
        <v>0.9764705882352942</v>
      </c>
      <c r="CC12" s="288" t="s">
        <v>2220</v>
      </c>
      <c r="CD12" s="288">
        <f>26/26</f>
        <v>1</v>
      </c>
      <c r="CE12" s="76">
        <f>(CD12/$AY12)*(8.3%*11)</f>
        <v>1.0741176470588236</v>
      </c>
      <c r="CF12" s="288" t="s">
        <v>2221</v>
      </c>
      <c r="CG12" s="288">
        <f>28/28</f>
        <v>1</v>
      </c>
      <c r="CH12" s="76">
        <f>(CG12/$AY12)*(8.3%*12)</f>
        <v>1.171764705882353</v>
      </c>
      <c r="CI12" s="324" t="s">
        <v>2222</v>
      </c>
      <c r="CJ12" s="11" t="s">
        <v>106</v>
      </c>
      <c r="CK12" s="11" t="s">
        <v>107</v>
      </c>
    </row>
    <row r="13" spans="1:174" ht="75" x14ac:dyDescent="0.25">
      <c r="H13" s="401"/>
      <c r="M13" s="56" t="s">
        <v>153</v>
      </c>
      <c r="N13" s="74">
        <f>AVERAGE(N8:N12)</f>
        <v>7.8442028985507256E-2</v>
      </c>
      <c r="P13" s="56" t="s">
        <v>153</v>
      </c>
      <c r="Q13" s="74">
        <f>AVERAGE(Q8:Q12)</f>
        <v>0.12355072463768116</v>
      </c>
      <c r="S13" s="56" t="s">
        <v>153</v>
      </c>
      <c r="T13" s="74">
        <f>AVERAGE(T8:T12)</f>
        <v>0.17977053140096619</v>
      </c>
      <c r="V13" s="56" t="s">
        <v>153</v>
      </c>
      <c r="W13" s="74">
        <f>AVERAGE(W8:W12)</f>
        <v>0.36932367149758455</v>
      </c>
      <c r="Y13" s="56" t="s">
        <v>153</v>
      </c>
      <c r="Z13" s="74">
        <f>AVERAGE(Z8:Z12)</f>
        <v>0.44776570048309178</v>
      </c>
      <c r="AB13" s="56" t="s">
        <v>153</v>
      </c>
      <c r="AC13" s="74">
        <f>AVERAGE(AC8:AC12)</f>
        <v>0.52620772946859895</v>
      </c>
      <c r="AE13" s="56" t="s">
        <v>153</v>
      </c>
      <c r="AF13" s="74">
        <f>AVERAGE(AF8:AF12)</f>
        <v>0.59353864734299522</v>
      </c>
      <c r="AH13" s="56" t="s">
        <v>153</v>
      </c>
      <c r="AI13" s="74">
        <f>AVERAGE(AI8:AI12)</f>
        <v>0.68309178743961363</v>
      </c>
      <c r="AK13" s="56" t="s">
        <v>153</v>
      </c>
      <c r="AL13" s="74">
        <f>AVERAGE(AL8:AL12)</f>
        <v>0.79486714975845407</v>
      </c>
      <c r="AN13" s="56" t="s">
        <v>153</v>
      </c>
      <c r="AO13" s="74">
        <f>AVERAGE(AO8:AO12)</f>
        <v>0.8733091787439613</v>
      </c>
      <c r="AQ13" s="56" t="s">
        <v>153</v>
      </c>
      <c r="AR13" s="74">
        <f>AVERAGE(AR8:AR12)</f>
        <v>0.97397342995169089</v>
      </c>
      <c r="AT13" s="56" t="s">
        <v>153</v>
      </c>
      <c r="AU13" s="74">
        <f>AVERAGE(AU8:AU12)</f>
        <v>1.0746376811594203</v>
      </c>
      <c r="AZ13" s="56" t="s">
        <v>154</v>
      </c>
      <c r="BA13" s="74">
        <f>AVERAGE(BA8:BA12)</f>
        <v>5.5668128120813544E-2</v>
      </c>
      <c r="BC13" s="56" t="s">
        <v>154</v>
      </c>
      <c r="BD13" s="74">
        <f>AVERAGE(BD8:BD12)</f>
        <v>0.11324101814638901</v>
      </c>
      <c r="BF13" s="56" t="s">
        <v>154</v>
      </c>
      <c r="BG13" s="74">
        <f>AVERAGE(BG8:BG12)</f>
        <v>0.19652819388625015</v>
      </c>
      <c r="BH13" s="292"/>
      <c r="BI13" s="56" t="s">
        <v>154</v>
      </c>
      <c r="BJ13" s="74">
        <f>AVERAGE(BJ8:BJ12)</f>
        <v>0.32838679819753991</v>
      </c>
      <c r="BL13" s="56" t="s">
        <v>154</v>
      </c>
      <c r="BM13" s="74">
        <f>AVERAGE(BM8:BM12)</f>
        <v>0.42470451223967842</v>
      </c>
      <c r="BO13" s="56" t="s">
        <v>154</v>
      </c>
      <c r="BP13" s="74">
        <f>AVERAGE(BP8:BP12)</f>
        <v>0.50488350992570941</v>
      </c>
      <c r="BQ13" s="292"/>
      <c r="BR13" s="56" t="s">
        <v>154</v>
      </c>
      <c r="BS13" s="74">
        <f>AVERAGE(BS8:BS12)</f>
        <v>0.57839584094507368</v>
      </c>
      <c r="BU13" s="56" t="s">
        <v>154</v>
      </c>
      <c r="BV13" s="74">
        <f>AVERAGE(BV8:BV12)</f>
        <v>0.68774668128120819</v>
      </c>
      <c r="BX13" s="56" t="s">
        <v>154</v>
      </c>
      <c r="BY13" s="74">
        <f>AVERAGE(BY8:BY12)</f>
        <v>0.76241273900864692</v>
      </c>
      <c r="BZ13" s="292"/>
      <c r="CA13" s="56" t="s">
        <v>154</v>
      </c>
      <c r="CB13" s="74">
        <f>AVERAGE(CB8:CB12)</f>
        <v>0.83532700036536356</v>
      </c>
      <c r="CD13" s="56" t="s">
        <v>154</v>
      </c>
      <c r="CE13" s="74">
        <f>AVERAGE(CE8:CE12)</f>
        <v>0.94422311533308978</v>
      </c>
      <c r="CF13" s="326"/>
      <c r="CG13" s="56" t="s">
        <v>154</v>
      </c>
      <c r="CH13" s="74">
        <f>AVERAGE(CH8:CH12)</f>
        <v>1.0120106961499156</v>
      </c>
      <c r="CI13" s="292"/>
      <c r="CJ13" s="292"/>
      <c r="CK13" s="292"/>
      <c r="FO13" s="296"/>
      <c r="FP13" s="296"/>
      <c r="FQ13" s="296"/>
      <c r="FR13" s="296"/>
    </row>
    <row r="14" spans="1:174" s="4" customFormat="1" ht="45" customHeight="1" x14ac:dyDescent="0.2">
      <c r="A14" s="368" t="s">
        <v>84</v>
      </c>
      <c r="B14" s="368" t="s">
        <v>274</v>
      </c>
      <c r="C14" s="368" t="s">
        <v>2718</v>
      </c>
      <c r="D14" s="368" t="s">
        <v>32</v>
      </c>
      <c r="E14" s="373" t="s">
        <v>2223</v>
      </c>
      <c r="F14" s="368" t="s">
        <v>88</v>
      </c>
      <c r="G14" s="368" t="s">
        <v>276</v>
      </c>
      <c r="H14" s="401"/>
      <c r="I14" s="374">
        <v>1698752993</v>
      </c>
      <c r="J14" s="368" t="s">
        <v>2125</v>
      </c>
      <c r="K14" s="368" t="s">
        <v>2126</v>
      </c>
      <c r="L14" s="435">
        <v>0.92</v>
      </c>
      <c r="M14" s="366">
        <f>6/6</f>
        <v>1</v>
      </c>
      <c r="N14" s="403">
        <f>(M14/$L14)*(8.3%*1)</f>
        <v>9.0217391304347833E-2</v>
      </c>
      <c r="O14" s="366" t="s">
        <v>2224</v>
      </c>
      <c r="P14" s="366">
        <f>3/3</f>
        <v>1</v>
      </c>
      <c r="Q14" s="403">
        <f>(P14/$L14)*(8.3%*2)</f>
        <v>0.18043478260869567</v>
      </c>
      <c r="R14" s="366" t="s">
        <v>2225</v>
      </c>
      <c r="S14" s="366">
        <f>5/5</f>
        <v>1</v>
      </c>
      <c r="T14" s="403">
        <f>(S14/$L14)*(8.3%*3)</f>
        <v>0.27065217391304347</v>
      </c>
      <c r="U14" s="366" t="s">
        <v>2226</v>
      </c>
      <c r="V14" s="366">
        <f>9/9</f>
        <v>1</v>
      </c>
      <c r="W14" s="403">
        <f>(V14/$L14)*(8.3%*4)</f>
        <v>0.36086956521739133</v>
      </c>
      <c r="X14" s="366" t="s">
        <v>2227</v>
      </c>
      <c r="Y14" s="366">
        <f>12/12</f>
        <v>1</v>
      </c>
      <c r="Z14" s="403">
        <f>(Y14/$L14)*(8.3%*5)</f>
        <v>0.45108695652173914</v>
      </c>
      <c r="AA14" s="366" t="s">
        <v>2228</v>
      </c>
      <c r="AB14" s="366">
        <f>13/13</f>
        <v>1</v>
      </c>
      <c r="AC14" s="403">
        <f>(AB14/$L14)*(8.3%*6)</f>
        <v>0.54130434782608694</v>
      </c>
      <c r="AD14" s="366" t="s">
        <v>2229</v>
      </c>
      <c r="AE14" s="366">
        <f>14/14</f>
        <v>1</v>
      </c>
      <c r="AF14" s="403">
        <f>(AE14/$L14)*(8.3%*7)</f>
        <v>0.63152173913043486</v>
      </c>
      <c r="AG14" s="366" t="s">
        <v>2230</v>
      </c>
      <c r="AH14" s="366">
        <f>15/15</f>
        <v>1</v>
      </c>
      <c r="AI14" s="403">
        <f>(AH14/$L14)*(8.3%*8)</f>
        <v>0.72173913043478266</v>
      </c>
      <c r="AJ14" s="366" t="s">
        <v>2231</v>
      </c>
      <c r="AK14" s="366">
        <f>19/19</f>
        <v>1</v>
      </c>
      <c r="AL14" s="403">
        <f>(AK14/$L14)*(8.3%*9)</f>
        <v>0.81195652173913035</v>
      </c>
      <c r="AM14" s="366" t="s">
        <v>2232</v>
      </c>
      <c r="AN14" s="366">
        <f>20/20</f>
        <v>1</v>
      </c>
      <c r="AO14" s="403">
        <f>(AN14/$L14)*(8.3%*10)</f>
        <v>0.90217391304347827</v>
      </c>
      <c r="AP14" s="366" t="s">
        <v>2233</v>
      </c>
      <c r="AQ14" s="366">
        <f>24/24</f>
        <v>1</v>
      </c>
      <c r="AR14" s="403">
        <f>(AQ14/$L14)*(8.3%*11)</f>
        <v>0.99239130434782608</v>
      </c>
      <c r="AS14" s="366" t="s">
        <v>2234</v>
      </c>
      <c r="AT14" s="366">
        <f>25/25</f>
        <v>1</v>
      </c>
      <c r="AU14" s="403">
        <f>(AT14/$L14)*(8.3%*12)</f>
        <v>1.0826086956521739</v>
      </c>
      <c r="AV14" s="477" t="s">
        <v>2235</v>
      </c>
      <c r="AW14" s="11" t="s">
        <v>2139</v>
      </c>
      <c r="AX14" s="11" t="s">
        <v>2140</v>
      </c>
      <c r="AY14" s="287">
        <v>0.92</v>
      </c>
      <c r="AZ14" s="288">
        <v>0</v>
      </c>
      <c r="BA14" s="76">
        <f>(AZ14/$AY14)*(8.3%*1)</f>
        <v>0</v>
      </c>
      <c r="BB14" s="288" t="s">
        <v>2236</v>
      </c>
      <c r="BC14" s="288">
        <f>2/2</f>
        <v>1</v>
      </c>
      <c r="BD14" s="76">
        <f>(BC14/$AY14)*(8.3%*2)</f>
        <v>0.18043478260869567</v>
      </c>
      <c r="BE14" s="288" t="s">
        <v>2237</v>
      </c>
      <c r="BF14" s="288">
        <f>7/7</f>
        <v>1</v>
      </c>
      <c r="BG14" s="76">
        <f>(BF14/$AY14)*(8.3%*3)</f>
        <v>0.27065217391304347</v>
      </c>
      <c r="BH14" s="288" t="s">
        <v>2238</v>
      </c>
      <c r="BI14" s="288">
        <f>10/10</f>
        <v>1</v>
      </c>
      <c r="BJ14" s="76">
        <f>(BI14/$AY14)*(8.3%*4)</f>
        <v>0.36086956521739133</v>
      </c>
      <c r="BK14" s="288" t="s">
        <v>2144</v>
      </c>
      <c r="BL14" s="288">
        <f>9/9</f>
        <v>1</v>
      </c>
      <c r="BM14" s="76">
        <f>(BL14/$AY14)*(8.3%*5)</f>
        <v>0.45108695652173914</v>
      </c>
      <c r="BN14" s="288" t="s">
        <v>2239</v>
      </c>
      <c r="BO14" s="288">
        <f>11/11</f>
        <v>1</v>
      </c>
      <c r="BP14" s="76">
        <f>(BO14/$AY14)*(8.3%*6)</f>
        <v>0.54130434782608694</v>
      </c>
      <c r="BQ14" s="288" t="s">
        <v>2240</v>
      </c>
      <c r="BR14" s="288">
        <f>13/13</f>
        <v>1</v>
      </c>
      <c r="BS14" s="76">
        <f>(BR14/$AY14)*(8.3%*7)</f>
        <v>0.63152173913043486</v>
      </c>
      <c r="BT14" s="288" t="s">
        <v>2241</v>
      </c>
      <c r="BU14" s="288">
        <f>16/16</f>
        <v>1</v>
      </c>
      <c r="BV14" s="76">
        <f>(BU14/$AY14)*(8.3%*8)</f>
        <v>0.72173913043478266</v>
      </c>
      <c r="BW14" s="288" t="s">
        <v>2242</v>
      </c>
      <c r="BX14" s="288">
        <f>18/18</f>
        <v>1</v>
      </c>
      <c r="BY14" s="76">
        <f>(BX14/$AY14)*(8.3%*9)</f>
        <v>0.81195652173913035</v>
      </c>
      <c r="BZ14" s="288" t="s">
        <v>2243</v>
      </c>
      <c r="CA14" s="288">
        <f>20/20</f>
        <v>1</v>
      </c>
      <c r="CB14" s="76">
        <f>(CA14/$AY14)*(8.3%*10)</f>
        <v>0.90217391304347827</v>
      </c>
      <c r="CC14" s="288" t="s">
        <v>2244</v>
      </c>
      <c r="CD14" s="288">
        <f>24/24</f>
        <v>1</v>
      </c>
      <c r="CE14" s="76">
        <f>(CD14/$AY14)*(8.3%*11)</f>
        <v>0.99239130434782608</v>
      </c>
      <c r="CF14" s="288" t="s">
        <v>2245</v>
      </c>
      <c r="CG14" s="288">
        <f>28/28</f>
        <v>1</v>
      </c>
      <c r="CH14" s="76">
        <f>(CG14/$AY14)*(8.3%*12)</f>
        <v>1.0826086956521739</v>
      </c>
      <c r="CI14" s="324" t="s">
        <v>2246</v>
      </c>
      <c r="CJ14" s="11" t="s">
        <v>106</v>
      </c>
      <c r="CK14" s="11" t="s">
        <v>107</v>
      </c>
    </row>
    <row r="15" spans="1:174" s="4" customFormat="1" ht="60" customHeight="1" x14ac:dyDescent="0.2">
      <c r="A15" s="368"/>
      <c r="B15" s="368"/>
      <c r="C15" s="368"/>
      <c r="D15" s="368" t="s">
        <v>32</v>
      </c>
      <c r="E15" s="373" t="s">
        <v>2223</v>
      </c>
      <c r="F15" s="368"/>
      <c r="G15" s="368"/>
      <c r="H15" s="401"/>
      <c r="I15" s="375"/>
      <c r="J15" s="368"/>
      <c r="K15" s="368"/>
      <c r="L15" s="435"/>
      <c r="M15" s="367"/>
      <c r="N15" s="405"/>
      <c r="O15" s="367"/>
      <c r="P15" s="367"/>
      <c r="Q15" s="405"/>
      <c r="R15" s="367"/>
      <c r="S15" s="367"/>
      <c r="T15" s="405"/>
      <c r="U15" s="367"/>
      <c r="V15" s="367"/>
      <c r="W15" s="405"/>
      <c r="X15" s="367"/>
      <c r="Y15" s="367"/>
      <c r="Z15" s="405"/>
      <c r="AA15" s="367"/>
      <c r="AB15" s="367"/>
      <c r="AC15" s="405"/>
      <c r="AD15" s="367"/>
      <c r="AE15" s="367"/>
      <c r="AF15" s="405"/>
      <c r="AG15" s="367"/>
      <c r="AH15" s="367"/>
      <c r="AI15" s="405"/>
      <c r="AJ15" s="367"/>
      <c r="AK15" s="367"/>
      <c r="AL15" s="405"/>
      <c r="AM15" s="367"/>
      <c r="AN15" s="367"/>
      <c r="AO15" s="405"/>
      <c r="AP15" s="367"/>
      <c r="AQ15" s="367"/>
      <c r="AR15" s="405"/>
      <c r="AS15" s="367"/>
      <c r="AT15" s="367"/>
      <c r="AU15" s="405"/>
      <c r="AV15" s="478"/>
      <c r="AW15" s="11" t="s">
        <v>2153</v>
      </c>
      <c r="AX15" s="11" t="s">
        <v>2154</v>
      </c>
      <c r="AY15" s="287">
        <v>0.92</v>
      </c>
      <c r="AZ15" s="288">
        <v>0</v>
      </c>
      <c r="BA15" s="76">
        <f t="shared" ref="BA15:BA18" si="4">(AZ15/$AY15)*(8.3%*1)</f>
        <v>0</v>
      </c>
      <c r="BB15" s="288" t="s">
        <v>2247</v>
      </c>
      <c r="BC15" s="288">
        <v>0</v>
      </c>
      <c r="BD15" s="76">
        <f>(BC15/$AY15)*(8.3%*2)</f>
        <v>0</v>
      </c>
      <c r="BE15" s="288" t="s">
        <v>2248</v>
      </c>
      <c r="BF15" s="325">
        <f>1/8</f>
        <v>0.125</v>
      </c>
      <c r="BG15" s="76">
        <f>(BF15/$AY15)*(8.3%*3)</f>
        <v>3.3831521739130434E-2</v>
      </c>
      <c r="BH15" s="288" t="s">
        <v>2249</v>
      </c>
      <c r="BI15" s="288">
        <f>1/11</f>
        <v>9.0909090909090912E-2</v>
      </c>
      <c r="BJ15" s="76">
        <f t="shared" ref="BJ15:BJ24" si="5">(BI15/$AY15)*(8.3%*4)</f>
        <v>3.2806324110671935E-2</v>
      </c>
      <c r="BK15" s="288" t="s">
        <v>2250</v>
      </c>
      <c r="BL15" s="288">
        <f>1/11</f>
        <v>9.0909090909090912E-2</v>
      </c>
      <c r="BM15" s="76">
        <f t="shared" ref="BM15:BM24" si="6">(BL15/$AY15)*(8.3%*5)</f>
        <v>4.1007905138339927E-2</v>
      </c>
      <c r="BN15" s="288" t="s">
        <v>2250</v>
      </c>
      <c r="BO15" s="325">
        <f>1/12</f>
        <v>8.3333333333333329E-2</v>
      </c>
      <c r="BP15" s="76">
        <f t="shared" ref="BP15:BP24" si="7">(BO15/$AY15)*(8.3%*6)</f>
        <v>4.5108695652173902E-2</v>
      </c>
      <c r="BQ15" s="288" t="s">
        <v>2251</v>
      </c>
      <c r="BR15" s="288">
        <f>1/14</f>
        <v>7.1428571428571425E-2</v>
      </c>
      <c r="BS15" s="76">
        <f>(BR15/$AY15)*(8.3%*7)</f>
        <v>4.5108695652173916E-2</v>
      </c>
      <c r="BT15" s="288" t="s">
        <v>2252</v>
      </c>
      <c r="BU15" s="288">
        <f>3/17</f>
        <v>0.17647058823529413</v>
      </c>
      <c r="BV15" s="76">
        <f>(BU15/$AY15)*(8.3%*8)</f>
        <v>0.12736572890025577</v>
      </c>
      <c r="BW15" s="288" t="s">
        <v>2253</v>
      </c>
      <c r="BX15" s="288">
        <f>3/18</f>
        <v>0.16666666666666666</v>
      </c>
      <c r="BY15" s="76">
        <f>(BX15/$AY15)*(8.3%*9)</f>
        <v>0.13532608695652171</v>
      </c>
      <c r="BZ15" s="288" t="s">
        <v>2254</v>
      </c>
      <c r="CA15" s="288">
        <f>4/20</f>
        <v>0.2</v>
      </c>
      <c r="CB15" s="76">
        <f>(CA15/$AY15)*(8.3%*10)</f>
        <v>0.18043478260869567</v>
      </c>
      <c r="CC15" s="288" t="s">
        <v>2255</v>
      </c>
      <c r="CD15" s="288">
        <f>7/23</f>
        <v>0.30434782608695654</v>
      </c>
      <c r="CE15" s="76">
        <f>(CD15/$AY15)*(8.3%*11)</f>
        <v>0.30203213610586011</v>
      </c>
      <c r="CF15" s="288" t="s">
        <v>2256</v>
      </c>
      <c r="CG15" s="288">
        <f>7/24</f>
        <v>0.29166666666666669</v>
      </c>
      <c r="CH15" s="76">
        <f>(CG15/$AY15)*(8.3%*12)</f>
        <v>0.31576086956521743</v>
      </c>
      <c r="CI15" s="324" t="s">
        <v>2257</v>
      </c>
      <c r="CJ15" s="11" t="s">
        <v>106</v>
      </c>
      <c r="CK15" s="11" t="s">
        <v>107</v>
      </c>
    </row>
    <row r="16" spans="1:174" s="4" customFormat="1" ht="45" customHeight="1" x14ac:dyDescent="0.2">
      <c r="A16" s="368"/>
      <c r="B16" s="368"/>
      <c r="C16" s="368"/>
      <c r="D16" s="368" t="s">
        <v>32</v>
      </c>
      <c r="E16" s="373" t="s">
        <v>2223</v>
      </c>
      <c r="F16" s="368"/>
      <c r="G16" s="368"/>
      <c r="H16" s="401"/>
      <c r="I16" s="374">
        <v>1124113798</v>
      </c>
      <c r="J16" s="368" t="s">
        <v>2167</v>
      </c>
      <c r="K16" s="368" t="s">
        <v>2168</v>
      </c>
      <c r="L16" s="393">
        <v>36</v>
      </c>
      <c r="M16" s="474">
        <v>2</v>
      </c>
      <c r="N16" s="403">
        <f>M16/$L16</f>
        <v>5.5555555555555552E-2</v>
      </c>
      <c r="O16" s="366" t="s">
        <v>2258</v>
      </c>
      <c r="P16" s="474">
        <v>6</v>
      </c>
      <c r="Q16" s="403">
        <f>P16/$L16</f>
        <v>0.16666666666666666</v>
      </c>
      <c r="R16" s="366" t="s">
        <v>2259</v>
      </c>
      <c r="S16" s="474">
        <v>6</v>
      </c>
      <c r="T16" s="403">
        <f>S16/$L16</f>
        <v>0.16666666666666666</v>
      </c>
      <c r="U16" s="366" t="s">
        <v>2260</v>
      </c>
      <c r="V16" s="474">
        <v>13</v>
      </c>
      <c r="W16" s="403">
        <f>V16/$L16</f>
        <v>0.3611111111111111</v>
      </c>
      <c r="X16" s="366" t="s">
        <v>2261</v>
      </c>
      <c r="Y16" s="474">
        <v>15</v>
      </c>
      <c r="Z16" s="403">
        <f>Y16/$L16</f>
        <v>0.41666666666666669</v>
      </c>
      <c r="AA16" s="366" t="s">
        <v>2262</v>
      </c>
      <c r="AB16" s="474">
        <v>16</v>
      </c>
      <c r="AC16" s="403">
        <f>AB16/$L16</f>
        <v>0.44444444444444442</v>
      </c>
      <c r="AD16" s="366" t="s">
        <v>2263</v>
      </c>
      <c r="AE16" s="474">
        <v>17</v>
      </c>
      <c r="AF16" s="403">
        <f>AE16/$L16</f>
        <v>0.47222222222222221</v>
      </c>
      <c r="AG16" s="366" t="s">
        <v>2264</v>
      </c>
      <c r="AH16" s="474">
        <v>20</v>
      </c>
      <c r="AI16" s="403">
        <f>AH16/$L16</f>
        <v>0.55555555555555558</v>
      </c>
      <c r="AJ16" s="366" t="s">
        <v>2265</v>
      </c>
      <c r="AK16" s="474">
        <v>26</v>
      </c>
      <c r="AL16" s="403">
        <f>AK16/$L16</f>
        <v>0.72222222222222221</v>
      </c>
      <c r="AM16" s="366" t="s">
        <v>2266</v>
      </c>
      <c r="AN16" s="474">
        <v>27</v>
      </c>
      <c r="AO16" s="403">
        <f>AN16/$L16</f>
        <v>0.75</v>
      </c>
      <c r="AP16" s="366" t="s">
        <v>2267</v>
      </c>
      <c r="AQ16" s="474">
        <v>31</v>
      </c>
      <c r="AR16" s="403">
        <f>AQ16/$L16</f>
        <v>0.86111111111111116</v>
      </c>
      <c r="AS16" s="366" t="s">
        <v>2268</v>
      </c>
      <c r="AT16" s="474">
        <v>32</v>
      </c>
      <c r="AU16" s="403">
        <f>AT16/$L16</f>
        <v>0.88888888888888884</v>
      </c>
      <c r="AV16" s="477" t="s">
        <v>2269</v>
      </c>
      <c r="AW16" s="11" t="s">
        <v>2181</v>
      </c>
      <c r="AX16" s="11" t="s">
        <v>2182</v>
      </c>
      <c r="AY16" s="285">
        <v>29</v>
      </c>
      <c r="AZ16" s="325">
        <v>2</v>
      </c>
      <c r="BA16" s="76">
        <f>AZ16/$AY16</f>
        <v>6.8965517241379309E-2</v>
      </c>
      <c r="BB16" s="288" t="s">
        <v>2270</v>
      </c>
      <c r="BC16" s="325">
        <v>3</v>
      </c>
      <c r="BD16" s="76">
        <f>BC16/$AY16</f>
        <v>0.10344827586206896</v>
      </c>
      <c r="BE16" s="288" t="s">
        <v>2271</v>
      </c>
      <c r="BF16" s="325">
        <v>8</v>
      </c>
      <c r="BG16" s="76">
        <f>BF16/$AY16</f>
        <v>0.27586206896551724</v>
      </c>
      <c r="BH16" s="288" t="s">
        <v>2272</v>
      </c>
      <c r="BI16" s="325">
        <v>10</v>
      </c>
      <c r="BJ16" s="76">
        <f t="shared" ref="BJ16:BJ17" si="8">(BI16/$AY16)</f>
        <v>0.34482758620689657</v>
      </c>
      <c r="BK16" s="288" t="s">
        <v>2273</v>
      </c>
      <c r="BL16" s="325">
        <v>11</v>
      </c>
      <c r="BM16" s="76">
        <f t="shared" ref="BM16:BM17" si="9">(BL16/$AY16)</f>
        <v>0.37931034482758619</v>
      </c>
      <c r="BN16" s="288" t="s">
        <v>2274</v>
      </c>
      <c r="BO16" s="325">
        <v>13</v>
      </c>
      <c r="BP16" s="76">
        <f t="shared" ref="BP16:BP17" si="10">(BO16/$AY16)</f>
        <v>0.44827586206896552</v>
      </c>
      <c r="BQ16" s="288" t="s">
        <v>2275</v>
      </c>
      <c r="BR16" s="325">
        <v>17</v>
      </c>
      <c r="BS16" s="76">
        <f t="shared" ref="BS16:BS17" si="11">(BR16/$AY16)</f>
        <v>0.58620689655172409</v>
      </c>
      <c r="BT16" s="288" t="s">
        <v>2276</v>
      </c>
      <c r="BU16" s="325">
        <v>19</v>
      </c>
      <c r="BV16" s="76">
        <f t="shared" ref="BV16:BV17" si="12">(BU16/$AY16)</f>
        <v>0.65517241379310343</v>
      </c>
      <c r="BW16" s="288" t="s">
        <v>2277</v>
      </c>
      <c r="BX16" s="325">
        <v>21</v>
      </c>
      <c r="BY16" s="76">
        <f t="shared" ref="BY16:BY17" si="13">(BX16/$AY16)</f>
        <v>0.72413793103448276</v>
      </c>
      <c r="BZ16" s="288" t="s">
        <v>2278</v>
      </c>
      <c r="CA16" s="325">
        <v>23</v>
      </c>
      <c r="CB16" s="76">
        <f>(CA16/$AY16)</f>
        <v>0.7931034482758621</v>
      </c>
      <c r="CC16" s="288" t="s">
        <v>2279</v>
      </c>
      <c r="CD16" s="325">
        <v>28</v>
      </c>
      <c r="CE16" s="76">
        <f>(CD16/$AY16)</f>
        <v>0.96551724137931039</v>
      </c>
      <c r="CF16" s="288" t="s">
        <v>2280</v>
      </c>
      <c r="CG16" s="325">
        <v>33</v>
      </c>
      <c r="CH16" s="76">
        <f>(CG16/$AY16)</f>
        <v>1.1379310344827587</v>
      </c>
      <c r="CI16" s="324" t="s">
        <v>2281</v>
      </c>
      <c r="CJ16" s="11" t="s">
        <v>106</v>
      </c>
      <c r="CK16" s="11" t="s">
        <v>107</v>
      </c>
    </row>
    <row r="17" spans="1:174" s="4" customFormat="1" ht="45" customHeight="1" x14ac:dyDescent="0.2">
      <c r="A17" s="368"/>
      <c r="B17" s="368"/>
      <c r="C17" s="368"/>
      <c r="D17" s="368" t="s">
        <v>32</v>
      </c>
      <c r="E17" s="373" t="s">
        <v>2223</v>
      </c>
      <c r="F17" s="368"/>
      <c r="G17" s="368"/>
      <c r="H17" s="401"/>
      <c r="I17" s="401"/>
      <c r="J17" s="368"/>
      <c r="K17" s="368"/>
      <c r="L17" s="393"/>
      <c r="M17" s="475"/>
      <c r="N17" s="404"/>
      <c r="O17" s="402"/>
      <c r="P17" s="475"/>
      <c r="Q17" s="404"/>
      <c r="R17" s="402"/>
      <c r="S17" s="475"/>
      <c r="T17" s="404"/>
      <c r="U17" s="402"/>
      <c r="V17" s="475"/>
      <c r="W17" s="404"/>
      <c r="X17" s="402"/>
      <c r="Y17" s="475"/>
      <c r="Z17" s="404"/>
      <c r="AA17" s="402"/>
      <c r="AB17" s="475"/>
      <c r="AC17" s="404"/>
      <c r="AD17" s="402"/>
      <c r="AE17" s="475"/>
      <c r="AF17" s="404"/>
      <c r="AG17" s="402"/>
      <c r="AH17" s="475"/>
      <c r="AI17" s="404"/>
      <c r="AJ17" s="402"/>
      <c r="AK17" s="475"/>
      <c r="AL17" s="404"/>
      <c r="AM17" s="402"/>
      <c r="AN17" s="475"/>
      <c r="AO17" s="404"/>
      <c r="AP17" s="402"/>
      <c r="AQ17" s="475"/>
      <c r="AR17" s="404"/>
      <c r="AS17" s="402"/>
      <c r="AT17" s="475"/>
      <c r="AU17" s="404"/>
      <c r="AV17" s="479"/>
      <c r="AW17" s="11" t="s">
        <v>2195</v>
      </c>
      <c r="AX17" s="11" t="s">
        <v>2196</v>
      </c>
      <c r="AY17" s="285">
        <v>34</v>
      </c>
      <c r="AZ17" s="325">
        <v>3</v>
      </c>
      <c r="BA17" s="76">
        <f>AZ17/$AY17</f>
        <v>8.8235294117647065E-2</v>
      </c>
      <c r="BB17" s="288" t="s">
        <v>2282</v>
      </c>
      <c r="BC17" s="325">
        <v>6</v>
      </c>
      <c r="BD17" s="76">
        <f>BC17/$AY17</f>
        <v>0.17647058823529413</v>
      </c>
      <c r="BE17" s="288" t="s">
        <v>2283</v>
      </c>
      <c r="BF17" s="325">
        <v>7</v>
      </c>
      <c r="BG17" s="76">
        <f>BF17/$AY17</f>
        <v>0.20588235294117646</v>
      </c>
      <c r="BH17" s="288" t="s">
        <v>2284</v>
      </c>
      <c r="BI17" s="325">
        <v>13</v>
      </c>
      <c r="BJ17" s="76">
        <f t="shared" si="8"/>
        <v>0.38235294117647056</v>
      </c>
      <c r="BK17" s="288" t="s">
        <v>2285</v>
      </c>
      <c r="BL17" s="325">
        <v>15</v>
      </c>
      <c r="BM17" s="76">
        <f t="shared" si="9"/>
        <v>0.44117647058823528</v>
      </c>
      <c r="BN17" s="288" t="s">
        <v>2286</v>
      </c>
      <c r="BO17" s="325">
        <v>15</v>
      </c>
      <c r="BP17" s="76">
        <f t="shared" si="10"/>
        <v>0.44117647058823528</v>
      </c>
      <c r="BQ17" s="288" t="s">
        <v>2287</v>
      </c>
      <c r="BR17" s="325">
        <v>17</v>
      </c>
      <c r="BS17" s="76">
        <f t="shared" si="11"/>
        <v>0.5</v>
      </c>
      <c r="BT17" s="288" t="s">
        <v>2288</v>
      </c>
      <c r="BU17" s="325">
        <v>19</v>
      </c>
      <c r="BV17" s="76">
        <f t="shared" si="12"/>
        <v>0.55882352941176472</v>
      </c>
      <c r="BW17" s="288" t="s">
        <v>2289</v>
      </c>
      <c r="BX17" s="325">
        <v>25</v>
      </c>
      <c r="BY17" s="76">
        <f t="shared" si="13"/>
        <v>0.73529411764705888</v>
      </c>
      <c r="BZ17" s="288" t="s">
        <v>2290</v>
      </c>
      <c r="CA17" s="325">
        <v>27</v>
      </c>
      <c r="CB17" s="76">
        <f>(CA17/$AY17)</f>
        <v>0.79411764705882348</v>
      </c>
      <c r="CC17" s="288" t="s">
        <v>2291</v>
      </c>
      <c r="CD17" s="325">
        <v>30</v>
      </c>
      <c r="CE17" s="76">
        <f>(CD17/$AY17)</f>
        <v>0.88235294117647056</v>
      </c>
      <c r="CF17" s="288" t="s">
        <v>2292</v>
      </c>
      <c r="CG17" s="325">
        <v>31</v>
      </c>
      <c r="CH17" s="76">
        <f>(CG17/$AY17)</f>
        <v>0.91176470588235292</v>
      </c>
      <c r="CI17" s="324" t="s">
        <v>2293</v>
      </c>
      <c r="CJ17" s="11" t="s">
        <v>106</v>
      </c>
      <c r="CK17" s="11" t="s">
        <v>107</v>
      </c>
    </row>
    <row r="18" spans="1:174" s="4" customFormat="1" ht="228" x14ac:dyDescent="0.2">
      <c r="A18" s="368"/>
      <c r="B18" s="368"/>
      <c r="C18" s="368"/>
      <c r="D18" s="368" t="s">
        <v>32</v>
      </c>
      <c r="E18" s="373" t="s">
        <v>2223</v>
      </c>
      <c r="F18" s="368"/>
      <c r="G18" s="368"/>
      <c r="H18" s="401"/>
      <c r="I18" s="375"/>
      <c r="J18" s="368"/>
      <c r="K18" s="368"/>
      <c r="L18" s="393"/>
      <c r="M18" s="476"/>
      <c r="N18" s="405"/>
      <c r="O18" s="367"/>
      <c r="P18" s="476"/>
      <c r="Q18" s="405"/>
      <c r="R18" s="367"/>
      <c r="S18" s="476"/>
      <c r="T18" s="405"/>
      <c r="U18" s="367"/>
      <c r="V18" s="476"/>
      <c r="W18" s="405"/>
      <c r="X18" s="367"/>
      <c r="Y18" s="476"/>
      <c r="Z18" s="405"/>
      <c r="AA18" s="367"/>
      <c r="AB18" s="476"/>
      <c r="AC18" s="405"/>
      <c r="AD18" s="367"/>
      <c r="AE18" s="476"/>
      <c r="AF18" s="405"/>
      <c r="AG18" s="367"/>
      <c r="AH18" s="476"/>
      <c r="AI18" s="405"/>
      <c r="AJ18" s="367"/>
      <c r="AK18" s="476"/>
      <c r="AL18" s="405"/>
      <c r="AM18" s="367"/>
      <c r="AN18" s="476"/>
      <c r="AO18" s="405"/>
      <c r="AP18" s="367"/>
      <c r="AQ18" s="476"/>
      <c r="AR18" s="405"/>
      <c r="AS18" s="367"/>
      <c r="AT18" s="476"/>
      <c r="AU18" s="405"/>
      <c r="AV18" s="478"/>
      <c r="AW18" s="11" t="s">
        <v>2209</v>
      </c>
      <c r="AX18" s="11" t="s">
        <v>2210</v>
      </c>
      <c r="AY18" s="287">
        <v>0.85</v>
      </c>
      <c r="AZ18" s="288">
        <f>1/1</f>
        <v>1</v>
      </c>
      <c r="BA18" s="76">
        <f t="shared" si="4"/>
        <v>9.764705882352942E-2</v>
      </c>
      <c r="BB18" s="288" t="s">
        <v>2294</v>
      </c>
      <c r="BC18" s="288">
        <f>4/4</f>
        <v>1</v>
      </c>
      <c r="BD18" s="76">
        <f>(BC18/$AY18)*(8.3%*2)</f>
        <v>0.19529411764705884</v>
      </c>
      <c r="BE18" s="288" t="s">
        <v>2295</v>
      </c>
      <c r="BF18" s="288">
        <f>7/7</f>
        <v>1</v>
      </c>
      <c r="BG18" s="76">
        <f>(BF18/$AY18)*(8.3%*3)</f>
        <v>0.29294117647058826</v>
      </c>
      <c r="BH18" s="288" t="s">
        <v>2296</v>
      </c>
      <c r="BI18" s="288">
        <f>9/9</f>
        <v>1</v>
      </c>
      <c r="BJ18" s="76">
        <f t="shared" si="5"/>
        <v>0.39058823529411768</v>
      </c>
      <c r="BK18" s="288" t="s">
        <v>2297</v>
      </c>
      <c r="BL18" s="288">
        <f>12/12</f>
        <v>1</v>
      </c>
      <c r="BM18" s="76">
        <f t="shared" si="6"/>
        <v>0.4882352941176471</v>
      </c>
      <c r="BN18" s="288" t="s">
        <v>2298</v>
      </c>
      <c r="BO18" s="288">
        <f>13/13</f>
        <v>1</v>
      </c>
      <c r="BP18" s="76">
        <f t="shared" si="7"/>
        <v>0.58588235294117652</v>
      </c>
      <c r="BQ18" s="288" t="s">
        <v>2299</v>
      </c>
      <c r="BR18" s="288">
        <f>14/14</f>
        <v>1</v>
      </c>
      <c r="BS18" s="76">
        <f>(BR18/$AY18)*(8.3%*7)</f>
        <v>0.68352941176470594</v>
      </c>
      <c r="BT18" s="288" t="s">
        <v>2300</v>
      </c>
      <c r="BU18" s="288">
        <f>16/16</f>
        <v>1</v>
      </c>
      <c r="BV18" s="76">
        <f>(BU18/$AY18)*(8.3%*8)</f>
        <v>0.78117647058823536</v>
      </c>
      <c r="BW18" s="288" t="s">
        <v>2301</v>
      </c>
      <c r="BX18" s="288">
        <f>21/21</f>
        <v>1</v>
      </c>
      <c r="BY18" s="76">
        <f>(BX18/$AY18)*(8.3%*9)</f>
        <v>0.87882352941176478</v>
      </c>
      <c r="BZ18" s="288" t="s">
        <v>2302</v>
      </c>
      <c r="CA18" s="288">
        <f>23/23</f>
        <v>1</v>
      </c>
      <c r="CB18" s="76">
        <f>(CA18/$AY18)*(8.3%*10)</f>
        <v>0.9764705882352942</v>
      </c>
      <c r="CC18" s="288" t="s">
        <v>2303</v>
      </c>
      <c r="CD18" s="288">
        <f>26/26</f>
        <v>1</v>
      </c>
      <c r="CE18" s="76">
        <f>(CD18/$AY18)*(8.3%*11)</f>
        <v>1.0741176470588236</v>
      </c>
      <c r="CF18" s="288" t="s">
        <v>2304</v>
      </c>
      <c r="CG18" s="288">
        <f>27/27</f>
        <v>1</v>
      </c>
      <c r="CH18" s="76">
        <f>(CG18/$AY18)*(8.3%*12)</f>
        <v>1.171764705882353</v>
      </c>
      <c r="CI18" s="324" t="s">
        <v>2305</v>
      </c>
      <c r="CJ18" s="11" t="s">
        <v>106</v>
      </c>
      <c r="CK18" s="11" t="s">
        <v>107</v>
      </c>
    </row>
    <row r="19" spans="1:174" ht="75" x14ac:dyDescent="0.25">
      <c r="H19" s="401"/>
      <c r="M19" s="56" t="s">
        <v>153</v>
      </c>
      <c r="N19" s="74">
        <f>AVERAGE(N14:N18)</f>
        <v>7.2886473429951693E-2</v>
      </c>
      <c r="P19" s="56" t="s">
        <v>153</v>
      </c>
      <c r="Q19" s="74">
        <f>AVERAGE(Q14:Q18)</f>
        <v>0.17355072463768118</v>
      </c>
      <c r="S19" s="56" t="s">
        <v>153</v>
      </c>
      <c r="T19" s="74">
        <f>AVERAGE(T14:T18)</f>
        <v>0.21865942028985508</v>
      </c>
      <c r="V19" s="56" t="s">
        <v>153</v>
      </c>
      <c r="W19" s="74">
        <f>AVERAGE(W14:W18)</f>
        <v>0.36099033816425119</v>
      </c>
      <c r="Y19" s="56" t="s">
        <v>153</v>
      </c>
      <c r="Z19" s="74">
        <f>AVERAGE(Z14:Z18)</f>
        <v>0.43387681159420288</v>
      </c>
      <c r="AB19" s="56" t="s">
        <v>153</v>
      </c>
      <c r="AC19" s="74">
        <f>AVERAGE(AC14:AC18)</f>
        <v>0.49287439613526568</v>
      </c>
      <c r="AE19" s="56" t="s">
        <v>153</v>
      </c>
      <c r="AF19" s="74">
        <f>AVERAGE(AF14:AF18)</f>
        <v>0.55187198067632859</v>
      </c>
      <c r="AH19" s="56" t="s">
        <v>153</v>
      </c>
      <c r="AI19" s="74">
        <f>AVERAGE(AI14:AI18)</f>
        <v>0.63864734299516912</v>
      </c>
      <c r="AK19" s="56" t="s">
        <v>153</v>
      </c>
      <c r="AL19" s="74">
        <f>AVERAGE(AL14:AL18)</f>
        <v>0.76708937198067628</v>
      </c>
      <c r="AN19" s="56" t="s">
        <v>153</v>
      </c>
      <c r="AO19" s="74">
        <f>AVERAGE(AO14:AO18)</f>
        <v>0.82608695652173914</v>
      </c>
      <c r="AQ19" s="56" t="s">
        <v>153</v>
      </c>
      <c r="AR19" s="74">
        <f>AVERAGE(AR14:AR18)</f>
        <v>0.92675120772946862</v>
      </c>
      <c r="AT19" s="56" t="s">
        <v>153</v>
      </c>
      <c r="AU19" s="74">
        <f>AVERAGE(AU14:AU18)</f>
        <v>0.98574879227053136</v>
      </c>
      <c r="AZ19" s="56" t="s">
        <v>154</v>
      </c>
      <c r="BA19" s="74">
        <f>AVERAGE(BA14:BA18)</f>
        <v>5.0969574036511159E-2</v>
      </c>
      <c r="BC19" s="56" t="s">
        <v>154</v>
      </c>
      <c r="BD19" s="74">
        <f>AVERAGE(BD14:BD18)</f>
        <v>0.1311295528706235</v>
      </c>
      <c r="BF19" s="56" t="s">
        <v>154</v>
      </c>
      <c r="BG19" s="74">
        <f>AVERAGE(BG14:BG18)</f>
        <v>0.21583385880589118</v>
      </c>
      <c r="BH19" s="292"/>
      <c r="BI19" s="56" t="s">
        <v>154</v>
      </c>
      <c r="BJ19" s="74">
        <f>AVERAGE(BJ14:BJ18)</f>
        <v>0.3022889304011096</v>
      </c>
      <c r="BL19" s="56" t="s">
        <v>154</v>
      </c>
      <c r="BM19" s="74">
        <f>AVERAGE(BM14:BM18)</f>
        <v>0.36016339423870952</v>
      </c>
      <c r="BO19" s="56" t="s">
        <v>154</v>
      </c>
      <c r="BP19" s="74">
        <f>AVERAGE(BP14:BP18)</f>
        <v>0.41234954581532762</v>
      </c>
      <c r="BQ19" s="292"/>
      <c r="BR19" s="56" t="s">
        <v>154</v>
      </c>
      <c r="BS19" s="74">
        <f>AVERAGE(BS14:BS18)</f>
        <v>0.4892733486198077</v>
      </c>
      <c r="BU19" s="56" t="s">
        <v>154</v>
      </c>
      <c r="BV19" s="74">
        <f>AVERAGE(BV14:BV18)</f>
        <v>0.56885545462562848</v>
      </c>
      <c r="BX19" s="56" t="s">
        <v>154</v>
      </c>
      <c r="BY19" s="74">
        <f>AVERAGE(BY14:BY18)</f>
        <v>0.65710763735779165</v>
      </c>
      <c r="BZ19" s="292"/>
      <c r="CA19" s="56" t="s">
        <v>154</v>
      </c>
      <c r="CB19" s="74">
        <f>AVERAGE(CB14:CB18)</f>
        <v>0.72926007584443076</v>
      </c>
      <c r="CD19" s="56" t="s">
        <v>154</v>
      </c>
      <c r="CE19" s="74">
        <f>AVERAGE(CE14:CE18)</f>
        <v>0.84328225401365808</v>
      </c>
      <c r="CG19" s="56" t="s">
        <v>154</v>
      </c>
      <c r="CH19" s="74">
        <f>AVERAGE(CH14:CH18)</f>
        <v>0.92396600229297121</v>
      </c>
      <c r="CI19" s="292"/>
      <c r="CJ19" s="292"/>
      <c r="CK19" s="292"/>
      <c r="FO19" s="296"/>
      <c r="FP19" s="296"/>
      <c r="FQ19" s="296"/>
      <c r="FR19" s="296"/>
    </row>
    <row r="20" spans="1:174" s="4" customFormat="1" ht="45" customHeight="1" x14ac:dyDescent="0.2">
      <c r="A20" s="368" t="s">
        <v>84</v>
      </c>
      <c r="B20" s="368" t="s">
        <v>274</v>
      </c>
      <c r="C20" s="368" t="s">
        <v>2718</v>
      </c>
      <c r="D20" s="368" t="s">
        <v>32</v>
      </c>
      <c r="E20" s="373" t="s">
        <v>2306</v>
      </c>
      <c r="F20" s="368" t="s">
        <v>88</v>
      </c>
      <c r="G20" s="368" t="s">
        <v>276</v>
      </c>
      <c r="H20" s="401"/>
      <c r="I20" s="374">
        <v>1130148428</v>
      </c>
      <c r="J20" s="368" t="s">
        <v>2167</v>
      </c>
      <c r="K20" s="473" t="s">
        <v>2168</v>
      </c>
      <c r="L20" s="393">
        <v>50</v>
      </c>
      <c r="M20" s="474">
        <v>6</v>
      </c>
      <c r="N20" s="403">
        <f>M20/L20</f>
        <v>0.12</v>
      </c>
      <c r="O20" s="366" t="s">
        <v>2307</v>
      </c>
      <c r="P20" s="474">
        <v>10</v>
      </c>
      <c r="Q20" s="403">
        <f>P20/$L20</f>
        <v>0.2</v>
      </c>
      <c r="R20" s="366" t="s">
        <v>2308</v>
      </c>
      <c r="S20" s="474">
        <v>14</v>
      </c>
      <c r="T20" s="403">
        <f>S20/$L20</f>
        <v>0.28000000000000003</v>
      </c>
      <c r="U20" s="366" t="s">
        <v>2309</v>
      </c>
      <c r="V20" s="474">
        <v>17</v>
      </c>
      <c r="W20" s="403">
        <f>V20/$L20</f>
        <v>0.34</v>
      </c>
      <c r="X20" s="366" t="s">
        <v>2310</v>
      </c>
      <c r="Y20" s="474">
        <v>21</v>
      </c>
      <c r="Z20" s="403">
        <f>Y20/$L20</f>
        <v>0.42</v>
      </c>
      <c r="AA20" s="366" t="s">
        <v>2311</v>
      </c>
      <c r="AB20" s="474">
        <v>23</v>
      </c>
      <c r="AC20" s="403">
        <f>AB20/$L20</f>
        <v>0.46</v>
      </c>
      <c r="AD20" s="366" t="s">
        <v>2312</v>
      </c>
      <c r="AE20" s="474">
        <v>26</v>
      </c>
      <c r="AF20" s="403">
        <f>AE20/$L20</f>
        <v>0.52</v>
      </c>
      <c r="AG20" s="366" t="s">
        <v>2313</v>
      </c>
      <c r="AH20" s="474">
        <v>29</v>
      </c>
      <c r="AI20" s="403">
        <f>AH20/$L20</f>
        <v>0.57999999999999996</v>
      </c>
      <c r="AJ20" s="366" t="s">
        <v>2314</v>
      </c>
      <c r="AK20" s="474">
        <v>36</v>
      </c>
      <c r="AL20" s="403">
        <f>AK20/$L20</f>
        <v>0.72</v>
      </c>
      <c r="AM20" s="366" t="s">
        <v>2315</v>
      </c>
      <c r="AN20" s="474">
        <v>49</v>
      </c>
      <c r="AO20" s="403">
        <f>AN20/$L20</f>
        <v>0.98</v>
      </c>
      <c r="AP20" s="366" t="s">
        <v>2316</v>
      </c>
      <c r="AQ20" s="474">
        <v>52</v>
      </c>
      <c r="AR20" s="403">
        <f>AQ20/$L20</f>
        <v>1.04</v>
      </c>
      <c r="AS20" s="366" t="s">
        <v>2317</v>
      </c>
      <c r="AT20" s="474">
        <v>56</v>
      </c>
      <c r="AU20" s="403">
        <f>AT20/$L20</f>
        <v>1.1200000000000001</v>
      </c>
      <c r="AV20" s="477" t="s">
        <v>2318</v>
      </c>
      <c r="AW20" s="11" t="s">
        <v>2181</v>
      </c>
      <c r="AX20" s="11" t="s">
        <v>2182</v>
      </c>
      <c r="AY20" s="285">
        <v>30</v>
      </c>
      <c r="AZ20" s="325">
        <v>1</v>
      </c>
      <c r="BA20" s="76">
        <f>AZ20/40</f>
        <v>2.5000000000000001E-2</v>
      </c>
      <c r="BB20" s="288" t="s">
        <v>2319</v>
      </c>
      <c r="BC20" s="325">
        <v>4</v>
      </c>
      <c r="BD20" s="76">
        <f>BC20/40</f>
        <v>0.1</v>
      </c>
      <c r="BE20" s="288" t="s">
        <v>2320</v>
      </c>
      <c r="BF20" s="325">
        <v>8</v>
      </c>
      <c r="BG20" s="76">
        <f>BF20/40</f>
        <v>0.2</v>
      </c>
      <c r="BH20" s="288" t="s">
        <v>2321</v>
      </c>
      <c r="BI20" s="325">
        <v>11</v>
      </c>
      <c r="BJ20" s="76">
        <f>(BI20/40)</f>
        <v>0.27500000000000002</v>
      </c>
      <c r="BK20" s="288" t="s">
        <v>2322</v>
      </c>
      <c r="BL20" s="325">
        <v>13</v>
      </c>
      <c r="BM20" s="76">
        <f>(BL20/40)</f>
        <v>0.32500000000000001</v>
      </c>
      <c r="BN20" s="288" t="s">
        <v>2323</v>
      </c>
      <c r="BO20" s="325">
        <v>17</v>
      </c>
      <c r="BP20" s="76">
        <f>(BO20/40)</f>
        <v>0.42499999999999999</v>
      </c>
      <c r="BQ20" s="288" t="s">
        <v>2324</v>
      </c>
      <c r="BR20" s="325">
        <v>18</v>
      </c>
      <c r="BS20" s="76">
        <f>(BR20/40)</f>
        <v>0.45</v>
      </c>
      <c r="BT20" s="288" t="s">
        <v>2325</v>
      </c>
      <c r="BU20" s="327">
        <v>22</v>
      </c>
      <c r="BV20" s="76">
        <f t="shared" ref="BV20:BV21" si="14">(BU20/$AY20)</f>
        <v>0.73333333333333328</v>
      </c>
      <c r="BW20" s="288" t="s">
        <v>2326</v>
      </c>
      <c r="BX20" s="325">
        <v>23</v>
      </c>
      <c r="BY20" s="328">
        <f t="shared" ref="BY20:BY21" si="15">(BX20/$AY20)</f>
        <v>0.76666666666666672</v>
      </c>
      <c r="BZ20" s="288" t="s">
        <v>2327</v>
      </c>
      <c r="CA20" s="325">
        <v>25</v>
      </c>
      <c r="CB20" s="76">
        <f>(CA20/$AY20)</f>
        <v>0.83333333333333337</v>
      </c>
      <c r="CC20" s="288" t="s">
        <v>2328</v>
      </c>
      <c r="CD20" s="327">
        <v>25</v>
      </c>
      <c r="CE20" s="76">
        <f>(CD20/$AY20)</f>
        <v>0.83333333333333337</v>
      </c>
      <c r="CF20" s="288" t="s">
        <v>2329</v>
      </c>
      <c r="CG20" s="325">
        <v>26</v>
      </c>
      <c r="CH20" s="76">
        <f>(CG20/$AY20)</f>
        <v>0.8666666666666667</v>
      </c>
      <c r="CI20" s="324" t="s">
        <v>2330</v>
      </c>
      <c r="CJ20" s="11" t="s">
        <v>106</v>
      </c>
      <c r="CK20" s="11" t="s">
        <v>107</v>
      </c>
    </row>
    <row r="21" spans="1:174" s="4" customFormat="1" ht="45" customHeight="1" x14ac:dyDescent="0.2">
      <c r="A21" s="368"/>
      <c r="B21" s="368"/>
      <c r="C21" s="368"/>
      <c r="D21" s="368" t="s">
        <v>32</v>
      </c>
      <c r="E21" s="368" t="s">
        <v>2306</v>
      </c>
      <c r="F21" s="368"/>
      <c r="G21" s="368"/>
      <c r="H21" s="401"/>
      <c r="I21" s="401"/>
      <c r="J21" s="368"/>
      <c r="K21" s="473"/>
      <c r="L21" s="393"/>
      <c r="M21" s="475"/>
      <c r="N21" s="404"/>
      <c r="O21" s="402"/>
      <c r="P21" s="475"/>
      <c r="Q21" s="404"/>
      <c r="R21" s="402"/>
      <c r="S21" s="475"/>
      <c r="T21" s="404"/>
      <c r="U21" s="402"/>
      <c r="V21" s="475"/>
      <c r="W21" s="404"/>
      <c r="X21" s="402"/>
      <c r="Y21" s="475"/>
      <c r="Z21" s="404"/>
      <c r="AA21" s="402"/>
      <c r="AB21" s="475"/>
      <c r="AC21" s="404"/>
      <c r="AD21" s="402"/>
      <c r="AE21" s="475"/>
      <c r="AF21" s="404"/>
      <c r="AG21" s="402"/>
      <c r="AH21" s="475"/>
      <c r="AI21" s="404"/>
      <c r="AJ21" s="402"/>
      <c r="AK21" s="475"/>
      <c r="AL21" s="404"/>
      <c r="AM21" s="402"/>
      <c r="AN21" s="475"/>
      <c r="AO21" s="404"/>
      <c r="AP21" s="402"/>
      <c r="AQ21" s="475"/>
      <c r="AR21" s="404"/>
      <c r="AS21" s="402"/>
      <c r="AT21" s="475"/>
      <c r="AU21" s="404"/>
      <c r="AV21" s="479"/>
      <c r="AW21" s="11" t="s">
        <v>2195</v>
      </c>
      <c r="AX21" s="11" t="s">
        <v>2196</v>
      </c>
      <c r="AY21" s="285">
        <v>45</v>
      </c>
      <c r="AZ21" s="325">
        <v>5</v>
      </c>
      <c r="BA21" s="76">
        <f t="shared" ref="BA21" si="16">AZ21/$AY21</f>
        <v>0.1111111111111111</v>
      </c>
      <c r="BB21" s="288" t="s">
        <v>2331</v>
      </c>
      <c r="BC21" s="325">
        <v>9</v>
      </c>
      <c r="BD21" s="76">
        <f t="shared" ref="BD21" si="17">BC21/$AY21</f>
        <v>0.2</v>
      </c>
      <c r="BE21" s="288" t="s">
        <v>2332</v>
      </c>
      <c r="BF21" s="325">
        <v>13</v>
      </c>
      <c r="BG21" s="76">
        <f t="shared" ref="BG21" si="18">BF21/$AY21</f>
        <v>0.28888888888888886</v>
      </c>
      <c r="BH21" s="288" t="s">
        <v>2333</v>
      </c>
      <c r="BI21" s="325">
        <v>15</v>
      </c>
      <c r="BJ21" s="76">
        <f t="shared" ref="BJ21" si="19">(BI21/$AY21)</f>
        <v>0.33333333333333331</v>
      </c>
      <c r="BK21" s="288" t="s">
        <v>2334</v>
      </c>
      <c r="BL21" s="325">
        <v>19</v>
      </c>
      <c r="BM21" s="76">
        <f t="shared" ref="BM21" si="20">(BL21/$AY21)</f>
        <v>0.42222222222222222</v>
      </c>
      <c r="BN21" s="288" t="s">
        <v>2335</v>
      </c>
      <c r="BO21" s="325">
        <v>20</v>
      </c>
      <c r="BP21" s="76">
        <f t="shared" ref="BP21" si="21">(BO21/$AY21)</f>
        <v>0.44444444444444442</v>
      </c>
      <c r="BQ21" s="288" t="s">
        <v>2336</v>
      </c>
      <c r="BR21" s="325">
        <v>23</v>
      </c>
      <c r="BS21" s="76">
        <f t="shared" ref="BS21" si="22">(BR21/$AY21)</f>
        <v>0.51111111111111107</v>
      </c>
      <c r="BT21" s="288" t="s">
        <v>2337</v>
      </c>
      <c r="BU21" s="325">
        <v>27</v>
      </c>
      <c r="BV21" s="76">
        <f t="shared" si="14"/>
        <v>0.6</v>
      </c>
      <c r="BW21" s="288" t="s">
        <v>2338</v>
      </c>
      <c r="BX21" s="325">
        <v>32</v>
      </c>
      <c r="BY21" s="76">
        <f t="shared" si="15"/>
        <v>0.71111111111111114</v>
      </c>
      <c r="BZ21" s="288" t="s">
        <v>2339</v>
      </c>
      <c r="CA21" s="325">
        <v>45</v>
      </c>
      <c r="CB21" s="76">
        <f>(CA21/$AY21)</f>
        <v>1</v>
      </c>
      <c r="CC21" s="288" t="s">
        <v>2340</v>
      </c>
      <c r="CD21" s="325">
        <v>49</v>
      </c>
      <c r="CE21" s="76">
        <f>(CD21/$AY21)</f>
        <v>1.0888888888888888</v>
      </c>
      <c r="CF21" s="288" t="s">
        <v>2341</v>
      </c>
      <c r="CG21" s="325">
        <v>56</v>
      </c>
      <c r="CH21" s="76">
        <f>(CG21/$AY21)</f>
        <v>1.2444444444444445</v>
      </c>
      <c r="CI21" s="324" t="s">
        <v>2342</v>
      </c>
      <c r="CJ21" s="11" t="s">
        <v>106</v>
      </c>
      <c r="CK21" s="11" t="s">
        <v>107</v>
      </c>
    </row>
    <row r="22" spans="1:174" s="4" customFormat="1" ht="45" customHeight="1" x14ac:dyDescent="0.2">
      <c r="A22" s="368"/>
      <c r="B22" s="368"/>
      <c r="C22" s="368"/>
      <c r="D22" s="368" t="s">
        <v>32</v>
      </c>
      <c r="E22" s="368" t="s">
        <v>2306</v>
      </c>
      <c r="F22" s="368"/>
      <c r="G22" s="368"/>
      <c r="H22" s="401"/>
      <c r="I22" s="375"/>
      <c r="J22" s="368"/>
      <c r="K22" s="473"/>
      <c r="L22" s="393"/>
      <c r="M22" s="476"/>
      <c r="N22" s="405"/>
      <c r="O22" s="367"/>
      <c r="P22" s="476"/>
      <c r="Q22" s="405"/>
      <c r="R22" s="367"/>
      <c r="S22" s="476"/>
      <c r="T22" s="405"/>
      <c r="U22" s="367"/>
      <c r="V22" s="476"/>
      <c r="W22" s="405"/>
      <c r="X22" s="367"/>
      <c r="Y22" s="476"/>
      <c r="Z22" s="405"/>
      <c r="AA22" s="367"/>
      <c r="AB22" s="476"/>
      <c r="AC22" s="405"/>
      <c r="AD22" s="367"/>
      <c r="AE22" s="476"/>
      <c r="AF22" s="405"/>
      <c r="AG22" s="367"/>
      <c r="AH22" s="476"/>
      <c r="AI22" s="405"/>
      <c r="AJ22" s="367"/>
      <c r="AK22" s="476"/>
      <c r="AL22" s="405"/>
      <c r="AM22" s="367"/>
      <c r="AN22" s="476"/>
      <c r="AO22" s="405"/>
      <c r="AP22" s="367"/>
      <c r="AQ22" s="476"/>
      <c r="AR22" s="405"/>
      <c r="AS22" s="367"/>
      <c r="AT22" s="476"/>
      <c r="AU22" s="405"/>
      <c r="AV22" s="479"/>
      <c r="AW22" s="11" t="s">
        <v>2209</v>
      </c>
      <c r="AX22" s="11" t="s">
        <v>2210</v>
      </c>
      <c r="AY22" s="287">
        <v>0.85</v>
      </c>
      <c r="AZ22" s="288">
        <f>3/3</f>
        <v>1</v>
      </c>
      <c r="BA22" s="76">
        <f t="shared" ref="BA22:BA24" si="23">(AZ22/$AY22)*(8.3%*1)</f>
        <v>9.764705882352942E-2</v>
      </c>
      <c r="BB22" s="288" t="s">
        <v>2343</v>
      </c>
      <c r="BC22" s="288">
        <f>5/5</f>
        <v>1</v>
      </c>
      <c r="BD22" s="76">
        <f>(BC22/$AY22)*(8.3%*2)</f>
        <v>0.19529411764705884</v>
      </c>
      <c r="BE22" s="288" t="s">
        <v>2344</v>
      </c>
      <c r="BF22" s="288">
        <f>8/8</f>
        <v>1</v>
      </c>
      <c r="BG22" s="76">
        <f>(BF22/$AY22)*(8.3%*3)</f>
        <v>0.29294117647058826</v>
      </c>
      <c r="BH22" s="288" t="s">
        <v>2345</v>
      </c>
      <c r="BI22" s="288">
        <f>11/11</f>
        <v>1</v>
      </c>
      <c r="BJ22" s="76">
        <f t="shared" si="5"/>
        <v>0.39058823529411768</v>
      </c>
      <c r="BK22" s="288" t="s">
        <v>2346</v>
      </c>
      <c r="BL22" s="288">
        <f>12/12</f>
        <v>1</v>
      </c>
      <c r="BM22" s="76">
        <f t="shared" si="6"/>
        <v>0.4882352941176471</v>
      </c>
      <c r="BN22" s="288" t="s">
        <v>2347</v>
      </c>
      <c r="BO22" s="288">
        <f>13/13</f>
        <v>1</v>
      </c>
      <c r="BP22" s="76">
        <f t="shared" si="7"/>
        <v>0.58588235294117652</v>
      </c>
      <c r="BQ22" s="288" t="s">
        <v>2299</v>
      </c>
      <c r="BR22" s="288">
        <f>16/16</f>
        <v>1</v>
      </c>
      <c r="BS22" s="76">
        <f>(BR22/$AY22)*(8.3%*7)</f>
        <v>0.68352941176470594</v>
      </c>
      <c r="BT22" s="288" t="s">
        <v>2348</v>
      </c>
      <c r="BU22" s="288">
        <f>19/19</f>
        <v>1</v>
      </c>
      <c r="BV22" s="76">
        <f>(BU22/$AY22)*(8.3%*8)</f>
        <v>0.78117647058823536</v>
      </c>
      <c r="BW22" s="288" t="s">
        <v>2349</v>
      </c>
      <c r="BX22" s="288">
        <f>20/20</f>
        <v>1</v>
      </c>
      <c r="BY22" s="76">
        <f>(BX22/$AY22)*(8.3%*9)</f>
        <v>0.87882352941176478</v>
      </c>
      <c r="BZ22" s="288" t="s">
        <v>2350</v>
      </c>
      <c r="CA22" s="288">
        <f>24/24</f>
        <v>1</v>
      </c>
      <c r="CB22" s="76">
        <f>(CA22/$AY22)*(8.3%*10)</f>
        <v>0.9764705882352942</v>
      </c>
      <c r="CC22" s="288" t="s">
        <v>2351</v>
      </c>
      <c r="CD22" s="288">
        <f>27/27</f>
        <v>1</v>
      </c>
      <c r="CE22" s="76">
        <f>(CD22/$AY22)*(8.3%*11)</f>
        <v>1.0741176470588236</v>
      </c>
      <c r="CF22" s="288" t="s">
        <v>2352</v>
      </c>
      <c r="CG22" s="288">
        <f>30/30</f>
        <v>1</v>
      </c>
      <c r="CH22" s="76">
        <f>(CG22/$AY22)*(8.3%*12)</f>
        <v>1.171764705882353</v>
      </c>
      <c r="CI22" s="324" t="s">
        <v>2353</v>
      </c>
      <c r="CJ22" s="11" t="s">
        <v>106</v>
      </c>
      <c r="CK22" s="11" t="s">
        <v>107</v>
      </c>
    </row>
    <row r="23" spans="1:174" s="4" customFormat="1" ht="45" customHeight="1" x14ac:dyDescent="0.2">
      <c r="A23" s="368"/>
      <c r="B23" s="368"/>
      <c r="C23" s="368"/>
      <c r="D23" s="368" t="s">
        <v>32</v>
      </c>
      <c r="E23" s="368" t="s">
        <v>2306</v>
      </c>
      <c r="F23" s="368"/>
      <c r="G23" s="368"/>
      <c r="H23" s="401"/>
      <c r="I23" s="374">
        <v>1006533430</v>
      </c>
      <c r="J23" s="368" t="s">
        <v>2125</v>
      </c>
      <c r="K23" s="473" t="s">
        <v>2126</v>
      </c>
      <c r="L23" s="435">
        <v>0.92</v>
      </c>
      <c r="M23" s="366">
        <f>5/5</f>
        <v>1</v>
      </c>
      <c r="N23" s="403">
        <f>(M23/$L23)*(8.3%*1)</f>
        <v>9.0217391304347833E-2</v>
      </c>
      <c r="O23" s="366" t="s">
        <v>2354</v>
      </c>
      <c r="P23" s="366">
        <f>9/9</f>
        <v>1</v>
      </c>
      <c r="Q23" s="403">
        <f>(P23/$L23)*(8.3%*2)</f>
        <v>0.18043478260869567</v>
      </c>
      <c r="R23" s="366" t="s">
        <v>2355</v>
      </c>
      <c r="S23" s="366">
        <f>12/12</f>
        <v>1</v>
      </c>
      <c r="T23" s="403">
        <f>(S23/$L23)*(8.3%*3)</f>
        <v>0.27065217391304347</v>
      </c>
      <c r="U23" s="366" t="s">
        <v>2356</v>
      </c>
      <c r="V23" s="366">
        <f>15/15</f>
        <v>1</v>
      </c>
      <c r="W23" s="403">
        <f>(V23/$L23)*(8.3%*4)</f>
        <v>0.36086956521739133</v>
      </c>
      <c r="X23" s="366" t="s">
        <v>2357</v>
      </c>
      <c r="Y23" s="366">
        <f>17/17</f>
        <v>1</v>
      </c>
      <c r="Z23" s="403">
        <f>(Y23/$L23)*(8.3%*5)</f>
        <v>0.45108695652173914</v>
      </c>
      <c r="AA23" s="366" t="s">
        <v>2358</v>
      </c>
      <c r="AB23" s="366">
        <f>19/19</f>
        <v>1</v>
      </c>
      <c r="AC23" s="403">
        <f>(AB23/$L23)*(8.3%*6)</f>
        <v>0.54130434782608694</v>
      </c>
      <c r="AD23" s="366" t="s">
        <v>2359</v>
      </c>
      <c r="AE23" s="366">
        <f>21/21</f>
        <v>1</v>
      </c>
      <c r="AF23" s="403">
        <f>(AE23/$L23)*(8.3%*7)</f>
        <v>0.63152173913043486</v>
      </c>
      <c r="AG23" s="366" t="s">
        <v>2360</v>
      </c>
      <c r="AH23" s="366">
        <f>25/25</f>
        <v>1</v>
      </c>
      <c r="AI23" s="403">
        <f>(AH23/$L23)*(8.3%*8)</f>
        <v>0.72173913043478266</v>
      </c>
      <c r="AJ23" s="366" t="s">
        <v>2361</v>
      </c>
      <c r="AK23" s="366">
        <f>28/28</f>
        <v>1</v>
      </c>
      <c r="AL23" s="403">
        <f>(AK23/$L23)*(8.3%*9)</f>
        <v>0.81195652173913035</v>
      </c>
      <c r="AM23" s="366" t="s">
        <v>2362</v>
      </c>
      <c r="AN23" s="366">
        <f>33/33</f>
        <v>1</v>
      </c>
      <c r="AO23" s="403">
        <f>(AN23/$L23)*(8.3%*10)</f>
        <v>0.90217391304347827</v>
      </c>
      <c r="AP23" s="366" t="s">
        <v>2363</v>
      </c>
      <c r="AQ23" s="366">
        <f>35/35</f>
        <v>1</v>
      </c>
      <c r="AR23" s="403">
        <f>(AQ23/$L23)*(8.3%*11)</f>
        <v>0.99239130434782608</v>
      </c>
      <c r="AS23" s="366" t="s">
        <v>2364</v>
      </c>
      <c r="AT23" s="366">
        <f>36/36</f>
        <v>1</v>
      </c>
      <c r="AU23" s="403">
        <f>(AT23/$L23)*(8.3%*12)</f>
        <v>1.0826086956521739</v>
      </c>
      <c r="AV23" s="480" t="s">
        <v>2365</v>
      </c>
      <c r="AW23" s="11" t="s">
        <v>2139</v>
      </c>
      <c r="AX23" s="11" t="s">
        <v>2140</v>
      </c>
      <c r="AY23" s="287">
        <v>0.92</v>
      </c>
      <c r="AZ23" s="288">
        <f>1/1</f>
        <v>1</v>
      </c>
      <c r="BA23" s="76">
        <f t="shared" si="23"/>
        <v>9.0217391304347833E-2</v>
      </c>
      <c r="BB23" s="288" t="s">
        <v>2366</v>
      </c>
      <c r="BC23" s="288">
        <f>5/5</f>
        <v>1</v>
      </c>
      <c r="BD23" s="76">
        <f t="shared" ref="BD23:BD24" si="24">(BC23/$AY23)*(8.3%*2)</f>
        <v>0.18043478260869567</v>
      </c>
      <c r="BE23" s="288" t="s">
        <v>2367</v>
      </c>
      <c r="BF23" s="288">
        <f>6/6</f>
        <v>1</v>
      </c>
      <c r="BG23" s="76">
        <f t="shared" ref="BG23:BG24" si="25">(BF23/$AY23)*(8.3%*3)</f>
        <v>0.27065217391304347</v>
      </c>
      <c r="BH23" s="288" t="s">
        <v>2368</v>
      </c>
      <c r="BI23" s="288">
        <f>10/10</f>
        <v>1</v>
      </c>
      <c r="BJ23" s="76">
        <f>(BI23/$AY23)*(8.3%*4)</f>
        <v>0.36086956521739133</v>
      </c>
      <c r="BK23" s="288" t="s">
        <v>2369</v>
      </c>
      <c r="BL23" s="288">
        <f>13/13</f>
        <v>1</v>
      </c>
      <c r="BM23" s="76">
        <f>(BL23/$AY23)*(8.3%*5)</f>
        <v>0.45108695652173914</v>
      </c>
      <c r="BN23" s="288" t="s">
        <v>2370</v>
      </c>
      <c r="BO23" s="288">
        <f>16/16</f>
        <v>1</v>
      </c>
      <c r="BP23" s="76">
        <f>(BO23/$AY23)*(8.3%*6)</f>
        <v>0.54130434782608694</v>
      </c>
      <c r="BQ23" s="288" t="s">
        <v>2371</v>
      </c>
      <c r="BR23" s="288">
        <f>17/17</f>
        <v>1</v>
      </c>
      <c r="BS23" s="76">
        <f>(BR23/$AY23)*(8.3%*7)</f>
        <v>0.63152173913043486</v>
      </c>
      <c r="BT23" s="288" t="s">
        <v>2372</v>
      </c>
      <c r="BU23" s="288">
        <f>18/18</f>
        <v>1</v>
      </c>
      <c r="BV23" s="76">
        <f>(BU23/$AY23)*(8.3%*8)</f>
        <v>0.72173913043478266</v>
      </c>
      <c r="BW23" s="288" t="s">
        <v>2373</v>
      </c>
      <c r="BX23" s="288">
        <f>22/22</f>
        <v>1</v>
      </c>
      <c r="BY23" s="76">
        <f>(BX23/$AY23)*(8.3%*9)</f>
        <v>0.81195652173913035</v>
      </c>
      <c r="BZ23" s="288" t="s">
        <v>2374</v>
      </c>
      <c r="CA23" s="288">
        <f>23/23</f>
        <v>1</v>
      </c>
      <c r="CB23" s="76">
        <f>(CA23/$AY23)*(8.3%*10)</f>
        <v>0.90217391304347827</v>
      </c>
      <c r="CC23" s="288" t="s">
        <v>2375</v>
      </c>
      <c r="CD23" s="288">
        <f>24/24</f>
        <v>1</v>
      </c>
      <c r="CE23" s="76">
        <f>(CD23/$AY23)*(8.3%*11)</f>
        <v>0.99239130434782608</v>
      </c>
      <c r="CF23" s="288" t="s">
        <v>2376</v>
      </c>
      <c r="CG23" s="288">
        <f>24/24</f>
        <v>1</v>
      </c>
      <c r="CH23" s="76">
        <f>(CG23/$AY23)*(8.3%*12)</f>
        <v>1.0826086956521739</v>
      </c>
      <c r="CI23" s="324" t="s">
        <v>2377</v>
      </c>
      <c r="CJ23" s="11" t="s">
        <v>106</v>
      </c>
      <c r="CK23" s="11" t="s">
        <v>107</v>
      </c>
    </row>
    <row r="24" spans="1:174" s="4" customFormat="1" ht="45" customHeight="1" x14ac:dyDescent="0.2">
      <c r="A24" s="368"/>
      <c r="B24" s="368"/>
      <c r="C24" s="368"/>
      <c r="D24" s="368" t="s">
        <v>32</v>
      </c>
      <c r="E24" s="368" t="s">
        <v>2306</v>
      </c>
      <c r="F24" s="368"/>
      <c r="G24" s="368"/>
      <c r="H24" s="401"/>
      <c r="I24" s="375"/>
      <c r="J24" s="368"/>
      <c r="K24" s="473"/>
      <c r="L24" s="435"/>
      <c r="M24" s="367"/>
      <c r="N24" s="405"/>
      <c r="O24" s="367"/>
      <c r="P24" s="367"/>
      <c r="Q24" s="405"/>
      <c r="R24" s="367"/>
      <c r="S24" s="367"/>
      <c r="T24" s="405"/>
      <c r="U24" s="367"/>
      <c r="V24" s="367"/>
      <c r="W24" s="405"/>
      <c r="X24" s="367"/>
      <c r="Y24" s="367"/>
      <c r="Z24" s="405"/>
      <c r="AA24" s="367"/>
      <c r="AB24" s="367"/>
      <c r="AC24" s="405"/>
      <c r="AD24" s="367"/>
      <c r="AE24" s="367"/>
      <c r="AF24" s="405"/>
      <c r="AG24" s="367"/>
      <c r="AH24" s="367"/>
      <c r="AI24" s="405"/>
      <c r="AJ24" s="367"/>
      <c r="AK24" s="367"/>
      <c r="AL24" s="405"/>
      <c r="AM24" s="367"/>
      <c r="AN24" s="367"/>
      <c r="AO24" s="405"/>
      <c r="AP24" s="367"/>
      <c r="AQ24" s="367"/>
      <c r="AR24" s="405"/>
      <c r="AS24" s="367"/>
      <c r="AT24" s="367"/>
      <c r="AU24" s="405"/>
      <c r="AV24" s="478"/>
      <c r="AW24" s="11" t="s">
        <v>2153</v>
      </c>
      <c r="AX24" s="11" t="s">
        <v>2154</v>
      </c>
      <c r="AY24" s="287">
        <v>0.92</v>
      </c>
      <c r="AZ24" s="288">
        <f>2/4</f>
        <v>0.5</v>
      </c>
      <c r="BA24" s="76">
        <f t="shared" si="23"/>
        <v>4.5108695652173916E-2</v>
      </c>
      <c r="BB24" s="288" t="s">
        <v>2378</v>
      </c>
      <c r="BC24" s="288">
        <f>4/8</f>
        <v>0.5</v>
      </c>
      <c r="BD24" s="76">
        <f t="shared" si="24"/>
        <v>9.0217391304347833E-2</v>
      </c>
      <c r="BE24" s="288" t="s">
        <v>2379</v>
      </c>
      <c r="BF24" s="288">
        <f>4/11</f>
        <v>0.36363636363636365</v>
      </c>
      <c r="BG24" s="76">
        <f t="shared" si="25"/>
        <v>9.8418972332015811E-2</v>
      </c>
      <c r="BH24" s="288" t="s">
        <v>2380</v>
      </c>
      <c r="BI24" s="288">
        <f>5/14</f>
        <v>0.35714285714285715</v>
      </c>
      <c r="BJ24" s="76">
        <f t="shared" si="5"/>
        <v>0.12888198757763977</v>
      </c>
      <c r="BK24" s="288" t="s">
        <v>2381</v>
      </c>
      <c r="BL24" s="288">
        <f>6/16</f>
        <v>0.375</v>
      </c>
      <c r="BM24" s="76">
        <f t="shared" si="6"/>
        <v>0.16915760869565219</v>
      </c>
      <c r="BN24" s="288" t="s">
        <v>2382</v>
      </c>
      <c r="BO24" s="288">
        <f>8/18</f>
        <v>0.44444444444444442</v>
      </c>
      <c r="BP24" s="76">
        <f t="shared" si="7"/>
        <v>0.24057971014492749</v>
      </c>
      <c r="BQ24" s="288" t="s">
        <v>2383</v>
      </c>
      <c r="BR24" s="288">
        <f>9/22</f>
        <v>0.40909090909090912</v>
      </c>
      <c r="BS24" s="76">
        <f>(BR24/$AY24)*(8.3%*7)</f>
        <v>0.25834980237154154</v>
      </c>
      <c r="BT24" s="288" t="s">
        <v>2384</v>
      </c>
      <c r="BU24" s="288">
        <f>24/24</f>
        <v>1</v>
      </c>
      <c r="BV24" s="76">
        <f>(BU24/$AY24)*(8.3%*8)</f>
        <v>0.72173913043478266</v>
      </c>
      <c r="BW24" s="288" t="s">
        <v>2385</v>
      </c>
      <c r="BX24" s="325">
        <f>27/28</f>
        <v>0.9642857142857143</v>
      </c>
      <c r="BY24" s="76">
        <f>(BX24/$AY24)*(8.3%*9)</f>
        <v>0.78295807453416144</v>
      </c>
      <c r="BZ24" s="288" t="s">
        <v>2386</v>
      </c>
      <c r="CA24" s="288">
        <f>30/31</f>
        <v>0.967741935483871</v>
      </c>
      <c r="CB24" s="76">
        <f>(CA24/$AY24)*(8.3%*10)</f>
        <v>0.8730715287517532</v>
      </c>
      <c r="CC24" s="288" t="s">
        <v>2387</v>
      </c>
      <c r="CD24" s="288">
        <f>32/33</f>
        <v>0.96969696969696972</v>
      </c>
      <c r="CE24" s="76">
        <f>(CD24/$AY24)*(8.3%*11)</f>
        <v>0.96231884057971029</v>
      </c>
      <c r="CF24" s="288" t="s">
        <v>2388</v>
      </c>
      <c r="CG24" s="288">
        <f>34/35</f>
        <v>0.97142857142857142</v>
      </c>
      <c r="CH24" s="76">
        <f>(CG24/$AY24)*(8.3%*12)</f>
        <v>1.0516770186335405</v>
      </c>
      <c r="CI24" s="324" t="s">
        <v>2389</v>
      </c>
      <c r="CJ24" s="11" t="s">
        <v>106</v>
      </c>
      <c r="CK24" s="11" t="s">
        <v>107</v>
      </c>
    </row>
    <row r="25" spans="1:174" ht="75" x14ac:dyDescent="0.25">
      <c r="H25" s="401"/>
      <c r="M25" s="56" t="s">
        <v>153</v>
      </c>
      <c r="N25" s="74">
        <f>AVERAGE(N20:N24)</f>
        <v>0.10510869565217391</v>
      </c>
      <c r="P25" s="56" t="s">
        <v>153</v>
      </c>
      <c r="Q25" s="74">
        <f>AVERAGE(Q20:Q24)</f>
        <v>0.19021739130434784</v>
      </c>
      <c r="S25" s="56" t="s">
        <v>153</v>
      </c>
      <c r="T25" s="74">
        <f>AVERAGE(T20:T24)</f>
        <v>0.27532608695652172</v>
      </c>
      <c r="V25" s="56" t="s">
        <v>153</v>
      </c>
      <c r="W25" s="74">
        <f>AVERAGE(W20:W24)</f>
        <v>0.35043478260869565</v>
      </c>
      <c r="Y25" s="56" t="s">
        <v>153</v>
      </c>
      <c r="Z25" s="74">
        <f>AVERAGE(Z20:Z24)</f>
        <v>0.43554347826086959</v>
      </c>
      <c r="AB25" s="56" t="s">
        <v>153</v>
      </c>
      <c r="AC25" s="74">
        <f>AVERAGE(AC20:AC24)</f>
        <v>0.50065217391304351</v>
      </c>
      <c r="AE25" s="56" t="s">
        <v>153</v>
      </c>
      <c r="AF25" s="74">
        <f>AVERAGE(AF20:AF24)</f>
        <v>0.57576086956521744</v>
      </c>
      <c r="AH25" s="56" t="s">
        <v>153</v>
      </c>
      <c r="AI25" s="74">
        <f>AVERAGE(AI20:AI24)</f>
        <v>0.65086956521739125</v>
      </c>
      <c r="AK25" s="56" t="s">
        <v>153</v>
      </c>
      <c r="AL25" s="74">
        <f>AVERAGE(AL20:AL24)</f>
        <v>0.76597826086956511</v>
      </c>
      <c r="AN25" s="56" t="s">
        <v>153</v>
      </c>
      <c r="AO25" s="74">
        <f>AVERAGE(AO20:AO24)</f>
        <v>0.94108695652173913</v>
      </c>
      <c r="AQ25" s="56" t="s">
        <v>153</v>
      </c>
      <c r="AR25" s="74">
        <f>AVERAGE(AR20:AR24)</f>
        <v>1.0161956521739131</v>
      </c>
      <c r="AT25" s="56" t="s">
        <v>153</v>
      </c>
      <c r="AU25" s="74">
        <f>AVERAGE(AU20:AU24)</f>
        <v>1.1013043478260869</v>
      </c>
      <c r="AZ25" s="56" t="s">
        <v>154</v>
      </c>
      <c r="BA25" s="74">
        <f>AVERAGE(BA20:BA24)</f>
        <v>7.3816851378232448E-2</v>
      </c>
      <c r="BC25" s="56" t="s">
        <v>154</v>
      </c>
      <c r="BD25" s="74">
        <f>AVERAGE(BD20:BD24)</f>
        <v>0.15318925831202046</v>
      </c>
      <c r="BF25" s="56" t="s">
        <v>154</v>
      </c>
      <c r="BG25" s="74">
        <f>AVERAGE(BG20:BG24)</f>
        <v>0.23018024232090731</v>
      </c>
      <c r="BH25" s="292"/>
      <c r="BI25" s="56" t="s">
        <v>154</v>
      </c>
      <c r="BJ25" s="74">
        <f>AVERAGE(BJ20:BJ24)</f>
        <v>0.29773462428449637</v>
      </c>
      <c r="BL25" s="56" t="s">
        <v>154</v>
      </c>
      <c r="BM25" s="74">
        <f>AVERAGE(BM20:BM24)</f>
        <v>0.37114041631145211</v>
      </c>
      <c r="BO25" s="56" t="s">
        <v>154</v>
      </c>
      <c r="BP25" s="74">
        <f>AVERAGE(BP20:BP24)</f>
        <v>0.44744217107132711</v>
      </c>
      <c r="BQ25" s="292"/>
      <c r="BR25" s="56" t="s">
        <v>154</v>
      </c>
      <c r="BS25" s="74">
        <f>AVERAGE(BS20:BS24)</f>
        <v>0.50690241287555859</v>
      </c>
      <c r="BU25" s="56" t="s">
        <v>154</v>
      </c>
      <c r="BV25" s="74">
        <f>AVERAGE(BV20:BV24)</f>
        <v>0.71159761295822666</v>
      </c>
      <c r="BX25" s="56" t="s">
        <v>154</v>
      </c>
      <c r="BY25" s="74">
        <f>AVERAGE(BY20:BY24)</f>
        <v>0.79030318069256689</v>
      </c>
      <c r="BZ25" s="292"/>
      <c r="CA25" s="56" t="s">
        <v>154</v>
      </c>
      <c r="CB25" s="74">
        <f>AVERAGE(CB20:CB24)</f>
        <v>0.91700987267277179</v>
      </c>
      <c r="CD25" s="56" t="s">
        <v>154</v>
      </c>
      <c r="CE25" s="74">
        <f>AVERAGE(CE20:CE24)</f>
        <v>0.99021000284171645</v>
      </c>
      <c r="CG25" s="56" t="s">
        <v>154</v>
      </c>
      <c r="CH25" s="74">
        <f>AVERAGE(CH20:CH24)</f>
        <v>1.0834323062558358</v>
      </c>
      <c r="CI25" s="292"/>
      <c r="CJ25" s="292"/>
      <c r="CK25" s="292"/>
      <c r="FO25" s="296"/>
      <c r="FP25" s="296"/>
      <c r="FQ25" s="296"/>
      <c r="FR25" s="296"/>
    </row>
    <row r="26" spans="1:174" s="4" customFormat="1" ht="45" customHeight="1" x14ac:dyDescent="0.2">
      <c r="A26" s="368" t="s">
        <v>84</v>
      </c>
      <c r="B26" s="368" t="s">
        <v>274</v>
      </c>
      <c r="C26" s="368" t="s">
        <v>2718</v>
      </c>
      <c r="D26" s="368" t="s">
        <v>32</v>
      </c>
      <c r="E26" s="393" t="s">
        <v>2390</v>
      </c>
      <c r="F26" s="368" t="s">
        <v>88</v>
      </c>
      <c r="G26" s="368" t="s">
        <v>276</v>
      </c>
      <c r="H26" s="401"/>
      <c r="I26" s="374">
        <v>950337912</v>
      </c>
      <c r="J26" s="368" t="s">
        <v>2125</v>
      </c>
      <c r="K26" s="368" t="s">
        <v>2126</v>
      </c>
      <c r="L26" s="435">
        <v>0.92</v>
      </c>
      <c r="M26" s="366">
        <v>0</v>
      </c>
      <c r="N26" s="403">
        <f>(M26/$L26)*(8.3%*1)</f>
        <v>0</v>
      </c>
      <c r="O26" s="366" t="s">
        <v>2391</v>
      </c>
      <c r="P26" s="366">
        <f>1/2</f>
        <v>0.5</v>
      </c>
      <c r="Q26" s="403">
        <f>(P26/$L26)*(8.3%*2)</f>
        <v>9.0217391304347833E-2</v>
      </c>
      <c r="R26" s="366" t="s">
        <v>2392</v>
      </c>
      <c r="S26" s="366">
        <f>1/2</f>
        <v>0.5</v>
      </c>
      <c r="T26" s="403">
        <f>(S26/$L26)*(8.3%*3)</f>
        <v>0.13532608695652174</v>
      </c>
      <c r="U26" s="366" t="s">
        <v>2393</v>
      </c>
      <c r="V26" s="366">
        <f>1/2</f>
        <v>0.5</v>
      </c>
      <c r="W26" s="403">
        <f>(V26/$L26)*(8.3%*4)</f>
        <v>0.18043478260869567</v>
      </c>
      <c r="X26" s="366" t="s">
        <v>2394</v>
      </c>
      <c r="Y26" s="366">
        <f>1/2</f>
        <v>0.5</v>
      </c>
      <c r="Z26" s="403">
        <f>(Y26/$L26)*(8.3%*5)</f>
        <v>0.22554347826086957</v>
      </c>
      <c r="AA26" s="366" t="s">
        <v>2395</v>
      </c>
      <c r="AB26" s="366">
        <f>1/2</f>
        <v>0.5</v>
      </c>
      <c r="AC26" s="403">
        <f>(AB26/$L26)*(8.3%*6)</f>
        <v>0.27065217391304347</v>
      </c>
      <c r="AD26" s="366" t="s">
        <v>2394</v>
      </c>
      <c r="AE26" s="366">
        <f>1/2</f>
        <v>0.5</v>
      </c>
      <c r="AF26" s="403">
        <f>(AE26/$L26)*(8.3%*7)</f>
        <v>0.31576086956521743</v>
      </c>
      <c r="AG26" s="366" t="s">
        <v>2396</v>
      </c>
      <c r="AH26" s="366">
        <f>1/2</f>
        <v>0.5</v>
      </c>
      <c r="AI26" s="403">
        <f>(AH26/$L26)*(8.3%*8)</f>
        <v>0.36086956521739133</v>
      </c>
      <c r="AJ26" s="366" t="s">
        <v>2397</v>
      </c>
      <c r="AK26" s="366">
        <f>1/2</f>
        <v>0.5</v>
      </c>
      <c r="AL26" s="403">
        <f>(AK26/$L26)*(8.3%*9)</f>
        <v>0.40597826086956518</v>
      </c>
      <c r="AM26" s="366" t="s">
        <v>2398</v>
      </c>
      <c r="AN26" s="366">
        <f>2/3</f>
        <v>0.66666666666666663</v>
      </c>
      <c r="AO26" s="403">
        <f>(AN26/$L26)*(8.3%*10)</f>
        <v>0.60144927536231885</v>
      </c>
      <c r="AP26" s="366" t="s">
        <v>2399</v>
      </c>
      <c r="AQ26" s="366">
        <f>2/3</f>
        <v>0.66666666666666663</v>
      </c>
      <c r="AR26" s="403">
        <f>(AQ26/$L26)*(8.3%*11)</f>
        <v>0.66159420289855064</v>
      </c>
      <c r="AS26" s="366" t="s">
        <v>2400</v>
      </c>
      <c r="AT26" s="366">
        <f>3/4</f>
        <v>0.75</v>
      </c>
      <c r="AU26" s="403">
        <f>(AT26/$L26)*(8.3%*12)</f>
        <v>0.81195652173913035</v>
      </c>
      <c r="AV26" s="477" t="s">
        <v>2401</v>
      </c>
      <c r="AW26" s="11" t="s">
        <v>2139</v>
      </c>
      <c r="AX26" s="11" t="s">
        <v>2140</v>
      </c>
      <c r="AY26" s="287">
        <v>0.92</v>
      </c>
      <c r="AZ26" s="288">
        <v>0</v>
      </c>
      <c r="BA26" s="76">
        <f>(AZ26/$AY26)*(8.3%*1)</f>
        <v>0</v>
      </c>
      <c r="BB26" s="288" t="s">
        <v>2402</v>
      </c>
      <c r="BC26" s="288">
        <v>0</v>
      </c>
      <c r="BD26" s="76"/>
      <c r="BE26" s="288" t="s">
        <v>2403</v>
      </c>
      <c r="BF26" s="288">
        <v>0</v>
      </c>
      <c r="BG26" s="76"/>
      <c r="BH26" s="288" t="s">
        <v>2404</v>
      </c>
      <c r="BI26" s="288">
        <v>0</v>
      </c>
      <c r="BJ26" s="76">
        <f>(BI26/$AY26)*(8.3%*4)</f>
        <v>0</v>
      </c>
      <c r="BK26" s="288" t="s">
        <v>2405</v>
      </c>
      <c r="BL26" s="288">
        <v>0</v>
      </c>
      <c r="BM26" s="76">
        <f>(BL26/$AY26)*(8.3%*5)</f>
        <v>0</v>
      </c>
      <c r="BN26" s="288" t="s">
        <v>2406</v>
      </c>
      <c r="BO26" s="288">
        <f>1/1</f>
        <v>1</v>
      </c>
      <c r="BP26" s="329">
        <f>(BO26/$AY26)*(8.3%*6)</f>
        <v>0.54130434782608694</v>
      </c>
      <c r="BQ26" s="288" t="s">
        <v>2407</v>
      </c>
      <c r="BR26" s="288">
        <f>1/1</f>
        <v>1</v>
      </c>
      <c r="BS26" s="76">
        <f>(BR26/$AY26)*(8.3%*7)</f>
        <v>0.63152173913043486</v>
      </c>
      <c r="BT26" s="288" t="s">
        <v>2408</v>
      </c>
      <c r="BU26" s="288">
        <f>2/2</f>
        <v>1</v>
      </c>
      <c r="BV26" s="76">
        <f>(BU26/$AY26)*(8.3%*8)</f>
        <v>0.72173913043478266</v>
      </c>
      <c r="BW26" s="288" t="s">
        <v>2409</v>
      </c>
      <c r="BX26" s="288">
        <f>2/2</f>
        <v>1</v>
      </c>
      <c r="BY26" s="76">
        <f>(BX26/$AY26)*(8.3%*9)</f>
        <v>0.81195652173913035</v>
      </c>
      <c r="BZ26" s="288" t="s">
        <v>2410</v>
      </c>
      <c r="CA26" s="288">
        <f>2/2</f>
        <v>1</v>
      </c>
      <c r="CB26" s="76">
        <f>(CA26/$AY26)*(8.3%*10)</f>
        <v>0.90217391304347827</v>
      </c>
      <c r="CC26" s="288" t="s">
        <v>2411</v>
      </c>
      <c r="CD26" s="288">
        <f>3/3</f>
        <v>1</v>
      </c>
      <c r="CE26" s="76">
        <f>(CD26/$AY26)*(8.3%*11)</f>
        <v>0.99239130434782608</v>
      </c>
      <c r="CF26" s="288" t="s">
        <v>2412</v>
      </c>
      <c r="CG26" s="288">
        <f>3/3</f>
        <v>1</v>
      </c>
      <c r="CH26" s="76">
        <f>(CG26/$AY26)*(8.3%*12)</f>
        <v>1.0826086956521739</v>
      </c>
      <c r="CI26" s="324" t="s">
        <v>2413</v>
      </c>
      <c r="CJ26" s="11" t="s">
        <v>106</v>
      </c>
      <c r="CK26" s="11" t="s">
        <v>107</v>
      </c>
    </row>
    <row r="27" spans="1:174" s="4" customFormat="1" ht="45" customHeight="1" x14ac:dyDescent="0.2">
      <c r="A27" s="368"/>
      <c r="B27" s="368"/>
      <c r="C27" s="368"/>
      <c r="D27" s="368" t="s">
        <v>32</v>
      </c>
      <c r="E27" s="393" t="s">
        <v>2390</v>
      </c>
      <c r="F27" s="368"/>
      <c r="G27" s="368"/>
      <c r="H27" s="401"/>
      <c r="I27" s="375"/>
      <c r="J27" s="368"/>
      <c r="K27" s="368"/>
      <c r="L27" s="435"/>
      <c r="M27" s="367"/>
      <c r="N27" s="405"/>
      <c r="O27" s="367"/>
      <c r="P27" s="367"/>
      <c r="Q27" s="405"/>
      <c r="R27" s="367"/>
      <c r="S27" s="367"/>
      <c r="T27" s="405"/>
      <c r="U27" s="367"/>
      <c r="V27" s="367"/>
      <c r="W27" s="405"/>
      <c r="X27" s="367"/>
      <c r="Y27" s="367"/>
      <c r="Z27" s="405"/>
      <c r="AA27" s="367"/>
      <c r="AB27" s="367"/>
      <c r="AC27" s="405"/>
      <c r="AD27" s="367"/>
      <c r="AE27" s="367"/>
      <c r="AF27" s="405"/>
      <c r="AG27" s="367"/>
      <c r="AH27" s="367"/>
      <c r="AI27" s="405"/>
      <c r="AJ27" s="367"/>
      <c r="AK27" s="367"/>
      <c r="AL27" s="405"/>
      <c r="AM27" s="367"/>
      <c r="AN27" s="367"/>
      <c r="AO27" s="405"/>
      <c r="AP27" s="367"/>
      <c r="AQ27" s="367"/>
      <c r="AR27" s="405"/>
      <c r="AS27" s="367"/>
      <c r="AT27" s="367"/>
      <c r="AU27" s="405"/>
      <c r="AV27" s="478"/>
      <c r="AW27" s="11" t="s">
        <v>2153</v>
      </c>
      <c r="AX27" s="11" t="s">
        <v>2154</v>
      </c>
      <c r="AY27" s="287">
        <v>0.92</v>
      </c>
      <c r="AZ27" s="288">
        <v>0</v>
      </c>
      <c r="BA27" s="76">
        <f t="shared" ref="BA27:BA30" si="26">(AZ27/$AY27)*(8.3%*1)</f>
        <v>0</v>
      </c>
      <c r="BB27" s="288" t="s">
        <v>2414</v>
      </c>
      <c r="BC27" s="288">
        <v>0</v>
      </c>
      <c r="BD27" s="76">
        <f>(BC27/$AY27)*(8.3%*2)</f>
        <v>0</v>
      </c>
      <c r="BE27" s="288" t="s">
        <v>2415</v>
      </c>
      <c r="BF27" s="288">
        <f>0/1</f>
        <v>0</v>
      </c>
      <c r="BG27" s="76">
        <f>(BF27/$AY27)*(8.3%*3)</f>
        <v>0</v>
      </c>
      <c r="BH27" s="288" t="s">
        <v>2416</v>
      </c>
      <c r="BI27" s="288">
        <v>0</v>
      </c>
      <c r="BJ27" s="76">
        <f t="shared" ref="BJ27:BJ30" si="27">(BI27/$AY27)*(8.3%*4)</f>
        <v>0</v>
      </c>
      <c r="BK27" s="288" t="s">
        <v>2417</v>
      </c>
      <c r="BL27" s="288">
        <v>0</v>
      </c>
      <c r="BM27" s="76">
        <f t="shared" ref="BM27:BM30" si="28">(BL27/$AY27)*(8.3%*5)</f>
        <v>0</v>
      </c>
      <c r="BN27" s="288" t="s">
        <v>2418</v>
      </c>
      <c r="BO27" s="288">
        <f>0/1</f>
        <v>0</v>
      </c>
      <c r="BP27" s="76">
        <f t="shared" ref="BP27:BP30" si="29">(BO27/$AY27)*(8.3%*6)</f>
        <v>0</v>
      </c>
      <c r="BQ27" s="288" t="s">
        <v>2419</v>
      </c>
      <c r="BR27" s="288">
        <f>0/1</f>
        <v>0</v>
      </c>
      <c r="BS27" s="76">
        <f>(BR27/$AY27)*(8.3%*7)</f>
        <v>0</v>
      </c>
      <c r="BT27" s="288" t="s">
        <v>2420</v>
      </c>
      <c r="BU27" s="288">
        <f>0/2</f>
        <v>0</v>
      </c>
      <c r="BV27" s="76">
        <f>(BU27/$AY27)*(8.3%*8)</f>
        <v>0</v>
      </c>
      <c r="BW27" s="288" t="s">
        <v>2421</v>
      </c>
      <c r="BX27" s="325">
        <f>0/2</f>
        <v>0</v>
      </c>
      <c r="BY27" s="76">
        <f>(BX27/$AY27)*(8.3%*9)</f>
        <v>0</v>
      </c>
      <c r="BZ27" s="288" t="s">
        <v>2422</v>
      </c>
      <c r="CA27" s="288">
        <f>1/3</f>
        <v>0.33333333333333331</v>
      </c>
      <c r="CB27" s="76">
        <f>(CA27/$AY27)*(8.3%*10)</f>
        <v>0.30072463768115942</v>
      </c>
      <c r="CC27" s="288" t="s">
        <v>2423</v>
      </c>
      <c r="CD27" s="288">
        <f>1/3</f>
        <v>0.33333333333333331</v>
      </c>
      <c r="CE27" s="76">
        <f>(CD27/$AY27)*(8.3%*11)</f>
        <v>0.33079710144927532</v>
      </c>
      <c r="CF27" s="288" t="s">
        <v>2424</v>
      </c>
      <c r="CG27" s="325">
        <f>1/4</f>
        <v>0.25</v>
      </c>
      <c r="CH27" s="76">
        <f>(CG27/$AY27)*(8.3%*12)</f>
        <v>0.27065217391304347</v>
      </c>
      <c r="CI27" s="324" t="s">
        <v>2425</v>
      </c>
      <c r="CJ27" s="11" t="s">
        <v>106</v>
      </c>
      <c r="CK27" s="11" t="s">
        <v>107</v>
      </c>
    </row>
    <row r="28" spans="1:174" s="4" customFormat="1" ht="240" x14ac:dyDescent="0.2">
      <c r="A28" s="368"/>
      <c r="B28" s="368"/>
      <c r="C28" s="368"/>
      <c r="D28" s="368" t="s">
        <v>32</v>
      </c>
      <c r="E28" s="393" t="s">
        <v>2390</v>
      </c>
      <c r="F28" s="368"/>
      <c r="G28" s="368"/>
      <c r="H28" s="401"/>
      <c r="I28" s="374">
        <v>896500841</v>
      </c>
      <c r="J28" s="368" t="s">
        <v>2167</v>
      </c>
      <c r="K28" s="368" t="s">
        <v>2168</v>
      </c>
      <c r="L28" s="393">
        <v>16</v>
      </c>
      <c r="M28" s="474">
        <v>0</v>
      </c>
      <c r="N28" s="403">
        <f>M28/$L28</f>
        <v>0</v>
      </c>
      <c r="O28" s="366" t="s">
        <v>2426</v>
      </c>
      <c r="P28" s="474">
        <v>2</v>
      </c>
      <c r="Q28" s="403">
        <f>P28/$L28</f>
        <v>0.125</v>
      </c>
      <c r="R28" s="366" t="s">
        <v>2427</v>
      </c>
      <c r="S28" s="474">
        <v>6</v>
      </c>
      <c r="T28" s="403">
        <f>S28/$L28</f>
        <v>0.375</v>
      </c>
      <c r="U28" s="366" t="s">
        <v>2428</v>
      </c>
      <c r="V28" s="474">
        <v>9</v>
      </c>
      <c r="W28" s="403">
        <f>V28/$L28</f>
        <v>0.5625</v>
      </c>
      <c r="X28" s="366" t="s">
        <v>2429</v>
      </c>
      <c r="Y28" s="474">
        <v>11</v>
      </c>
      <c r="Z28" s="403">
        <f>Y28/$L28</f>
        <v>0.6875</v>
      </c>
      <c r="AA28" s="459" t="s">
        <v>2430</v>
      </c>
      <c r="AB28" s="474">
        <v>12</v>
      </c>
      <c r="AC28" s="403">
        <f>AB28/$L28</f>
        <v>0.75</v>
      </c>
      <c r="AD28" s="366" t="s">
        <v>2431</v>
      </c>
      <c r="AE28" s="474">
        <v>12</v>
      </c>
      <c r="AF28" s="403">
        <f>AE28/$L28</f>
        <v>0.75</v>
      </c>
      <c r="AG28" s="366" t="s">
        <v>2432</v>
      </c>
      <c r="AH28" s="474">
        <v>13</v>
      </c>
      <c r="AI28" s="403">
        <f>AH28/$L28</f>
        <v>0.8125</v>
      </c>
      <c r="AJ28" s="366" t="s">
        <v>2433</v>
      </c>
      <c r="AK28" s="474">
        <v>14</v>
      </c>
      <c r="AL28" s="403">
        <f>AK28/$L28</f>
        <v>0.875</v>
      </c>
      <c r="AM28" s="366" t="s">
        <v>2434</v>
      </c>
      <c r="AN28" s="474">
        <v>19</v>
      </c>
      <c r="AO28" s="403">
        <f>AN28/$L28</f>
        <v>1.1875</v>
      </c>
      <c r="AP28" s="366" t="s">
        <v>2435</v>
      </c>
      <c r="AQ28" s="474">
        <v>19</v>
      </c>
      <c r="AR28" s="403">
        <f>AQ28/$L28</f>
        <v>1.1875</v>
      </c>
      <c r="AS28" s="366" t="s">
        <v>2436</v>
      </c>
      <c r="AT28" s="474">
        <v>24</v>
      </c>
      <c r="AU28" s="403">
        <f>AT28/$L28</f>
        <v>1.5</v>
      </c>
      <c r="AV28" s="477" t="s">
        <v>2437</v>
      </c>
      <c r="AW28" s="11" t="s">
        <v>2181</v>
      </c>
      <c r="AX28" s="11" t="s">
        <v>2182</v>
      </c>
      <c r="AY28" s="285">
        <v>14</v>
      </c>
      <c r="AZ28" s="325">
        <v>1</v>
      </c>
      <c r="BA28" s="76">
        <f>AZ28/$AY28</f>
        <v>7.1428571428571425E-2</v>
      </c>
      <c r="BB28" s="325" t="s">
        <v>2438</v>
      </c>
      <c r="BC28" s="325">
        <v>3</v>
      </c>
      <c r="BD28" s="76">
        <f>BC28/$AY28</f>
        <v>0.21428571428571427</v>
      </c>
      <c r="BE28" s="288" t="s">
        <v>2439</v>
      </c>
      <c r="BF28" s="325">
        <v>4</v>
      </c>
      <c r="BG28" s="76">
        <f>BF28/$AY28</f>
        <v>0.2857142857142857</v>
      </c>
      <c r="BH28" s="288" t="s">
        <v>2440</v>
      </c>
      <c r="BI28" s="325">
        <v>5</v>
      </c>
      <c r="BJ28" s="76">
        <f t="shared" ref="BJ28:BJ29" si="30">(BI28/$AY28)</f>
        <v>0.35714285714285715</v>
      </c>
      <c r="BK28" s="325" t="s">
        <v>2441</v>
      </c>
      <c r="BL28" s="325">
        <v>5</v>
      </c>
      <c r="BM28" s="76">
        <f t="shared" ref="BM28:BM29" si="31">(BL28/$AY28)</f>
        <v>0.35714285714285715</v>
      </c>
      <c r="BN28" s="288" t="s">
        <v>2442</v>
      </c>
      <c r="BO28" s="325">
        <v>8</v>
      </c>
      <c r="BP28" s="76">
        <f t="shared" ref="BP28:BP29" si="32">(BO28/$AY28)</f>
        <v>0.5714285714285714</v>
      </c>
      <c r="BQ28" s="288" t="s">
        <v>2443</v>
      </c>
      <c r="BR28" s="325">
        <v>8</v>
      </c>
      <c r="BS28" s="76">
        <f t="shared" ref="BS28:BS29" si="33">(BR28/$AY28)</f>
        <v>0.5714285714285714</v>
      </c>
      <c r="BT28" s="288" t="s">
        <v>2444</v>
      </c>
      <c r="BU28" s="325">
        <v>10</v>
      </c>
      <c r="BV28" s="76">
        <f t="shared" ref="BV28:BV29" si="34">(BU28/$AY28)</f>
        <v>0.7142857142857143</v>
      </c>
      <c r="BW28" s="288" t="s">
        <v>2445</v>
      </c>
      <c r="BX28" s="325">
        <v>11</v>
      </c>
      <c r="BY28" s="76">
        <f t="shared" ref="BY28:BY29" si="35">(BX28/$AY28)</f>
        <v>0.7857142857142857</v>
      </c>
      <c r="BZ28" s="288" t="s">
        <v>2446</v>
      </c>
      <c r="CA28" s="325">
        <v>12</v>
      </c>
      <c r="CB28" s="76">
        <f>(CA28/$AY28)</f>
        <v>0.8571428571428571</v>
      </c>
      <c r="CC28" s="288" t="s">
        <v>2447</v>
      </c>
      <c r="CD28" s="325">
        <v>13</v>
      </c>
      <c r="CE28" s="76">
        <f>(CD28/$AY28)</f>
        <v>0.9285714285714286</v>
      </c>
      <c r="CF28" s="330" t="s">
        <v>2448</v>
      </c>
      <c r="CG28" s="325">
        <v>14</v>
      </c>
      <c r="CH28" s="76">
        <f>(CG28/$AY28)</f>
        <v>1</v>
      </c>
      <c r="CI28" s="324" t="s">
        <v>2449</v>
      </c>
      <c r="CJ28" s="11" t="s">
        <v>106</v>
      </c>
      <c r="CK28" s="11" t="s">
        <v>107</v>
      </c>
    </row>
    <row r="29" spans="1:174" s="4" customFormat="1" ht="45" customHeight="1" x14ac:dyDescent="0.2">
      <c r="A29" s="368"/>
      <c r="B29" s="368"/>
      <c r="C29" s="368"/>
      <c r="D29" s="368" t="s">
        <v>32</v>
      </c>
      <c r="E29" s="393" t="s">
        <v>2390</v>
      </c>
      <c r="F29" s="368"/>
      <c r="G29" s="368"/>
      <c r="H29" s="401"/>
      <c r="I29" s="401"/>
      <c r="J29" s="368"/>
      <c r="K29" s="368"/>
      <c r="L29" s="393"/>
      <c r="M29" s="475"/>
      <c r="N29" s="404"/>
      <c r="O29" s="402"/>
      <c r="P29" s="475"/>
      <c r="Q29" s="404"/>
      <c r="R29" s="402"/>
      <c r="S29" s="475"/>
      <c r="T29" s="404"/>
      <c r="U29" s="402"/>
      <c r="V29" s="475"/>
      <c r="W29" s="404"/>
      <c r="X29" s="402"/>
      <c r="Y29" s="475"/>
      <c r="Z29" s="404"/>
      <c r="AA29" s="460"/>
      <c r="AB29" s="475"/>
      <c r="AC29" s="404"/>
      <c r="AD29" s="402"/>
      <c r="AE29" s="475"/>
      <c r="AF29" s="404"/>
      <c r="AG29" s="402"/>
      <c r="AH29" s="475"/>
      <c r="AI29" s="404"/>
      <c r="AJ29" s="402"/>
      <c r="AK29" s="475"/>
      <c r="AL29" s="404"/>
      <c r="AM29" s="402"/>
      <c r="AN29" s="475"/>
      <c r="AO29" s="404"/>
      <c r="AP29" s="402"/>
      <c r="AQ29" s="475"/>
      <c r="AR29" s="404"/>
      <c r="AS29" s="402"/>
      <c r="AT29" s="475"/>
      <c r="AU29" s="404"/>
      <c r="AV29" s="479"/>
      <c r="AW29" s="11" t="s">
        <v>2195</v>
      </c>
      <c r="AX29" s="11" t="s">
        <v>2196</v>
      </c>
      <c r="AY29" s="285">
        <v>18</v>
      </c>
      <c r="AZ29" s="325">
        <v>0</v>
      </c>
      <c r="BA29" s="76">
        <f>AZ29/$AY29</f>
        <v>0</v>
      </c>
      <c r="BB29" s="325" t="s">
        <v>2414</v>
      </c>
      <c r="BC29" s="325">
        <v>4</v>
      </c>
      <c r="BD29" s="76">
        <f>BC29/$AY29</f>
        <v>0.22222222222222221</v>
      </c>
      <c r="BE29" s="288" t="s">
        <v>2450</v>
      </c>
      <c r="BF29" s="325">
        <v>6</v>
      </c>
      <c r="BG29" s="76">
        <f>BF29/$AY29</f>
        <v>0.33333333333333331</v>
      </c>
      <c r="BH29" s="288" t="s">
        <v>2451</v>
      </c>
      <c r="BI29" s="325">
        <v>8</v>
      </c>
      <c r="BJ29" s="76">
        <f t="shared" si="30"/>
        <v>0.44444444444444442</v>
      </c>
      <c r="BK29" s="325" t="s">
        <v>2452</v>
      </c>
      <c r="BL29" s="325">
        <v>10</v>
      </c>
      <c r="BM29" s="76">
        <f t="shared" si="31"/>
        <v>0.55555555555555558</v>
      </c>
      <c r="BN29" s="288" t="s">
        <v>2453</v>
      </c>
      <c r="BO29" s="325">
        <v>11</v>
      </c>
      <c r="BP29" s="76">
        <f t="shared" si="32"/>
        <v>0.61111111111111116</v>
      </c>
      <c r="BQ29" s="288" t="s">
        <v>2454</v>
      </c>
      <c r="BR29" s="325">
        <v>11</v>
      </c>
      <c r="BS29" s="76">
        <f t="shared" si="33"/>
        <v>0.61111111111111116</v>
      </c>
      <c r="BT29" s="288" t="s">
        <v>2455</v>
      </c>
      <c r="BU29" s="325">
        <v>12</v>
      </c>
      <c r="BV29" s="76">
        <f t="shared" si="34"/>
        <v>0.66666666666666663</v>
      </c>
      <c r="BW29" s="288" t="s">
        <v>2456</v>
      </c>
      <c r="BX29" s="325">
        <v>12</v>
      </c>
      <c r="BY29" s="76">
        <f t="shared" si="35"/>
        <v>0.66666666666666663</v>
      </c>
      <c r="BZ29" s="288" t="s">
        <v>2457</v>
      </c>
      <c r="CA29" s="325">
        <v>17</v>
      </c>
      <c r="CB29" s="76">
        <f>(CA29/$AY29)</f>
        <v>0.94444444444444442</v>
      </c>
      <c r="CC29" s="288" t="s">
        <v>2458</v>
      </c>
      <c r="CD29" s="325">
        <v>17</v>
      </c>
      <c r="CE29" s="76">
        <f>(CD29/$AY29)</f>
        <v>0.94444444444444442</v>
      </c>
      <c r="CF29" s="288" t="s">
        <v>2459</v>
      </c>
      <c r="CG29" s="325">
        <v>21</v>
      </c>
      <c r="CH29" s="76">
        <f>(CG29/$AY29)</f>
        <v>1.1666666666666667</v>
      </c>
      <c r="CI29" s="324" t="s">
        <v>2460</v>
      </c>
      <c r="CJ29" s="11" t="s">
        <v>106</v>
      </c>
      <c r="CK29" s="11" t="s">
        <v>107</v>
      </c>
    </row>
    <row r="30" spans="1:174" s="4" customFormat="1" ht="216" x14ac:dyDescent="0.2">
      <c r="A30" s="368"/>
      <c r="B30" s="368"/>
      <c r="C30" s="368"/>
      <c r="D30" s="368" t="s">
        <v>32</v>
      </c>
      <c r="E30" s="393" t="s">
        <v>2390</v>
      </c>
      <c r="F30" s="368"/>
      <c r="G30" s="368"/>
      <c r="H30" s="401"/>
      <c r="I30" s="375"/>
      <c r="J30" s="368"/>
      <c r="K30" s="368"/>
      <c r="L30" s="393"/>
      <c r="M30" s="476"/>
      <c r="N30" s="405"/>
      <c r="O30" s="367"/>
      <c r="P30" s="476"/>
      <c r="Q30" s="405"/>
      <c r="R30" s="367"/>
      <c r="S30" s="476"/>
      <c r="T30" s="405"/>
      <c r="U30" s="367"/>
      <c r="V30" s="476"/>
      <c r="W30" s="405"/>
      <c r="X30" s="367"/>
      <c r="Y30" s="476"/>
      <c r="Z30" s="405"/>
      <c r="AA30" s="461"/>
      <c r="AB30" s="476"/>
      <c r="AC30" s="405"/>
      <c r="AD30" s="367"/>
      <c r="AE30" s="476"/>
      <c r="AF30" s="405"/>
      <c r="AG30" s="367"/>
      <c r="AH30" s="476"/>
      <c r="AI30" s="405"/>
      <c r="AJ30" s="367"/>
      <c r="AK30" s="476"/>
      <c r="AL30" s="405"/>
      <c r="AM30" s="367"/>
      <c r="AN30" s="476"/>
      <c r="AO30" s="405"/>
      <c r="AP30" s="367"/>
      <c r="AQ30" s="476"/>
      <c r="AR30" s="405"/>
      <c r="AS30" s="367"/>
      <c r="AT30" s="476"/>
      <c r="AU30" s="405"/>
      <c r="AV30" s="478"/>
      <c r="AW30" s="11" t="s">
        <v>2153</v>
      </c>
      <c r="AX30" s="11" t="s">
        <v>2210</v>
      </c>
      <c r="AY30" s="287">
        <v>0.85</v>
      </c>
      <c r="AZ30" s="288">
        <v>0</v>
      </c>
      <c r="BA30" s="76">
        <f t="shared" si="26"/>
        <v>0</v>
      </c>
      <c r="BB30" s="288" t="s">
        <v>2461</v>
      </c>
      <c r="BC30" s="288">
        <f>1/1</f>
        <v>1</v>
      </c>
      <c r="BD30" s="76">
        <f>(BC30/$AY30)*(8.3%*2)</f>
        <v>0.19529411764705884</v>
      </c>
      <c r="BE30" s="288" t="s">
        <v>2462</v>
      </c>
      <c r="BF30" s="288">
        <f>1/1</f>
        <v>1</v>
      </c>
      <c r="BG30" s="76">
        <f>(BF30/$AY30)*(8.3%*3)</f>
        <v>0.29294117647058826</v>
      </c>
      <c r="BH30" s="288" t="s">
        <v>2463</v>
      </c>
      <c r="BI30" s="288">
        <f>2/2</f>
        <v>1</v>
      </c>
      <c r="BJ30" s="76">
        <f t="shared" si="27"/>
        <v>0.39058823529411768</v>
      </c>
      <c r="BK30" s="288" t="s">
        <v>2464</v>
      </c>
      <c r="BL30" s="288">
        <f>2/2</f>
        <v>1</v>
      </c>
      <c r="BM30" s="76">
        <f t="shared" si="28"/>
        <v>0.4882352941176471</v>
      </c>
      <c r="BN30" s="288" t="s">
        <v>2465</v>
      </c>
      <c r="BO30" s="288">
        <f>3/3</f>
        <v>1</v>
      </c>
      <c r="BP30" s="76">
        <f t="shared" si="29"/>
        <v>0.58588235294117652</v>
      </c>
      <c r="BQ30" s="288" t="s">
        <v>2466</v>
      </c>
      <c r="BR30" s="288">
        <f>3/3</f>
        <v>1</v>
      </c>
      <c r="BS30" s="76">
        <f>(BR30/$AY30)*(8.3%*7)</f>
        <v>0.68352941176470594</v>
      </c>
      <c r="BT30" s="288" t="s">
        <v>2467</v>
      </c>
      <c r="BU30" s="288">
        <f>3/3</f>
        <v>1</v>
      </c>
      <c r="BV30" s="76">
        <f>(BU30/$AY30)*(8.3%*8)</f>
        <v>0.78117647058823536</v>
      </c>
      <c r="BW30" s="288" t="s">
        <v>2468</v>
      </c>
      <c r="BX30" s="288">
        <f>3/3</f>
        <v>1</v>
      </c>
      <c r="BY30" s="76">
        <f>(BX30/$AY30)*(8.3%*9)</f>
        <v>0.87882352941176478</v>
      </c>
      <c r="BZ30" s="288" t="s">
        <v>2469</v>
      </c>
      <c r="CA30" s="288">
        <f>7/7</f>
        <v>1</v>
      </c>
      <c r="CB30" s="76">
        <f>(CA30/$AY30)*(8.3%*10)</f>
        <v>0.9764705882352942</v>
      </c>
      <c r="CC30" s="288" t="s">
        <v>2470</v>
      </c>
      <c r="CD30" s="288">
        <f>7/7</f>
        <v>1</v>
      </c>
      <c r="CE30" s="76">
        <f>(CD30/$AY30)*(8.3%*11)</f>
        <v>1.0741176470588236</v>
      </c>
      <c r="CF30" s="288" t="s">
        <v>2471</v>
      </c>
      <c r="CG30" s="288">
        <f>8/8</f>
        <v>1</v>
      </c>
      <c r="CH30" s="76">
        <f>(CG30/$AY30)*(8.3%*12)</f>
        <v>1.171764705882353</v>
      </c>
      <c r="CI30" s="324" t="s">
        <v>2472</v>
      </c>
      <c r="CJ30" s="11" t="s">
        <v>106</v>
      </c>
      <c r="CK30" s="11" t="s">
        <v>107</v>
      </c>
    </row>
    <row r="31" spans="1:174" ht="75" x14ac:dyDescent="0.25">
      <c r="H31" s="401"/>
      <c r="M31" s="56" t="s">
        <v>153</v>
      </c>
      <c r="N31" s="74">
        <f>AVERAGE(N26:N30)</f>
        <v>0</v>
      </c>
      <c r="P31" s="56" t="s">
        <v>153</v>
      </c>
      <c r="Q31" s="74">
        <f>AVERAGE(Q26:Q30)</f>
        <v>0.10760869565217392</v>
      </c>
      <c r="S31" s="56" t="s">
        <v>153</v>
      </c>
      <c r="T31" s="74">
        <f>AVERAGE(T26:T30)</f>
        <v>0.25516304347826085</v>
      </c>
      <c r="V31" s="56" t="s">
        <v>153</v>
      </c>
      <c r="W31" s="74">
        <f>AVERAGE(W26:W30)</f>
        <v>0.3714673913043478</v>
      </c>
      <c r="Y31" s="56" t="s">
        <v>153</v>
      </c>
      <c r="Z31" s="74">
        <f>AVERAGE(Z26:Z30)</f>
        <v>0.45652173913043481</v>
      </c>
      <c r="AB31" s="56" t="s">
        <v>153</v>
      </c>
      <c r="AC31" s="74">
        <f>AVERAGE(AC26:AC30)</f>
        <v>0.51032608695652171</v>
      </c>
      <c r="AE31" s="56" t="s">
        <v>153</v>
      </c>
      <c r="AF31" s="74">
        <f>AVERAGE(AF26:AF30)</f>
        <v>0.53288043478260871</v>
      </c>
      <c r="AH31" s="56" t="s">
        <v>153</v>
      </c>
      <c r="AI31" s="74">
        <f>AVERAGE(AI26:AI30)</f>
        <v>0.58668478260869561</v>
      </c>
      <c r="AK31" s="56" t="s">
        <v>153</v>
      </c>
      <c r="AL31" s="74">
        <f>AVERAGE(AL26:AL30)</f>
        <v>0.64048913043478262</v>
      </c>
      <c r="AN31" s="56" t="s">
        <v>153</v>
      </c>
      <c r="AO31" s="74">
        <f>AVERAGE(AO26:AO30)</f>
        <v>0.89447463768115942</v>
      </c>
      <c r="AQ31" s="56" t="s">
        <v>153</v>
      </c>
      <c r="AR31" s="74">
        <f>AVERAGE(AR26:AR30)</f>
        <v>0.92454710144927532</v>
      </c>
      <c r="AT31" s="56" t="s">
        <v>153</v>
      </c>
      <c r="AU31" s="74">
        <f>AVERAGE(AU26:AU30)</f>
        <v>1.1559782608695652</v>
      </c>
      <c r="AZ31" s="56" t="s">
        <v>154</v>
      </c>
      <c r="BA31" s="74">
        <f>AVERAGE(BA26:BA30)</f>
        <v>1.4285714285714285E-2</v>
      </c>
      <c r="BC31" s="56" t="s">
        <v>154</v>
      </c>
      <c r="BD31" s="74">
        <f>AVERAGE(BD26:BD30)</f>
        <v>0.15795051353874884</v>
      </c>
      <c r="BF31" s="56" t="s">
        <v>154</v>
      </c>
      <c r="BG31" s="74">
        <f>AVERAGE(BG26:BG30)</f>
        <v>0.22799719887955183</v>
      </c>
      <c r="BH31" s="292"/>
      <c r="BI31" s="56" t="s">
        <v>154</v>
      </c>
      <c r="BJ31" s="74">
        <f>AVERAGE(BJ27:BJ30)</f>
        <v>0.29804388422035483</v>
      </c>
      <c r="BL31" s="56" t="s">
        <v>154</v>
      </c>
      <c r="BM31" s="74">
        <f>AVERAGE(BM27:BM30)</f>
        <v>0.35023342670401497</v>
      </c>
      <c r="BO31" s="56" t="s">
        <v>154</v>
      </c>
      <c r="BP31" s="74">
        <f>AVERAGE(BP26:BP30)</f>
        <v>0.46194527666138924</v>
      </c>
      <c r="BQ31" s="292"/>
      <c r="BR31" s="56" t="s">
        <v>154</v>
      </c>
      <c r="BS31" s="74">
        <f>AVERAGE(BS26:BS30)</f>
        <v>0.49951816668696464</v>
      </c>
      <c r="BU31" s="56" t="s">
        <v>154</v>
      </c>
      <c r="BV31" s="74">
        <f>AVERAGE(BV26:BV30)</f>
        <v>0.57677359639507975</v>
      </c>
      <c r="BX31" s="56" t="s">
        <v>154</v>
      </c>
      <c r="BY31" s="74">
        <f>AVERAGE(BY26:BY30)</f>
        <v>0.62863220070636949</v>
      </c>
      <c r="BZ31" s="292"/>
      <c r="CA31" s="56" t="s">
        <v>154</v>
      </c>
      <c r="CB31" s="74">
        <f>AVERAGE(CB26:CB30)</f>
        <v>0.79619128810944662</v>
      </c>
      <c r="CD31" s="56" t="s">
        <v>154</v>
      </c>
      <c r="CE31" s="74">
        <f>AVERAGE(CE26:CE30)</f>
        <v>0.85406438517435956</v>
      </c>
      <c r="CG31" s="56" t="s">
        <v>154</v>
      </c>
      <c r="CH31" s="74">
        <f>AVERAGE(CH26:CH30)</f>
        <v>0.93833844842284742</v>
      </c>
      <c r="CI31" s="292"/>
      <c r="CJ31" s="292"/>
      <c r="CK31" s="292"/>
      <c r="FO31" s="296"/>
      <c r="FP31" s="296"/>
      <c r="FQ31" s="296"/>
      <c r="FR31" s="296"/>
    </row>
    <row r="32" spans="1:174" s="4" customFormat="1" ht="45" customHeight="1" x14ac:dyDescent="0.2">
      <c r="A32" s="368" t="s">
        <v>84</v>
      </c>
      <c r="B32" s="368" t="s">
        <v>274</v>
      </c>
      <c r="C32" s="368" t="s">
        <v>2718</v>
      </c>
      <c r="D32" s="368" t="s">
        <v>32</v>
      </c>
      <c r="E32" s="393" t="s">
        <v>2473</v>
      </c>
      <c r="F32" s="368" t="s">
        <v>88</v>
      </c>
      <c r="G32" s="368" t="s">
        <v>276</v>
      </c>
      <c r="H32" s="401"/>
      <c r="I32" s="374">
        <v>760976565</v>
      </c>
      <c r="J32" s="368" t="s">
        <v>2125</v>
      </c>
      <c r="K32" s="368" t="s">
        <v>2126</v>
      </c>
      <c r="L32" s="435">
        <v>0.92</v>
      </c>
      <c r="M32" s="366">
        <f>1/2</f>
        <v>0.5</v>
      </c>
      <c r="N32" s="403">
        <f>(M32/$L32)*(8.3%*1)</f>
        <v>4.5108695652173916E-2</v>
      </c>
      <c r="O32" s="366" t="s">
        <v>2474</v>
      </c>
      <c r="P32" s="366">
        <f>4/5</f>
        <v>0.8</v>
      </c>
      <c r="Q32" s="403">
        <f>(P32/$L32)*(8.3%*2)</f>
        <v>0.14434782608695654</v>
      </c>
      <c r="R32" s="366" t="s">
        <v>2475</v>
      </c>
      <c r="S32" s="366">
        <f>7/8</f>
        <v>0.875</v>
      </c>
      <c r="T32" s="403">
        <f>(S32/$L32)*(8.3%*3)</f>
        <v>0.23682065217391304</v>
      </c>
      <c r="U32" s="366" t="s">
        <v>2476</v>
      </c>
      <c r="V32" s="366">
        <f>8/9</f>
        <v>0.88888888888888884</v>
      </c>
      <c r="W32" s="403">
        <f>(V32/$L32)*(8.3%*4)</f>
        <v>0.32077294685990337</v>
      </c>
      <c r="X32" s="366" t="s">
        <v>2477</v>
      </c>
      <c r="Y32" s="366">
        <f>8/9</f>
        <v>0.88888888888888884</v>
      </c>
      <c r="Z32" s="403">
        <f>(Y32/$L32)*(8.3%*5)</f>
        <v>0.40096618357487918</v>
      </c>
      <c r="AA32" s="366" t="s">
        <v>2478</v>
      </c>
      <c r="AB32" s="366">
        <f>10/11</f>
        <v>0.90909090909090906</v>
      </c>
      <c r="AC32" s="403">
        <f>(AB32/$L32)*(8.3%*6)</f>
        <v>0.49209486166007904</v>
      </c>
      <c r="AD32" s="366" t="s">
        <v>2479</v>
      </c>
      <c r="AE32" s="366">
        <f>15/17</f>
        <v>0.88235294117647056</v>
      </c>
      <c r="AF32" s="403">
        <f>(AE32/$L32)*(8.3%*7)</f>
        <v>0.55722506393861893</v>
      </c>
      <c r="AG32" s="366" t="s">
        <v>2480</v>
      </c>
      <c r="AH32" s="366">
        <f>19/21</f>
        <v>0.90476190476190477</v>
      </c>
      <c r="AI32" s="403">
        <f>(AH32/$L32)*(8.3%*8)</f>
        <v>0.65300207039337477</v>
      </c>
      <c r="AJ32" s="366" t="s">
        <v>2481</v>
      </c>
      <c r="AK32" s="366">
        <f>22/24</f>
        <v>0.91666666666666663</v>
      </c>
      <c r="AL32" s="403">
        <f>(AK32/$L32)*(8.3%*9)</f>
        <v>0.74429347826086945</v>
      </c>
      <c r="AM32" s="366" t="s">
        <v>2482</v>
      </c>
      <c r="AN32" s="366">
        <f>26/28</f>
        <v>0.9285714285714286</v>
      </c>
      <c r="AO32" s="403">
        <f>(AN32/$L32)*(8.3%*10)</f>
        <v>0.83773291925465854</v>
      </c>
      <c r="AP32" s="366" t="s">
        <v>2483</v>
      </c>
      <c r="AQ32" s="366">
        <f>30/32</f>
        <v>0.9375</v>
      </c>
      <c r="AR32" s="403">
        <f>(AQ32/$L32)*(8.3%*11)</f>
        <v>0.93036684782608703</v>
      </c>
      <c r="AS32" s="366" t="s">
        <v>2484</v>
      </c>
      <c r="AT32" s="366">
        <f>36/38</f>
        <v>0.94736842105263153</v>
      </c>
      <c r="AU32" s="403">
        <f>(AT32/$L32)*(8.3%*12)</f>
        <v>1.0256292906178488</v>
      </c>
      <c r="AV32" s="477" t="s">
        <v>2485</v>
      </c>
      <c r="AW32" s="11" t="s">
        <v>2139</v>
      </c>
      <c r="AX32" s="11" t="s">
        <v>2140</v>
      </c>
      <c r="AY32" s="287">
        <v>0.92</v>
      </c>
      <c r="AZ32" s="288">
        <v>0</v>
      </c>
      <c r="BA32" s="76">
        <f>(AZ32/$AY32)*(8.3%*1)</f>
        <v>0</v>
      </c>
      <c r="BB32" s="288" t="s">
        <v>2486</v>
      </c>
      <c r="BC32" s="288">
        <v>0</v>
      </c>
      <c r="BD32" s="76"/>
      <c r="BE32" s="288" t="s">
        <v>2487</v>
      </c>
      <c r="BF32" s="288">
        <f>4/4</f>
        <v>1</v>
      </c>
      <c r="BG32" s="76">
        <f>(BF32/$AY32)*(8.3%*3)</f>
        <v>0.27065217391304347</v>
      </c>
      <c r="BH32" s="288" t="s">
        <v>2488</v>
      </c>
      <c r="BI32" s="288">
        <f>4/4</f>
        <v>1</v>
      </c>
      <c r="BJ32" s="76">
        <f>(BI32/$AY32)*(8.3%*4)</f>
        <v>0.36086956521739133</v>
      </c>
      <c r="BK32" s="288" t="s">
        <v>2489</v>
      </c>
      <c r="BL32" s="288">
        <f>5/5</f>
        <v>1</v>
      </c>
      <c r="BM32" s="76">
        <f>(BL32/$AY32)*(8.3%*5)</f>
        <v>0.45108695652173914</v>
      </c>
      <c r="BN32" s="288" t="s">
        <v>2490</v>
      </c>
      <c r="BO32" s="288">
        <f>6/6</f>
        <v>1</v>
      </c>
      <c r="BP32" s="76">
        <f>(BO32/$AY32)*(8.3%*6)</f>
        <v>0.54130434782608694</v>
      </c>
      <c r="BQ32" s="288" t="s">
        <v>2489</v>
      </c>
      <c r="BR32" s="288">
        <f>6/6</f>
        <v>1</v>
      </c>
      <c r="BS32" s="76">
        <f>(BR32/$AY32)*(8.3%*7)</f>
        <v>0.63152173913043486</v>
      </c>
      <c r="BT32" s="288" t="s">
        <v>2491</v>
      </c>
      <c r="BU32" s="288">
        <f>6/6</f>
        <v>1</v>
      </c>
      <c r="BV32" s="76">
        <f>(BU32/$AY32)*(8.3%*8)</f>
        <v>0.72173913043478266</v>
      </c>
      <c r="BW32" s="288" t="s">
        <v>2492</v>
      </c>
      <c r="BX32" s="288">
        <f>6/6</f>
        <v>1</v>
      </c>
      <c r="BY32" s="76">
        <f>(BX32/$AY32)*(8.3%*9)</f>
        <v>0.81195652173913035</v>
      </c>
      <c r="BZ32" s="288" t="s">
        <v>2493</v>
      </c>
      <c r="CA32" s="288">
        <f>6/6</f>
        <v>1</v>
      </c>
      <c r="CB32" s="76">
        <f>(CA32/$AY32)*(8.3%*10)</f>
        <v>0.90217391304347827</v>
      </c>
      <c r="CC32" s="288" t="s">
        <v>2494</v>
      </c>
      <c r="CD32" s="288">
        <f>7/7</f>
        <v>1</v>
      </c>
      <c r="CE32" s="76">
        <f>(CD32/$AY32)*(8.3%*11)</f>
        <v>0.99239130434782608</v>
      </c>
      <c r="CF32" s="288" t="s">
        <v>2495</v>
      </c>
      <c r="CG32" s="288">
        <f>7/7</f>
        <v>1</v>
      </c>
      <c r="CH32" s="76">
        <f>(CG32/$AY32)*(8.3%*12)</f>
        <v>1.0826086956521739</v>
      </c>
      <c r="CI32" s="324" t="s">
        <v>2496</v>
      </c>
      <c r="CJ32" s="11" t="s">
        <v>106</v>
      </c>
      <c r="CK32" s="11" t="s">
        <v>107</v>
      </c>
    </row>
    <row r="33" spans="1:174" s="4" customFormat="1" ht="45" customHeight="1" x14ac:dyDescent="0.2">
      <c r="A33" s="368"/>
      <c r="B33" s="368"/>
      <c r="C33" s="368"/>
      <c r="D33" s="368"/>
      <c r="E33" s="393"/>
      <c r="F33" s="368"/>
      <c r="G33" s="368"/>
      <c r="H33" s="401"/>
      <c r="I33" s="375"/>
      <c r="J33" s="368"/>
      <c r="K33" s="368"/>
      <c r="L33" s="435"/>
      <c r="M33" s="367"/>
      <c r="N33" s="405"/>
      <c r="O33" s="367"/>
      <c r="P33" s="367"/>
      <c r="Q33" s="405"/>
      <c r="R33" s="367"/>
      <c r="S33" s="367"/>
      <c r="T33" s="405"/>
      <c r="U33" s="367"/>
      <c r="V33" s="367"/>
      <c r="W33" s="405"/>
      <c r="X33" s="367"/>
      <c r="Y33" s="367"/>
      <c r="Z33" s="405"/>
      <c r="AA33" s="367"/>
      <c r="AB33" s="367"/>
      <c r="AC33" s="405"/>
      <c r="AD33" s="367"/>
      <c r="AE33" s="367"/>
      <c r="AF33" s="405"/>
      <c r="AG33" s="367"/>
      <c r="AH33" s="367"/>
      <c r="AI33" s="405"/>
      <c r="AJ33" s="367"/>
      <c r="AK33" s="367"/>
      <c r="AL33" s="405"/>
      <c r="AM33" s="367"/>
      <c r="AN33" s="367"/>
      <c r="AO33" s="405"/>
      <c r="AP33" s="367"/>
      <c r="AQ33" s="367"/>
      <c r="AR33" s="405"/>
      <c r="AS33" s="367"/>
      <c r="AT33" s="367"/>
      <c r="AU33" s="405"/>
      <c r="AV33" s="478"/>
      <c r="AW33" s="11" t="s">
        <v>2153</v>
      </c>
      <c r="AX33" s="11" t="s">
        <v>2154</v>
      </c>
      <c r="AY33" s="287">
        <v>0.92</v>
      </c>
      <c r="AZ33" s="288">
        <f>1/1</f>
        <v>1</v>
      </c>
      <c r="BA33" s="76">
        <f t="shared" ref="BA33:BA36" si="36">(AZ33/$AY33)*(8.3%*1)</f>
        <v>9.0217391304347833E-2</v>
      </c>
      <c r="BB33" s="288" t="s">
        <v>2497</v>
      </c>
      <c r="BC33" s="288">
        <f>4/4</f>
        <v>1</v>
      </c>
      <c r="BD33" s="76">
        <f>(BC33/$AY33)*(8.3%*2)</f>
        <v>0.18043478260869567</v>
      </c>
      <c r="BE33" s="288" t="s">
        <v>2498</v>
      </c>
      <c r="BF33" s="288">
        <f>5/5</f>
        <v>1</v>
      </c>
      <c r="BG33" s="76">
        <f>(BF33/$AY33)*(8.3%*3)</f>
        <v>0.27065217391304347</v>
      </c>
      <c r="BH33" s="288" t="s">
        <v>2499</v>
      </c>
      <c r="BI33" s="288">
        <f>5/5</f>
        <v>1</v>
      </c>
      <c r="BJ33" s="76">
        <f t="shared" ref="BJ33:BJ36" si="37">(BI33/$AY33)*(8.3%*4)</f>
        <v>0.36086956521739133</v>
      </c>
      <c r="BK33" s="288" t="s">
        <v>2500</v>
      </c>
      <c r="BL33" s="288">
        <f>5/5</f>
        <v>1</v>
      </c>
      <c r="BM33" s="76">
        <f t="shared" ref="BM33:BM36" si="38">(BL33/$AY33)*(8.3%*5)</f>
        <v>0.45108695652173914</v>
      </c>
      <c r="BN33" s="288" t="s">
        <v>2501</v>
      </c>
      <c r="BO33" s="288">
        <f>9/9</f>
        <v>1</v>
      </c>
      <c r="BP33" s="76">
        <f t="shared" ref="BP33:BP36" si="39">(BO33/$AY33)*(8.3%*6)</f>
        <v>0.54130434782608694</v>
      </c>
      <c r="BQ33" s="288" t="s">
        <v>2500</v>
      </c>
      <c r="BR33" s="288">
        <f>13/14</f>
        <v>0.9285714285714286</v>
      </c>
      <c r="BS33" s="76">
        <f>(BR33/$AY33)*(8.3%*7)</f>
        <v>0.58641304347826095</v>
      </c>
      <c r="BT33" s="288" t="s">
        <v>2502</v>
      </c>
      <c r="BU33" s="288">
        <f>16/17</f>
        <v>0.94117647058823528</v>
      </c>
      <c r="BV33" s="76">
        <f>(BU33/$AY33)*(8.3%*8)</f>
        <v>0.67928388746803059</v>
      </c>
      <c r="BW33" s="288" t="s">
        <v>2503</v>
      </c>
      <c r="BX33" s="325">
        <f>19/20</f>
        <v>0.95</v>
      </c>
      <c r="BY33" s="76">
        <f>(BX33/$AY33)*(8.3%*9)</f>
        <v>0.77135869565217385</v>
      </c>
      <c r="BZ33" s="288" t="s">
        <v>2504</v>
      </c>
      <c r="CA33" s="288">
        <f>22/23</f>
        <v>0.95652173913043481</v>
      </c>
      <c r="CB33" s="76">
        <f>(CA33/$AY33)*(8.3%*10)</f>
        <v>0.86294896030245749</v>
      </c>
      <c r="CC33" s="288" t="s">
        <v>2505</v>
      </c>
      <c r="CD33" s="288">
        <f>26/27</f>
        <v>0.96296296296296291</v>
      </c>
      <c r="CE33" s="76">
        <f>(CD33/$AY33)*(8.3%*11)</f>
        <v>0.95563607085346214</v>
      </c>
      <c r="CF33" s="288" t="s">
        <v>2506</v>
      </c>
      <c r="CG33" s="288">
        <f>32/33</f>
        <v>0.96969696969696972</v>
      </c>
      <c r="CH33" s="76">
        <f>(CG33/$AY33)*(8.3%*12)</f>
        <v>1.0498023715415021</v>
      </c>
      <c r="CI33" s="324" t="s">
        <v>2507</v>
      </c>
      <c r="CJ33" s="11" t="s">
        <v>106</v>
      </c>
      <c r="CK33" s="11" t="s">
        <v>107</v>
      </c>
    </row>
    <row r="34" spans="1:174" s="4" customFormat="1" ht="45" customHeight="1" x14ac:dyDescent="0.2">
      <c r="A34" s="368"/>
      <c r="B34" s="368"/>
      <c r="C34" s="368"/>
      <c r="D34" s="368"/>
      <c r="E34" s="393"/>
      <c r="F34" s="368"/>
      <c r="G34" s="368"/>
      <c r="H34" s="401"/>
      <c r="I34" s="374">
        <v>437049490</v>
      </c>
      <c r="J34" s="368" t="s">
        <v>2167</v>
      </c>
      <c r="K34" s="368" t="s">
        <v>2168</v>
      </c>
      <c r="L34" s="393">
        <v>230</v>
      </c>
      <c r="M34" s="474">
        <v>5</v>
      </c>
      <c r="N34" s="403">
        <f>M34/265</f>
        <v>1.8867924528301886E-2</v>
      </c>
      <c r="O34" s="366" t="s">
        <v>2508</v>
      </c>
      <c r="P34" s="474">
        <v>45</v>
      </c>
      <c r="Q34" s="403">
        <f>P34/265</f>
        <v>0.16981132075471697</v>
      </c>
      <c r="R34" s="366" t="s">
        <v>2509</v>
      </c>
      <c r="S34" s="474">
        <v>56</v>
      </c>
      <c r="T34" s="403">
        <f>S34/265</f>
        <v>0.21132075471698114</v>
      </c>
      <c r="U34" s="366" t="s">
        <v>2510</v>
      </c>
      <c r="V34" s="474">
        <v>68</v>
      </c>
      <c r="W34" s="403">
        <f>V34/265</f>
        <v>0.25660377358490566</v>
      </c>
      <c r="X34" s="366" t="s">
        <v>2511</v>
      </c>
      <c r="Y34" s="474">
        <v>85</v>
      </c>
      <c r="Z34" s="403">
        <f>Y34/265</f>
        <v>0.32075471698113206</v>
      </c>
      <c r="AA34" s="366" t="s">
        <v>2512</v>
      </c>
      <c r="AB34" s="474">
        <v>100</v>
      </c>
      <c r="AC34" s="403">
        <f>AB34/265</f>
        <v>0.37735849056603776</v>
      </c>
      <c r="AD34" s="366" t="s">
        <v>2513</v>
      </c>
      <c r="AE34" s="474">
        <v>145</v>
      </c>
      <c r="AF34" s="403">
        <f>AE34/265</f>
        <v>0.54716981132075471</v>
      </c>
      <c r="AG34" s="366" t="s">
        <v>2514</v>
      </c>
      <c r="AH34" s="474">
        <v>166</v>
      </c>
      <c r="AI34" s="403">
        <f>AH34/265</f>
        <v>0.62641509433962261</v>
      </c>
      <c r="AJ34" s="366" t="s">
        <v>2515</v>
      </c>
      <c r="AK34" s="474">
        <v>182</v>
      </c>
      <c r="AL34" s="403">
        <f>AK34/265</f>
        <v>0.68679245283018864</v>
      </c>
      <c r="AM34" s="366" t="s">
        <v>2516</v>
      </c>
      <c r="AN34" s="474">
        <v>202</v>
      </c>
      <c r="AO34" s="403">
        <f>AN34/$L34</f>
        <v>0.87826086956521743</v>
      </c>
      <c r="AP34" s="366" t="s">
        <v>2517</v>
      </c>
      <c r="AQ34" s="474">
        <v>220</v>
      </c>
      <c r="AR34" s="403">
        <f>AQ34/$L34</f>
        <v>0.95652173913043481</v>
      </c>
      <c r="AS34" s="366" t="s">
        <v>2518</v>
      </c>
      <c r="AT34" s="474">
        <v>249</v>
      </c>
      <c r="AU34" s="403">
        <f>AT34/$L34</f>
        <v>1.0826086956521739</v>
      </c>
      <c r="AV34" s="477" t="s">
        <v>2519</v>
      </c>
      <c r="AW34" s="11" t="s">
        <v>2181</v>
      </c>
      <c r="AX34" s="11" t="s">
        <v>2182</v>
      </c>
      <c r="AY34" s="285">
        <v>10</v>
      </c>
      <c r="AZ34" s="325">
        <v>0</v>
      </c>
      <c r="BA34" s="76">
        <f>AZ34/6</f>
        <v>0</v>
      </c>
      <c r="BB34" s="288" t="s">
        <v>2520</v>
      </c>
      <c r="BC34" s="325">
        <v>4</v>
      </c>
      <c r="BD34" s="76">
        <f>BC34/6</f>
        <v>0.66666666666666663</v>
      </c>
      <c r="BE34" s="288" t="s">
        <v>2521</v>
      </c>
      <c r="BF34" s="325">
        <v>5</v>
      </c>
      <c r="BG34" s="76">
        <f>BF34/6</f>
        <v>0.83333333333333337</v>
      </c>
      <c r="BH34" s="288" t="s">
        <v>2522</v>
      </c>
      <c r="BI34" s="325">
        <v>6</v>
      </c>
      <c r="BJ34" s="76">
        <f>(BI34/6)</f>
        <v>1</v>
      </c>
      <c r="BK34" s="288" t="s">
        <v>2523</v>
      </c>
      <c r="BL34" s="325">
        <v>7</v>
      </c>
      <c r="BM34" s="76">
        <f>(BL34/6)</f>
        <v>1.1666666666666667</v>
      </c>
      <c r="BN34" s="288" t="s">
        <v>2524</v>
      </c>
      <c r="BO34" s="325">
        <v>9</v>
      </c>
      <c r="BP34" s="76">
        <f>(BO34/6)</f>
        <v>1.5</v>
      </c>
      <c r="BQ34" s="288" t="s">
        <v>2523</v>
      </c>
      <c r="BR34" s="327">
        <v>9</v>
      </c>
      <c r="BS34" s="76">
        <f t="shared" ref="BS34" si="40">(BR34/$AY34)</f>
        <v>0.9</v>
      </c>
      <c r="BT34" s="288" t="s">
        <v>2525</v>
      </c>
      <c r="BU34" s="327">
        <v>9</v>
      </c>
      <c r="BV34" s="76">
        <f t="shared" ref="BV34" si="41">(BU34/$AY34)</f>
        <v>0.9</v>
      </c>
      <c r="BW34" s="288" t="s">
        <v>2526</v>
      </c>
      <c r="BX34" s="327">
        <v>10</v>
      </c>
      <c r="BY34" s="76">
        <f t="shared" ref="BY34" si="42">(BX34/$AY34)</f>
        <v>1</v>
      </c>
      <c r="BZ34" s="288" t="s">
        <v>2527</v>
      </c>
      <c r="CA34" s="327">
        <v>10</v>
      </c>
      <c r="CB34" s="76">
        <f>(CA34/$AY34)</f>
        <v>1</v>
      </c>
      <c r="CC34" s="288" t="s">
        <v>2528</v>
      </c>
      <c r="CD34" s="327">
        <v>11</v>
      </c>
      <c r="CE34" s="76">
        <f>(CD34/$AY34)</f>
        <v>1.1000000000000001</v>
      </c>
      <c r="CF34" s="288" t="s">
        <v>2529</v>
      </c>
      <c r="CG34" s="327">
        <v>11</v>
      </c>
      <c r="CH34" s="76">
        <f>(CG34/$AY34)</f>
        <v>1.1000000000000001</v>
      </c>
      <c r="CI34" s="324" t="s">
        <v>2530</v>
      </c>
      <c r="CJ34" s="11" t="s">
        <v>106</v>
      </c>
      <c r="CK34" s="11" t="s">
        <v>107</v>
      </c>
    </row>
    <row r="35" spans="1:174" s="4" customFormat="1" ht="45" customHeight="1" x14ac:dyDescent="0.2">
      <c r="A35" s="368"/>
      <c r="B35" s="368"/>
      <c r="C35" s="368"/>
      <c r="D35" s="368"/>
      <c r="E35" s="393"/>
      <c r="F35" s="368"/>
      <c r="G35" s="368"/>
      <c r="H35" s="401"/>
      <c r="I35" s="401"/>
      <c r="J35" s="368"/>
      <c r="K35" s="368"/>
      <c r="L35" s="393"/>
      <c r="M35" s="475"/>
      <c r="N35" s="404"/>
      <c r="O35" s="402"/>
      <c r="P35" s="475"/>
      <c r="Q35" s="404"/>
      <c r="R35" s="402"/>
      <c r="S35" s="475"/>
      <c r="T35" s="404"/>
      <c r="U35" s="402"/>
      <c r="V35" s="475"/>
      <c r="W35" s="404"/>
      <c r="X35" s="402"/>
      <c r="Y35" s="475"/>
      <c r="Z35" s="404"/>
      <c r="AA35" s="402"/>
      <c r="AB35" s="475"/>
      <c r="AC35" s="404"/>
      <c r="AD35" s="402"/>
      <c r="AE35" s="475"/>
      <c r="AF35" s="404"/>
      <c r="AG35" s="402"/>
      <c r="AH35" s="475"/>
      <c r="AI35" s="404"/>
      <c r="AJ35" s="402"/>
      <c r="AK35" s="475"/>
      <c r="AL35" s="404"/>
      <c r="AM35" s="402"/>
      <c r="AN35" s="475"/>
      <c r="AO35" s="404"/>
      <c r="AP35" s="402"/>
      <c r="AQ35" s="475"/>
      <c r="AR35" s="404"/>
      <c r="AS35" s="402"/>
      <c r="AT35" s="475"/>
      <c r="AU35" s="404"/>
      <c r="AV35" s="479"/>
      <c r="AW35" s="11" t="s">
        <v>2195</v>
      </c>
      <c r="AX35" s="11" t="s">
        <v>2196</v>
      </c>
      <c r="AY35" s="285">
        <v>200</v>
      </c>
      <c r="AZ35" s="325">
        <v>13</v>
      </c>
      <c r="BA35" s="76">
        <f>(AZ35/265)</f>
        <v>4.9056603773584909E-2</v>
      </c>
      <c r="BB35" s="288" t="s">
        <v>2531</v>
      </c>
      <c r="BC35" s="325">
        <v>34</v>
      </c>
      <c r="BD35" s="76">
        <f>(BC35/265)</f>
        <v>0.12830188679245283</v>
      </c>
      <c r="BE35" s="288" t="s">
        <v>2532</v>
      </c>
      <c r="BF35" s="325">
        <v>44</v>
      </c>
      <c r="BG35" s="76">
        <f>(BF35/265)</f>
        <v>0.16603773584905659</v>
      </c>
      <c r="BH35" s="288" t="s">
        <v>2533</v>
      </c>
      <c r="BI35" s="325">
        <v>54</v>
      </c>
      <c r="BJ35" s="76">
        <f>(BI35/265)</f>
        <v>0.20377358490566039</v>
      </c>
      <c r="BK35" s="288" t="s">
        <v>2534</v>
      </c>
      <c r="BL35" s="325">
        <v>67</v>
      </c>
      <c r="BM35" s="76">
        <f>(BL35/265)</f>
        <v>0.25283018867924528</v>
      </c>
      <c r="BN35" s="288" t="s">
        <v>2535</v>
      </c>
      <c r="BO35" s="325">
        <v>97</v>
      </c>
      <c r="BP35" s="76">
        <f>(BO35/265)</f>
        <v>0.36603773584905658</v>
      </c>
      <c r="BQ35" s="288" t="s">
        <v>2534</v>
      </c>
      <c r="BR35" s="325">
        <v>128</v>
      </c>
      <c r="BS35" s="76">
        <f>(BR35/265)</f>
        <v>0.48301886792452831</v>
      </c>
      <c r="BT35" s="288" t="s">
        <v>2536</v>
      </c>
      <c r="BU35" s="325">
        <v>148</v>
      </c>
      <c r="BV35" s="76">
        <f>(BU35/265)</f>
        <v>0.55849056603773584</v>
      </c>
      <c r="BW35" s="288" t="s">
        <v>2537</v>
      </c>
      <c r="BX35" s="325">
        <v>158</v>
      </c>
      <c r="BY35" s="76">
        <f>(BX35/265)</f>
        <v>0.5962264150943396</v>
      </c>
      <c r="BZ35" s="288" t="s">
        <v>2538</v>
      </c>
      <c r="CA35" s="325">
        <v>179</v>
      </c>
      <c r="CB35" s="76">
        <f>(CA35/$AY35)</f>
        <v>0.89500000000000002</v>
      </c>
      <c r="CC35" s="288" t="s">
        <v>2539</v>
      </c>
      <c r="CD35" s="325">
        <v>205</v>
      </c>
      <c r="CE35" s="76">
        <f>(CD35/$AY35)</f>
        <v>1.0249999999999999</v>
      </c>
      <c r="CF35" s="288" t="s">
        <v>2540</v>
      </c>
      <c r="CG35" s="325">
        <v>231</v>
      </c>
      <c r="CH35" s="76">
        <f>(CG35/$AY35)</f>
        <v>1.155</v>
      </c>
      <c r="CI35" s="324" t="s">
        <v>2541</v>
      </c>
      <c r="CJ35" s="11" t="s">
        <v>106</v>
      </c>
      <c r="CK35" s="11" t="s">
        <v>107</v>
      </c>
    </row>
    <row r="36" spans="1:174" s="4" customFormat="1" ht="252" x14ac:dyDescent="0.2">
      <c r="A36" s="368"/>
      <c r="B36" s="368"/>
      <c r="C36" s="368"/>
      <c r="D36" s="368"/>
      <c r="E36" s="393"/>
      <c r="F36" s="368"/>
      <c r="G36" s="368"/>
      <c r="H36" s="401"/>
      <c r="I36" s="375"/>
      <c r="J36" s="368"/>
      <c r="K36" s="368"/>
      <c r="L36" s="393"/>
      <c r="M36" s="476"/>
      <c r="N36" s="405"/>
      <c r="O36" s="367"/>
      <c r="P36" s="476"/>
      <c r="Q36" s="405"/>
      <c r="R36" s="367"/>
      <c r="S36" s="476"/>
      <c r="T36" s="405"/>
      <c r="U36" s="367"/>
      <c r="V36" s="476"/>
      <c r="W36" s="405"/>
      <c r="X36" s="367"/>
      <c r="Y36" s="476"/>
      <c r="Z36" s="405"/>
      <c r="AA36" s="367"/>
      <c r="AB36" s="476"/>
      <c r="AC36" s="405"/>
      <c r="AD36" s="367"/>
      <c r="AE36" s="476"/>
      <c r="AF36" s="405"/>
      <c r="AG36" s="367"/>
      <c r="AH36" s="476"/>
      <c r="AI36" s="405"/>
      <c r="AJ36" s="367"/>
      <c r="AK36" s="476"/>
      <c r="AL36" s="405"/>
      <c r="AM36" s="367"/>
      <c r="AN36" s="476"/>
      <c r="AO36" s="405"/>
      <c r="AP36" s="367"/>
      <c r="AQ36" s="476"/>
      <c r="AR36" s="405"/>
      <c r="AS36" s="367"/>
      <c r="AT36" s="476"/>
      <c r="AU36" s="405"/>
      <c r="AV36" s="478"/>
      <c r="AW36" s="11" t="s">
        <v>2153</v>
      </c>
      <c r="AX36" s="11" t="s">
        <v>2210</v>
      </c>
      <c r="AY36" s="287">
        <v>0.85</v>
      </c>
      <c r="AZ36" s="288">
        <v>0</v>
      </c>
      <c r="BA36" s="76">
        <f t="shared" si="36"/>
        <v>0</v>
      </c>
      <c r="BB36" s="288" t="s">
        <v>2542</v>
      </c>
      <c r="BC36" s="288">
        <v>0</v>
      </c>
      <c r="BD36" s="76"/>
      <c r="BE36" s="288" t="s">
        <v>2543</v>
      </c>
      <c r="BF36" s="288">
        <f>2/2</f>
        <v>1</v>
      </c>
      <c r="BG36" s="328">
        <f>(BF36/$AY36)*(8.3%*3)</f>
        <v>0.29294117647058826</v>
      </c>
      <c r="BH36" s="288" t="s">
        <v>2544</v>
      </c>
      <c r="BI36" s="288">
        <f>3/3</f>
        <v>1</v>
      </c>
      <c r="BJ36" s="76">
        <f t="shared" si="37"/>
        <v>0.39058823529411768</v>
      </c>
      <c r="BK36" s="288" t="s">
        <v>2545</v>
      </c>
      <c r="BL36" s="288">
        <f>2/2</f>
        <v>1</v>
      </c>
      <c r="BM36" s="76">
        <f t="shared" si="38"/>
        <v>0.4882352941176471</v>
      </c>
      <c r="BN36" s="288" t="s">
        <v>2546</v>
      </c>
      <c r="BO36" s="288">
        <f>4/4</f>
        <v>1</v>
      </c>
      <c r="BP36" s="328">
        <f t="shared" si="39"/>
        <v>0.58588235294117652</v>
      </c>
      <c r="BQ36" s="288" t="s">
        <v>2545</v>
      </c>
      <c r="BR36" s="288">
        <f>5/5</f>
        <v>1</v>
      </c>
      <c r="BS36" s="76">
        <f>(BR36/$AY36)*(8.3%*7)</f>
        <v>0.68352941176470594</v>
      </c>
      <c r="BT36" s="288" t="s">
        <v>2547</v>
      </c>
      <c r="BU36" s="288">
        <f>7/7</f>
        <v>1</v>
      </c>
      <c r="BV36" s="76">
        <f>(BU36/$AY36)*(8.3%*8)</f>
        <v>0.78117647058823536</v>
      </c>
      <c r="BW36" s="288" t="s">
        <v>2548</v>
      </c>
      <c r="BX36" s="288">
        <f>8/8</f>
        <v>1</v>
      </c>
      <c r="BY36" s="76">
        <f>(BX36/$AY36)*(8.3%*9)</f>
        <v>0.87882352941176478</v>
      </c>
      <c r="BZ36" s="288" t="s">
        <v>2549</v>
      </c>
      <c r="CA36" s="288">
        <f>10/10</f>
        <v>1</v>
      </c>
      <c r="CB36" s="76">
        <f>(CA36/$AY36)*(8.3%*10)</f>
        <v>0.9764705882352942</v>
      </c>
      <c r="CC36" s="288" t="s">
        <v>2550</v>
      </c>
      <c r="CD36" s="288">
        <f>11/11</f>
        <v>1</v>
      </c>
      <c r="CE36" s="76">
        <f>(CD36/$AY36)*(8.3%*11)</f>
        <v>1.0741176470588236</v>
      </c>
      <c r="CF36" s="288" t="s">
        <v>2551</v>
      </c>
      <c r="CG36" s="288">
        <f>14/14</f>
        <v>1</v>
      </c>
      <c r="CH36" s="76">
        <f>(CG36/$AY36)*(8.3%*12)</f>
        <v>1.171764705882353</v>
      </c>
      <c r="CI36" s="324" t="s">
        <v>2552</v>
      </c>
      <c r="CJ36" s="11" t="s">
        <v>106</v>
      </c>
      <c r="CK36" s="11" t="s">
        <v>107</v>
      </c>
    </row>
    <row r="37" spans="1:174" ht="75" x14ac:dyDescent="0.25">
      <c r="H37" s="401"/>
      <c r="M37" s="56" t="s">
        <v>153</v>
      </c>
      <c r="N37" s="74">
        <f>AVERAGE(N32:N36)</f>
        <v>3.1988310090237899E-2</v>
      </c>
      <c r="P37" s="56" t="s">
        <v>153</v>
      </c>
      <c r="Q37" s="74">
        <f>AVERAGE(Q32:Q36)</f>
        <v>0.15707957342083675</v>
      </c>
      <c r="S37" s="56" t="s">
        <v>153</v>
      </c>
      <c r="T37" s="74">
        <f>AVERAGE(T32:T36)</f>
        <v>0.22407070344544711</v>
      </c>
      <c r="V37" s="56" t="s">
        <v>153</v>
      </c>
      <c r="W37" s="74">
        <f>AVERAGE(W32:W36)</f>
        <v>0.28868836022240452</v>
      </c>
      <c r="Y37" s="56" t="s">
        <v>153</v>
      </c>
      <c r="Z37" s="74">
        <f>AVERAGE(Z32:Z36)</f>
        <v>0.36086045027800562</v>
      </c>
      <c r="AB37" s="56" t="s">
        <v>153</v>
      </c>
      <c r="AC37" s="74">
        <f>AVERAGE(AC32:AC36)</f>
        <v>0.43472667611305837</v>
      </c>
      <c r="AE37" s="56" t="s">
        <v>153</v>
      </c>
      <c r="AF37" s="74">
        <f>AVERAGE(AF32:AF36)</f>
        <v>0.55219743762968676</v>
      </c>
      <c r="AH37" s="56" t="s">
        <v>153</v>
      </c>
      <c r="AI37" s="74">
        <f>AVERAGE(AI32:AI36)</f>
        <v>0.63970858236649875</v>
      </c>
      <c r="AK37" s="56" t="s">
        <v>153</v>
      </c>
      <c r="AL37" s="74">
        <f>AVERAGE(AL32:AL36)</f>
        <v>0.71554296554552899</v>
      </c>
      <c r="AN37" s="56" t="s">
        <v>153</v>
      </c>
      <c r="AO37" s="74">
        <f>AVERAGE(AO32:AO36)</f>
        <v>0.85799689440993798</v>
      </c>
      <c r="AQ37" s="56" t="s">
        <v>153</v>
      </c>
      <c r="AR37" s="74">
        <f>AVERAGE(AR32:AR36)</f>
        <v>0.94344429347826098</v>
      </c>
      <c r="AT37" s="56" t="s">
        <v>153</v>
      </c>
      <c r="AU37" s="74">
        <f>AVERAGE(AU32:AU36)</f>
        <v>1.0541189931350115</v>
      </c>
      <c r="AZ37" s="56" t="s">
        <v>154</v>
      </c>
      <c r="BA37" s="74">
        <f>AVERAGE(BA32:BA36)</f>
        <v>2.7854799015586552E-2</v>
      </c>
      <c r="BC37" s="56" t="s">
        <v>154</v>
      </c>
      <c r="BD37" s="74">
        <f>AVERAGE(BD32:BD36)</f>
        <v>0.32513444535593838</v>
      </c>
      <c r="BF37" s="56" t="s">
        <v>154</v>
      </c>
      <c r="BG37" s="74">
        <f>AVERAGE(BG32:BG36)</f>
        <v>0.36672331869581304</v>
      </c>
      <c r="BH37" s="292"/>
      <c r="BI37" s="56" t="s">
        <v>154</v>
      </c>
      <c r="BJ37" s="74">
        <f>AVERAGE(BJ32:BJ36)</f>
        <v>0.46322019012691218</v>
      </c>
      <c r="BL37" s="56" t="s">
        <v>154</v>
      </c>
      <c r="BM37" s="74">
        <f>AVERAGE(BM32:BM36)</f>
        <v>0.56198121250140753</v>
      </c>
      <c r="BO37" s="56" t="s">
        <v>154</v>
      </c>
      <c r="BP37" s="74">
        <f>AVERAGE(BP32:BP36)</f>
        <v>0.70690575688848134</v>
      </c>
      <c r="BQ37" s="292"/>
      <c r="BR37" s="56" t="s">
        <v>154</v>
      </c>
      <c r="BS37" s="74">
        <f>AVERAGE(BS32:BS36)</f>
        <v>0.65689661245958597</v>
      </c>
      <c r="BU37" s="56" t="s">
        <v>154</v>
      </c>
      <c r="BV37" s="74">
        <f>AVERAGE(BV32:BV36)</f>
        <v>0.72813801090575692</v>
      </c>
      <c r="BX37" s="56" t="s">
        <v>154</v>
      </c>
      <c r="BY37" s="74">
        <f>AVERAGE(BY32:BY36)</f>
        <v>0.81167303237948174</v>
      </c>
      <c r="BZ37" s="292"/>
      <c r="CA37" s="56" t="s">
        <v>154</v>
      </c>
      <c r="CB37" s="74">
        <f>AVERAGE(CB32:CB36)</f>
        <v>0.92731869231624597</v>
      </c>
      <c r="CD37" s="56" t="s">
        <v>154</v>
      </c>
      <c r="CE37" s="74">
        <f>AVERAGE(CE32:CE36)</f>
        <v>1.0294290044520225</v>
      </c>
      <c r="CG37" s="56" t="s">
        <v>154</v>
      </c>
      <c r="CH37" s="74">
        <f>AVERAGE(CH32:CH36)</f>
        <v>1.1118351546152057</v>
      </c>
      <c r="CI37" s="292"/>
      <c r="CJ37" s="292"/>
      <c r="CK37" s="292"/>
      <c r="FO37" s="296"/>
      <c r="FP37" s="296"/>
      <c r="FQ37" s="296"/>
      <c r="FR37" s="296"/>
    </row>
    <row r="38" spans="1:174" s="4" customFormat="1" ht="45" customHeight="1" x14ac:dyDescent="0.2">
      <c r="A38" s="369" t="s">
        <v>84</v>
      </c>
      <c r="B38" s="369" t="s">
        <v>274</v>
      </c>
      <c r="C38" s="369" t="s">
        <v>2718</v>
      </c>
      <c r="D38" s="369" t="s">
        <v>32</v>
      </c>
      <c r="E38" s="398" t="s">
        <v>2553</v>
      </c>
      <c r="F38" s="369" t="s">
        <v>88</v>
      </c>
      <c r="G38" s="369" t="s">
        <v>276</v>
      </c>
      <c r="H38" s="401"/>
      <c r="I38" s="13">
        <v>441776466</v>
      </c>
      <c r="J38" s="283" t="s">
        <v>2125</v>
      </c>
      <c r="K38" s="283" t="s">
        <v>2126</v>
      </c>
      <c r="L38" s="287">
        <v>0.92</v>
      </c>
      <c r="M38" s="288">
        <f>10/11</f>
        <v>0.90909090909090906</v>
      </c>
      <c r="N38" s="63">
        <f>(M38/$L38)*(8.3%*1)</f>
        <v>8.201581027667984E-2</v>
      </c>
      <c r="O38" s="288" t="s">
        <v>2554</v>
      </c>
      <c r="P38" s="288">
        <v>0.91</v>
      </c>
      <c r="Q38" s="63">
        <f>(P38/$L38)*(8.3%*2)</f>
        <v>0.16419565217391305</v>
      </c>
      <c r="R38" s="288" t="s">
        <v>2555</v>
      </c>
      <c r="S38" s="288">
        <f>29/31</f>
        <v>0.93548387096774188</v>
      </c>
      <c r="T38" s="63">
        <f>(S38/$L38)*(8.3%*3)</f>
        <v>0.25319074333800839</v>
      </c>
      <c r="U38" s="288" t="s">
        <v>2556</v>
      </c>
      <c r="V38" s="288">
        <f>38/40</f>
        <v>0.95</v>
      </c>
      <c r="W38" s="63">
        <f>(V38/$L38)*(8.3%*4)</f>
        <v>0.34282608695652173</v>
      </c>
      <c r="X38" s="288" t="s">
        <v>2557</v>
      </c>
      <c r="Y38" s="288">
        <f>43/45</f>
        <v>0.9555555555555556</v>
      </c>
      <c r="Z38" s="63">
        <f>(Y38/$L38)*(8.3%*5)</f>
        <v>0.43103864734299518</v>
      </c>
      <c r="AA38" s="288" t="s">
        <v>2558</v>
      </c>
      <c r="AB38" s="288">
        <f>50/52</f>
        <v>0.96153846153846156</v>
      </c>
      <c r="AC38" s="63">
        <f>(AB38/$L38)*(8.3%*6)</f>
        <v>0.52048494983277593</v>
      </c>
      <c r="AD38" s="288" t="s">
        <v>2559</v>
      </c>
      <c r="AE38" s="288">
        <f>59/62</f>
        <v>0.95161290322580649</v>
      </c>
      <c r="AF38" s="63">
        <f>(AE38/$L38)*(8.3%*7)</f>
        <v>0.60096423562412349</v>
      </c>
      <c r="AG38" s="288" t="s">
        <v>2560</v>
      </c>
      <c r="AH38" s="288">
        <f>71/74</f>
        <v>0.95945945945945943</v>
      </c>
      <c r="AI38" s="63">
        <f>(AH38/$L38)*(8.3%*8)</f>
        <v>0.69247943595769679</v>
      </c>
      <c r="AJ38" s="288" t="s">
        <v>2561</v>
      </c>
      <c r="AK38" s="288">
        <f>86/89</f>
        <v>0.9662921348314607</v>
      </c>
      <c r="AL38" s="63">
        <f>(AK38/$L38)*(8.3%*9)</f>
        <v>0.78458720078163169</v>
      </c>
      <c r="AM38" s="288" t="s">
        <v>2562</v>
      </c>
      <c r="AN38" s="288">
        <f>98/101</f>
        <v>0.97029702970297027</v>
      </c>
      <c r="AO38" s="63">
        <f>(AN38/$L38)*(8.3%*10)</f>
        <v>0.87537666810159276</v>
      </c>
      <c r="AP38" s="288" t="s">
        <v>2563</v>
      </c>
      <c r="AQ38" s="288">
        <f>111/114</f>
        <v>0.97368421052631582</v>
      </c>
      <c r="AR38" s="63">
        <f>(AQ38/$L38)*(8.3%*11)</f>
        <v>0.96627574370709379</v>
      </c>
      <c r="AS38" s="288" t="s">
        <v>2564</v>
      </c>
      <c r="AT38" s="288">
        <f>124/127</f>
        <v>0.97637795275590555</v>
      </c>
      <c r="AU38" s="63">
        <f>(AT38/$L38)*(8.3%*12)</f>
        <v>1.0570352618966108</v>
      </c>
      <c r="AV38" s="324" t="s">
        <v>2565</v>
      </c>
      <c r="AW38" s="368" t="s">
        <v>93</v>
      </c>
      <c r="AX38" s="368"/>
      <c r="AY38" s="368"/>
      <c r="AZ38" s="69"/>
      <c r="BA38" s="331"/>
      <c r="BB38" s="69"/>
      <c r="BC38" s="69"/>
      <c r="BD38" s="331"/>
      <c r="BE38" s="69"/>
      <c r="BF38" s="69"/>
      <c r="BG38" s="331"/>
      <c r="BH38" s="69"/>
      <c r="BI38" s="69"/>
      <c r="BJ38" s="331"/>
      <c r="BK38" s="69"/>
      <c r="BL38" s="69"/>
      <c r="BM38" s="331"/>
      <c r="BN38" s="69"/>
      <c r="BO38" s="69"/>
      <c r="BP38" s="331"/>
      <c r="BQ38" s="69"/>
      <c r="BR38" s="69"/>
      <c r="BS38" s="331"/>
      <c r="BT38" s="69"/>
      <c r="BU38" s="69"/>
      <c r="BV38" s="331"/>
      <c r="BW38" s="69"/>
      <c r="BX38" s="69"/>
      <c r="BY38" s="331"/>
      <c r="BZ38" s="69"/>
      <c r="CA38" s="69"/>
      <c r="CB38" s="331"/>
      <c r="CC38" s="69"/>
      <c r="CD38" s="69"/>
      <c r="CE38" s="331"/>
      <c r="CF38" s="69"/>
      <c r="CG38" s="69"/>
      <c r="CH38" s="331"/>
      <c r="CI38" s="69"/>
      <c r="CJ38" s="11" t="s">
        <v>106</v>
      </c>
      <c r="CK38" s="11" t="s">
        <v>107</v>
      </c>
    </row>
    <row r="39" spans="1:174" s="4" customFormat="1" ht="45" customHeight="1" x14ac:dyDescent="0.2">
      <c r="A39" s="394"/>
      <c r="B39" s="394"/>
      <c r="C39" s="394"/>
      <c r="D39" s="394"/>
      <c r="E39" s="399"/>
      <c r="F39" s="394"/>
      <c r="G39" s="394"/>
      <c r="H39" s="401"/>
      <c r="I39" s="374">
        <v>529940080</v>
      </c>
      <c r="J39" s="368" t="s">
        <v>2167</v>
      </c>
      <c r="K39" s="368" t="s">
        <v>2168</v>
      </c>
      <c r="L39" s="393">
        <v>377</v>
      </c>
      <c r="M39" s="474">
        <v>16</v>
      </c>
      <c r="N39" s="403">
        <f>M39/$L39</f>
        <v>4.2440318302387266E-2</v>
      </c>
      <c r="O39" s="366" t="s">
        <v>2566</v>
      </c>
      <c r="P39" s="474">
        <v>66</v>
      </c>
      <c r="Q39" s="403">
        <f>P39/$L39</f>
        <v>0.17506631299734748</v>
      </c>
      <c r="R39" s="366" t="s">
        <v>2567</v>
      </c>
      <c r="S39" s="474">
        <v>86</v>
      </c>
      <c r="T39" s="403">
        <f>S39/$L39</f>
        <v>0.22811671087533156</v>
      </c>
      <c r="U39" s="366" t="s">
        <v>2568</v>
      </c>
      <c r="V39" s="474">
        <v>124</v>
      </c>
      <c r="W39" s="403">
        <f>V39/$L39</f>
        <v>0.32891246684350134</v>
      </c>
      <c r="X39" s="366" t="s">
        <v>2569</v>
      </c>
      <c r="Y39" s="474">
        <v>152</v>
      </c>
      <c r="Z39" s="403">
        <f>Y39/$L39</f>
        <v>0.40318302387267907</v>
      </c>
      <c r="AA39" s="366" t="s">
        <v>2570</v>
      </c>
      <c r="AB39" s="474">
        <v>174</v>
      </c>
      <c r="AC39" s="403">
        <f>AB39/$L39</f>
        <v>0.46153846153846156</v>
      </c>
      <c r="AD39" s="366" t="s">
        <v>2571</v>
      </c>
      <c r="AE39" s="474">
        <v>225</v>
      </c>
      <c r="AF39" s="403">
        <f>AE39/$L39</f>
        <v>0.59681697612732099</v>
      </c>
      <c r="AG39" s="366" t="s">
        <v>2572</v>
      </c>
      <c r="AH39" s="474">
        <v>257</v>
      </c>
      <c r="AI39" s="403">
        <f>AH39/$L39</f>
        <v>0.6816976127320955</v>
      </c>
      <c r="AJ39" s="366" t="s">
        <v>2573</v>
      </c>
      <c r="AK39" s="474">
        <v>293</v>
      </c>
      <c r="AL39" s="403">
        <f>AK39/412</f>
        <v>0.71116504854368934</v>
      </c>
      <c r="AM39" s="366" t="s">
        <v>2574</v>
      </c>
      <c r="AN39" s="474">
        <v>335</v>
      </c>
      <c r="AO39" s="403">
        <f>AN39/$L39</f>
        <v>0.8885941644562334</v>
      </c>
      <c r="AP39" s="366" t="s">
        <v>2563</v>
      </c>
      <c r="AQ39" s="474">
        <v>365</v>
      </c>
      <c r="AR39" s="403">
        <f>AQ39/$L39</f>
        <v>0.96816976127320953</v>
      </c>
      <c r="AS39" s="366" t="s">
        <v>2575</v>
      </c>
      <c r="AT39" s="474">
        <v>409</v>
      </c>
      <c r="AU39" s="403">
        <f>AT39/$L39</f>
        <v>1.0848806366047745</v>
      </c>
      <c r="AV39" s="477" t="s">
        <v>2576</v>
      </c>
      <c r="AW39" s="11" t="s">
        <v>2181</v>
      </c>
      <c r="AX39" s="11" t="s">
        <v>2182</v>
      </c>
      <c r="AY39" s="285">
        <v>113</v>
      </c>
      <c r="AZ39" s="325">
        <v>5</v>
      </c>
      <c r="BA39" s="76">
        <f>AZ39/119</f>
        <v>4.2016806722689079E-2</v>
      </c>
      <c r="BB39" s="288" t="s">
        <v>2577</v>
      </c>
      <c r="BC39" s="325">
        <v>18</v>
      </c>
      <c r="BD39" s="76">
        <f>BC39/119</f>
        <v>0.15126050420168066</v>
      </c>
      <c r="BE39" s="288" t="s">
        <v>2578</v>
      </c>
      <c r="BF39" s="325">
        <v>35</v>
      </c>
      <c r="BG39" s="76">
        <f>BF39/119</f>
        <v>0.29411764705882354</v>
      </c>
      <c r="BH39" s="288" t="s">
        <v>2579</v>
      </c>
      <c r="BI39" s="325">
        <v>45</v>
      </c>
      <c r="BJ39" s="76">
        <f>BI39/119</f>
        <v>0.37815126050420167</v>
      </c>
      <c r="BK39" s="288" t="s">
        <v>2580</v>
      </c>
      <c r="BL39" s="325">
        <v>51</v>
      </c>
      <c r="BM39" s="76">
        <f>BL39/119</f>
        <v>0.42857142857142855</v>
      </c>
      <c r="BN39" s="288" t="s">
        <v>2581</v>
      </c>
      <c r="BO39" s="325">
        <v>66</v>
      </c>
      <c r="BP39" s="76">
        <f>BO39/119</f>
        <v>0.55462184873949583</v>
      </c>
      <c r="BQ39" s="288" t="s">
        <v>2582</v>
      </c>
      <c r="BR39" s="325">
        <v>74</v>
      </c>
      <c r="BS39" s="76">
        <f>BR39/119</f>
        <v>0.62184873949579833</v>
      </c>
      <c r="BT39" s="288" t="s">
        <v>2583</v>
      </c>
      <c r="BU39" s="327">
        <v>86</v>
      </c>
      <c r="BV39" s="76">
        <f t="shared" ref="BV39" si="43">BU39/$AY39</f>
        <v>0.76106194690265483</v>
      </c>
      <c r="BW39" s="288" t="s">
        <v>2584</v>
      </c>
      <c r="BX39" s="327">
        <v>93</v>
      </c>
      <c r="BY39" s="76">
        <f t="shared" ref="BY39" si="44">BX39/$AY39</f>
        <v>0.82300884955752207</v>
      </c>
      <c r="BZ39" s="288" t="s">
        <v>2585</v>
      </c>
      <c r="CA39" s="325">
        <v>100</v>
      </c>
      <c r="CB39" s="76">
        <f>(CA39/$AY39)</f>
        <v>0.88495575221238942</v>
      </c>
      <c r="CC39" s="288" t="s">
        <v>2586</v>
      </c>
      <c r="CD39" s="327">
        <v>109</v>
      </c>
      <c r="CE39" s="76">
        <f>(CD39/$AY39)</f>
        <v>0.96460176991150437</v>
      </c>
      <c r="CF39" s="288" t="s">
        <v>2587</v>
      </c>
      <c r="CG39" s="327">
        <v>118</v>
      </c>
      <c r="CH39" s="76">
        <f>(CG39/$AY39)</f>
        <v>1.0442477876106195</v>
      </c>
      <c r="CI39" s="324" t="s">
        <v>2588</v>
      </c>
      <c r="CJ39" s="11" t="s">
        <v>106</v>
      </c>
      <c r="CK39" s="11" t="s">
        <v>107</v>
      </c>
    </row>
    <row r="40" spans="1:174" s="4" customFormat="1" ht="45" customHeight="1" x14ac:dyDescent="0.2">
      <c r="A40" s="394"/>
      <c r="B40" s="394"/>
      <c r="C40" s="394"/>
      <c r="D40" s="394"/>
      <c r="E40" s="399"/>
      <c r="F40" s="394"/>
      <c r="G40" s="394"/>
      <c r="H40" s="401"/>
      <c r="I40" s="401"/>
      <c r="J40" s="368"/>
      <c r="K40" s="368" t="s">
        <v>2168</v>
      </c>
      <c r="L40" s="393">
        <v>412</v>
      </c>
      <c r="M40" s="475"/>
      <c r="N40" s="404"/>
      <c r="O40" s="402"/>
      <c r="P40" s="475"/>
      <c r="Q40" s="404"/>
      <c r="R40" s="402"/>
      <c r="S40" s="475"/>
      <c r="T40" s="404"/>
      <c r="U40" s="402"/>
      <c r="V40" s="475"/>
      <c r="W40" s="404"/>
      <c r="X40" s="402"/>
      <c r="Y40" s="475"/>
      <c r="Z40" s="404"/>
      <c r="AA40" s="402"/>
      <c r="AB40" s="475"/>
      <c r="AC40" s="404"/>
      <c r="AD40" s="402"/>
      <c r="AE40" s="475"/>
      <c r="AF40" s="404"/>
      <c r="AG40" s="402"/>
      <c r="AH40" s="475"/>
      <c r="AI40" s="404"/>
      <c r="AJ40" s="402"/>
      <c r="AK40" s="475"/>
      <c r="AL40" s="404"/>
      <c r="AM40" s="402"/>
      <c r="AN40" s="475"/>
      <c r="AO40" s="404"/>
      <c r="AP40" s="402"/>
      <c r="AQ40" s="475"/>
      <c r="AR40" s="404"/>
      <c r="AS40" s="402"/>
      <c r="AT40" s="475"/>
      <c r="AU40" s="404"/>
      <c r="AV40" s="479"/>
      <c r="AW40" s="11" t="s">
        <v>369</v>
      </c>
      <c r="AX40" s="11" t="s">
        <v>370</v>
      </c>
      <c r="AY40" s="285">
        <v>332</v>
      </c>
      <c r="AZ40" s="332">
        <v>23</v>
      </c>
      <c r="BA40" s="329">
        <f>AZ40/397</f>
        <v>5.793450881612091E-2</v>
      </c>
      <c r="BB40" s="288" t="s">
        <v>2589</v>
      </c>
      <c r="BC40" s="325">
        <v>55</v>
      </c>
      <c r="BD40" s="329">
        <f>BC40/397</f>
        <v>0.1385390428211587</v>
      </c>
      <c r="BE40" s="288" t="s">
        <v>2590</v>
      </c>
      <c r="BF40" s="325">
        <v>73</v>
      </c>
      <c r="BG40" s="329">
        <f>BF40/397</f>
        <v>0.18387909319899245</v>
      </c>
      <c r="BH40" s="288" t="s">
        <v>2591</v>
      </c>
      <c r="BI40" s="325">
        <v>106</v>
      </c>
      <c r="BJ40" s="329">
        <f>BI40/397</f>
        <v>0.26700251889168763</v>
      </c>
      <c r="BK40" s="288" t="s">
        <v>2592</v>
      </c>
      <c r="BL40" s="325">
        <v>131</v>
      </c>
      <c r="BM40" s="329">
        <f>BL40/397</f>
        <v>0.32997481108312343</v>
      </c>
      <c r="BN40" s="288" t="s">
        <v>2593</v>
      </c>
      <c r="BO40" s="325">
        <v>165</v>
      </c>
      <c r="BP40" s="329">
        <f>BO40/397</f>
        <v>0.41561712846347609</v>
      </c>
      <c r="BQ40" s="288" t="s">
        <v>2594</v>
      </c>
      <c r="BR40" s="325">
        <v>203</v>
      </c>
      <c r="BS40" s="329">
        <f>BR40/397</f>
        <v>0.51133501259445846</v>
      </c>
      <c r="BT40" s="288" t="s">
        <v>2595</v>
      </c>
      <c r="BU40" s="325">
        <v>235</v>
      </c>
      <c r="BV40" s="329">
        <f>BU40/397</f>
        <v>0.59193954659949621</v>
      </c>
      <c r="BW40" s="288" t="s">
        <v>2596</v>
      </c>
      <c r="BX40" s="325">
        <v>261</v>
      </c>
      <c r="BY40" s="76">
        <f>BX40/397</f>
        <v>0.65743073047858946</v>
      </c>
      <c r="BZ40" s="288" t="s">
        <v>2597</v>
      </c>
      <c r="CA40" s="325">
        <v>306</v>
      </c>
      <c r="CB40" s="76">
        <f>(CA40/$AY40)</f>
        <v>0.92168674698795183</v>
      </c>
      <c r="CC40" s="288" t="s">
        <v>2598</v>
      </c>
      <c r="CD40" s="325">
        <v>345</v>
      </c>
      <c r="CE40" s="76">
        <f>(CD40/$AY40)</f>
        <v>1.0391566265060241</v>
      </c>
      <c r="CF40" s="288" t="s">
        <v>2599</v>
      </c>
      <c r="CG40" s="325">
        <v>383</v>
      </c>
      <c r="CH40" s="76">
        <f>(CG40/$AY40)</f>
        <v>1.1536144578313252</v>
      </c>
      <c r="CI40" s="324" t="s">
        <v>2600</v>
      </c>
      <c r="CJ40" s="11" t="s">
        <v>106</v>
      </c>
      <c r="CK40" s="11" t="s">
        <v>107</v>
      </c>
    </row>
    <row r="41" spans="1:174" s="4" customFormat="1" ht="216" x14ac:dyDescent="0.2">
      <c r="A41" s="394"/>
      <c r="B41" s="394"/>
      <c r="C41" s="394"/>
      <c r="D41" s="394"/>
      <c r="E41" s="399"/>
      <c r="F41" s="394"/>
      <c r="G41" s="394"/>
      <c r="H41" s="401"/>
      <c r="I41" s="375"/>
      <c r="J41" s="368"/>
      <c r="K41" s="368" t="s">
        <v>2168</v>
      </c>
      <c r="L41" s="393">
        <v>412</v>
      </c>
      <c r="M41" s="476"/>
      <c r="N41" s="405"/>
      <c r="O41" s="367"/>
      <c r="P41" s="476"/>
      <c r="Q41" s="405"/>
      <c r="R41" s="367"/>
      <c r="S41" s="476"/>
      <c r="T41" s="405"/>
      <c r="U41" s="367"/>
      <c r="V41" s="476"/>
      <c r="W41" s="405"/>
      <c r="X41" s="367"/>
      <c r="Y41" s="476"/>
      <c r="Z41" s="405"/>
      <c r="AA41" s="367"/>
      <c r="AB41" s="476"/>
      <c r="AC41" s="405"/>
      <c r="AD41" s="367"/>
      <c r="AE41" s="476"/>
      <c r="AF41" s="405"/>
      <c r="AG41" s="367"/>
      <c r="AH41" s="476"/>
      <c r="AI41" s="405"/>
      <c r="AJ41" s="367"/>
      <c r="AK41" s="476"/>
      <c r="AL41" s="405"/>
      <c r="AM41" s="367"/>
      <c r="AN41" s="476"/>
      <c r="AO41" s="405"/>
      <c r="AP41" s="367"/>
      <c r="AQ41" s="476"/>
      <c r="AR41" s="405"/>
      <c r="AS41" s="367"/>
      <c r="AT41" s="476"/>
      <c r="AU41" s="405"/>
      <c r="AV41" s="478"/>
      <c r="AW41" s="11" t="s">
        <v>2209</v>
      </c>
      <c r="AX41" s="11" t="s">
        <v>2601</v>
      </c>
      <c r="AY41" s="287">
        <v>0.85</v>
      </c>
      <c r="AZ41" s="332">
        <v>0</v>
      </c>
      <c r="BA41" s="329"/>
      <c r="BB41" s="288" t="s">
        <v>2602</v>
      </c>
      <c r="BC41" s="325">
        <v>0</v>
      </c>
      <c r="BD41" s="76"/>
      <c r="BE41" s="288" t="s">
        <v>2602</v>
      </c>
      <c r="BF41" s="325">
        <v>21</v>
      </c>
      <c r="BG41" s="76">
        <f>BF41/138</f>
        <v>0.15217391304347827</v>
      </c>
      <c r="BH41" s="288" t="s">
        <v>2603</v>
      </c>
      <c r="BI41" s="332">
        <v>21</v>
      </c>
      <c r="BJ41" s="329">
        <f>BI41/138</f>
        <v>0.15217391304347827</v>
      </c>
      <c r="BK41" s="288" t="s">
        <v>2602</v>
      </c>
      <c r="BL41" s="325">
        <v>21</v>
      </c>
      <c r="BM41" s="329">
        <f>BL41/138</f>
        <v>0.15217391304347827</v>
      </c>
      <c r="BN41" s="288" t="s">
        <v>2602</v>
      </c>
      <c r="BO41" s="288">
        <f>41/41</f>
        <v>1</v>
      </c>
      <c r="BP41" s="76">
        <f t="shared" ref="BP41" si="45">(BO41/$AY41)*(8.3%*6)</f>
        <v>0.58588235294117652</v>
      </c>
      <c r="BQ41" s="288" t="s">
        <v>2604</v>
      </c>
      <c r="BR41" s="288">
        <f>41/41</f>
        <v>1</v>
      </c>
      <c r="BS41" s="76">
        <f>(BR41/$AY41)*(8.3%*7)</f>
        <v>0.68352941176470594</v>
      </c>
      <c r="BT41" s="288" t="s">
        <v>2602</v>
      </c>
      <c r="BU41" s="288">
        <f>41/41</f>
        <v>1</v>
      </c>
      <c r="BV41" s="76">
        <f>(BU41/$AY41)*(8.3%*8)</f>
        <v>0.78117647058823536</v>
      </c>
      <c r="BW41" s="288" t="s">
        <v>2602</v>
      </c>
      <c r="BX41" s="288">
        <f>70/70</f>
        <v>1</v>
      </c>
      <c r="BY41" s="76">
        <f>(BX41/$AY41)*(8.3%*9)</f>
        <v>0.87882352941176478</v>
      </c>
      <c r="BZ41" s="288" t="s">
        <v>2605</v>
      </c>
      <c r="CA41" s="288">
        <f>70/70</f>
        <v>1</v>
      </c>
      <c r="CB41" s="76">
        <f>(CA41/$AY41)*(8.3%*10)</f>
        <v>0.9764705882352942</v>
      </c>
      <c r="CC41" s="288" t="s">
        <v>2605</v>
      </c>
      <c r="CD41" s="288">
        <f>70/70</f>
        <v>1</v>
      </c>
      <c r="CE41" s="76">
        <f>(CD41/$AY41)*(8.3%*11)</f>
        <v>1.0741176470588236</v>
      </c>
      <c r="CF41" s="288" t="s">
        <v>2605</v>
      </c>
      <c r="CG41" s="288">
        <f>107/107</f>
        <v>1</v>
      </c>
      <c r="CH41" s="76">
        <f>(CG41/$AY41)*(8.3%*12)</f>
        <v>1.171764705882353</v>
      </c>
      <c r="CI41" s="324" t="s">
        <v>2606</v>
      </c>
      <c r="CJ41" s="11" t="s">
        <v>106</v>
      </c>
      <c r="CK41" s="11" t="s">
        <v>107</v>
      </c>
    </row>
    <row r="42" spans="1:174" s="4" customFormat="1" ht="45" customHeight="1" x14ac:dyDescent="0.2">
      <c r="A42" s="394"/>
      <c r="B42" s="394"/>
      <c r="C42" s="394"/>
      <c r="D42" s="394"/>
      <c r="E42" s="399"/>
      <c r="F42" s="394"/>
      <c r="G42" s="394"/>
      <c r="H42" s="401"/>
      <c r="I42" s="286">
        <v>439087717</v>
      </c>
      <c r="J42" s="283" t="s">
        <v>2607</v>
      </c>
      <c r="K42" s="283" t="s">
        <v>2608</v>
      </c>
      <c r="L42" s="287">
        <v>0.16</v>
      </c>
      <c r="M42" s="288"/>
      <c r="N42" s="63"/>
      <c r="O42" s="288" t="s">
        <v>2609</v>
      </c>
      <c r="P42" s="288"/>
      <c r="Q42" s="63"/>
      <c r="R42" s="288" t="s">
        <v>2609</v>
      </c>
      <c r="S42" s="288">
        <v>0.04</v>
      </c>
      <c r="T42" s="333">
        <f>(S42/24%)</f>
        <v>0.16666666666666669</v>
      </c>
      <c r="U42" s="288" t="s">
        <v>2610</v>
      </c>
      <c r="V42" s="63">
        <v>0.04</v>
      </c>
      <c r="W42" s="333">
        <f>(V42/24%)</f>
        <v>0.16666666666666669</v>
      </c>
      <c r="X42" s="333" t="s">
        <v>2609</v>
      </c>
      <c r="Y42" s="288">
        <v>0.04</v>
      </c>
      <c r="Z42" s="333">
        <f>(Y42/24%)</f>
        <v>0.16666666666666669</v>
      </c>
      <c r="AA42" s="288" t="s">
        <v>2609</v>
      </c>
      <c r="AB42" s="288">
        <v>0.08</v>
      </c>
      <c r="AC42" s="333">
        <f>(AB42/24%)</f>
        <v>0.33333333333333337</v>
      </c>
      <c r="AD42" s="288" t="s">
        <v>2611</v>
      </c>
      <c r="AE42" s="63">
        <v>0.08</v>
      </c>
      <c r="AF42" s="333">
        <f>(AE42/24%)</f>
        <v>0.33333333333333337</v>
      </c>
      <c r="AG42" s="288" t="s">
        <v>2609</v>
      </c>
      <c r="AH42" s="334">
        <v>0.08</v>
      </c>
      <c r="AI42" s="333">
        <f>(AH42/$L42)</f>
        <v>0.5</v>
      </c>
      <c r="AJ42" s="288" t="s">
        <v>2609</v>
      </c>
      <c r="AK42" s="334">
        <v>0.11</v>
      </c>
      <c r="AL42" s="333">
        <f>(AK42/$L42)</f>
        <v>0.6875</v>
      </c>
      <c r="AM42" s="288" t="s">
        <v>2612</v>
      </c>
      <c r="AN42" s="63">
        <v>0.11</v>
      </c>
      <c r="AO42" s="333">
        <f>(AN42/$L42)</f>
        <v>0.6875</v>
      </c>
      <c r="AP42" s="288" t="s">
        <v>1810</v>
      </c>
      <c r="AQ42" s="334">
        <v>0.11</v>
      </c>
      <c r="AR42" s="333">
        <f>(AQ42/$L42)</f>
        <v>0.6875</v>
      </c>
      <c r="AS42" s="288" t="s">
        <v>1810</v>
      </c>
      <c r="AT42" s="334">
        <v>0.16</v>
      </c>
      <c r="AU42" s="333">
        <f>(AT42/$L42)</f>
        <v>1</v>
      </c>
      <c r="AV42" s="324" t="s">
        <v>2613</v>
      </c>
      <c r="AW42" s="368" t="s">
        <v>93</v>
      </c>
      <c r="AX42" s="368"/>
      <c r="AY42" s="368"/>
      <c r="AZ42" s="69"/>
      <c r="BA42" s="331"/>
      <c r="BB42" s="69"/>
      <c r="BC42" s="69"/>
      <c r="BD42" s="331"/>
      <c r="BE42" s="69"/>
      <c r="BF42" s="69"/>
      <c r="BG42" s="331"/>
      <c r="BH42" s="69"/>
      <c r="BI42" s="69"/>
      <c r="BJ42" s="331"/>
      <c r="BK42" s="69"/>
      <c r="BL42" s="69"/>
      <c r="BM42" s="331"/>
      <c r="BN42" s="69"/>
      <c r="BO42" s="69"/>
      <c r="BP42" s="331"/>
      <c r="BQ42" s="69"/>
      <c r="BR42" s="69"/>
      <c r="BS42" s="331"/>
      <c r="BT42" s="69"/>
      <c r="BU42" s="69"/>
      <c r="BV42" s="331"/>
      <c r="BW42" s="69"/>
      <c r="BX42" s="69"/>
      <c r="BY42" s="331"/>
      <c r="BZ42" s="69"/>
      <c r="CA42" s="69"/>
      <c r="CB42" s="331"/>
      <c r="CC42" s="69"/>
      <c r="CD42" s="69"/>
      <c r="CE42" s="331"/>
      <c r="CF42" s="69"/>
      <c r="CG42" s="69"/>
      <c r="CH42" s="331"/>
      <c r="CI42" s="69"/>
      <c r="CJ42" s="11" t="s">
        <v>106</v>
      </c>
      <c r="CK42" s="11" t="s">
        <v>107</v>
      </c>
    </row>
    <row r="43" spans="1:174" s="4" customFormat="1" ht="45" customHeight="1" x14ac:dyDescent="0.2">
      <c r="A43" s="394"/>
      <c r="B43" s="394"/>
      <c r="C43" s="394"/>
      <c r="D43" s="394"/>
      <c r="E43" s="399"/>
      <c r="F43" s="394"/>
      <c r="G43" s="394"/>
      <c r="H43" s="401"/>
      <c r="I43" s="286">
        <v>312349628</v>
      </c>
      <c r="J43" s="283" t="s">
        <v>2614</v>
      </c>
      <c r="K43" s="283" t="s">
        <v>2615</v>
      </c>
      <c r="L43" s="287">
        <v>0.95</v>
      </c>
      <c r="M43" s="288">
        <v>0.98</v>
      </c>
      <c r="N43" s="63">
        <f>(M43/$L43)*(8.3%*1)</f>
        <v>8.5621052631578959E-2</v>
      </c>
      <c r="O43" s="288" t="s">
        <v>2616</v>
      </c>
      <c r="P43" s="288">
        <v>0.99</v>
      </c>
      <c r="Q43" s="63">
        <f t="shared" ref="Q43:Q51" si="46">(P43/$L43)*(8.3%*2)</f>
        <v>0.17298947368421055</v>
      </c>
      <c r="R43" s="288" t="s">
        <v>2617</v>
      </c>
      <c r="S43" s="288">
        <f>93/94</f>
        <v>0.98936170212765961</v>
      </c>
      <c r="T43" s="63">
        <f t="shared" ref="T43:T51" si="47">(S43/$L43)*(8.3%*3)</f>
        <v>0.2593169092945129</v>
      </c>
      <c r="U43" s="288" t="s">
        <v>2618</v>
      </c>
      <c r="V43" s="288">
        <f>124/126</f>
        <v>0.98412698412698407</v>
      </c>
      <c r="W43" s="63">
        <f>(V43/$L43)*(8.3%*4)</f>
        <v>0.3439264828738513</v>
      </c>
      <c r="X43" s="288" t="s">
        <v>2619</v>
      </c>
      <c r="Y43" s="288">
        <f>153/155</f>
        <v>0.98709677419354835</v>
      </c>
      <c r="Z43" s="63">
        <f>(Y43/$L43)*(8.3%*5)</f>
        <v>0.43120543293718172</v>
      </c>
      <c r="AA43" s="288" t="s">
        <v>2620</v>
      </c>
      <c r="AB43" s="288">
        <f>184/186</f>
        <v>0.989247311827957</v>
      </c>
      <c r="AC43" s="63">
        <f>(AB43/$L43)*(8.3%*6)</f>
        <v>0.51857385398981326</v>
      </c>
      <c r="AD43" s="288" t="s">
        <v>2621</v>
      </c>
      <c r="AE43" s="288">
        <f>217/219</f>
        <v>0.9908675799086758</v>
      </c>
      <c r="AF43" s="63">
        <f>(AE43/$L43)*(8.3%*7)</f>
        <v>0.60599375150204282</v>
      </c>
      <c r="AG43" s="288" t="s">
        <v>2622</v>
      </c>
      <c r="AH43" s="288">
        <f>248/250</f>
        <v>0.99199999999999999</v>
      </c>
      <c r="AI43" s="63">
        <f>(AH43/$L43)*(8.3%*8)</f>
        <v>0.69335578947368426</v>
      </c>
      <c r="AJ43" s="288" t="s">
        <v>2623</v>
      </c>
      <c r="AK43" s="288">
        <f>276/279</f>
        <v>0.989247311827957</v>
      </c>
      <c r="AL43" s="63">
        <f>(AK43/$L43)*(8.3%*9)</f>
        <v>0.77786078098471989</v>
      </c>
      <c r="AM43" s="288" t="s">
        <v>2624</v>
      </c>
      <c r="AN43" s="288">
        <f>305/308</f>
        <v>0.99025974025974028</v>
      </c>
      <c r="AO43" s="63">
        <f>(AN43/$L43)*(8.3%*10)</f>
        <v>0.86517429938482571</v>
      </c>
      <c r="AP43" s="288" t="s">
        <v>2625</v>
      </c>
      <c r="AQ43" s="334">
        <f>342/345</f>
        <v>0.99130434782608701</v>
      </c>
      <c r="AR43" s="63">
        <f>(AQ43/$L43)*(8.3%*11)</f>
        <v>0.95269565217391328</v>
      </c>
      <c r="AS43" s="288" t="s">
        <v>2626</v>
      </c>
      <c r="AT43" s="288">
        <f>383/386</f>
        <v>0.99222797927461137</v>
      </c>
      <c r="AU43" s="63">
        <f>(AT43/$L43)*(8.3%*12)</f>
        <v>1.0402727024815925</v>
      </c>
      <c r="AV43" s="324" t="s">
        <v>2627</v>
      </c>
      <c r="AW43" s="368" t="s">
        <v>93</v>
      </c>
      <c r="AX43" s="368"/>
      <c r="AY43" s="368"/>
      <c r="AZ43" s="69"/>
      <c r="BA43" s="331"/>
      <c r="BB43" s="69"/>
      <c r="BC43" s="69"/>
      <c r="BD43" s="331"/>
      <c r="BE43" s="69"/>
      <c r="BF43" s="69"/>
      <c r="BG43" s="331"/>
      <c r="BH43" s="69"/>
      <c r="BI43" s="69"/>
      <c r="BJ43" s="331"/>
      <c r="BK43" s="69"/>
      <c r="BL43" s="69"/>
      <c r="BM43" s="331"/>
      <c r="BN43" s="69"/>
      <c r="BO43" s="69"/>
      <c r="BP43" s="331"/>
      <c r="BQ43" s="69"/>
      <c r="BR43" s="69"/>
      <c r="BS43" s="331"/>
      <c r="BT43" s="69"/>
      <c r="BU43" s="69"/>
      <c r="BV43" s="331"/>
      <c r="BW43" s="69"/>
      <c r="BX43" s="69"/>
      <c r="BY43" s="331"/>
      <c r="BZ43" s="69"/>
      <c r="CA43" s="69"/>
      <c r="CB43" s="331"/>
      <c r="CC43" s="69"/>
      <c r="CD43" s="69"/>
      <c r="CE43" s="331"/>
      <c r="CF43" s="69"/>
      <c r="CG43" s="69"/>
      <c r="CH43" s="331"/>
      <c r="CI43" s="69"/>
      <c r="CJ43" s="11" t="s">
        <v>106</v>
      </c>
      <c r="CK43" s="11" t="s">
        <v>107</v>
      </c>
    </row>
    <row r="44" spans="1:174" s="4" customFormat="1" ht="45" customHeight="1" x14ac:dyDescent="0.2">
      <c r="A44" s="370"/>
      <c r="B44" s="370"/>
      <c r="C44" s="370"/>
      <c r="D44" s="370"/>
      <c r="E44" s="400"/>
      <c r="F44" s="370"/>
      <c r="G44" s="370"/>
      <c r="H44" s="401"/>
      <c r="I44" s="286">
        <v>308257208</v>
      </c>
      <c r="J44" s="283" t="s">
        <v>2628</v>
      </c>
      <c r="K44" s="283" t="s">
        <v>2629</v>
      </c>
      <c r="L44" s="287">
        <v>0.85</v>
      </c>
      <c r="M44" s="288">
        <v>0.09</v>
      </c>
      <c r="N44" s="63">
        <f>(M44/$L44)*(8.3%*1)</f>
        <v>8.788235294117647E-3</v>
      </c>
      <c r="O44" s="288" t="s">
        <v>2630</v>
      </c>
      <c r="P44" s="288">
        <v>0.51</v>
      </c>
      <c r="Q44" s="63">
        <f t="shared" si="46"/>
        <v>9.9600000000000008E-2</v>
      </c>
      <c r="R44" s="288" t="s">
        <v>2631</v>
      </c>
      <c r="S44" s="288">
        <f>82/111</f>
        <v>0.73873873873873874</v>
      </c>
      <c r="T44" s="63">
        <f t="shared" si="47"/>
        <v>0.21640699523052465</v>
      </c>
      <c r="U44" s="288" t="s">
        <v>2632</v>
      </c>
      <c r="V44" s="288">
        <f>116/149</f>
        <v>0.77852348993288589</v>
      </c>
      <c r="W44" s="63">
        <f>(V44/$L44)*(8.3%*4)</f>
        <v>0.3040821160679037</v>
      </c>
      <c r="X44" s="288" t="s">
        <v>2633</v>
      </c>
      <c r="Y44" s="288">
        <f>150/182</f>
        <v>0.82417582417582413</v>
      </c>
      <c r="Z44" s="63">
        <f>(Y44/$L44)*(8.3%*5)</f>
        <v>0.4023917259211377</v>
      </c>
      <c r="AA44" s="288" t="s">
        <v>2634</v>
      </c>
      <c r="AB44" s="288">
        <f>175/209</f>
        <v>0.83732057416267947</v>
      </c>
      <c r="AC44" s="63">
        <f>(AB44/$L44)*(8.3%*6)</f>
        <v>0.49057134815648751</v>
      </c>
      <c r="AD44" s="288" t="s">
        <v>2635</v>
      </c>
      <c r="AE44" s="288">
        <f>197/232</f>
        <v>0.84913793103448276</v>
      </c>
      <c r="AF44" s="63">
        <f>(AE44/$L44)*(8.3%*7)</f>
        <v>0.58041075050709956</v>
      </c>
      <c r="AG44" s="288" t="s">
        <v>2636</v>
      </c>
      <c r="AH44" s="288">
        <f>215/247</f>
        <v>0.87044534412955465</v>
      </c>
      <c r="AI44" s="63">
        <f>(AH44/$L44)*(8.3%*8)</f>
        <v>0.67997142176708747</v>
      </c>
      <c r="AJ44" s="288" t="s">
        <v>2637</v>
      </c>
      <c r="AK44" s="288">
        <f>244/275</f>
        <v>0.88727272727272732</v>
      </c>
      <c r="AL44" s="63">
        <f>(AK44/$L44)*(8.3%*9)</f>
        <v>0.77975614973262042</v>
      </c>
      <c r="AM44" s="288" t="s">
        <v>2638</v>
      </c>
      <c r="AN44" s="288">
        <f>265/296</f>
        <v>0.89527027027027029</v>
      </c>
      <c r="AO44" s="63">
        <f>(AN44/$L44)*(8.3%*10)</f>
        <v>0.87420508744038172</v>
      </c>
      <c r="AP44" s="288" t="s">
        <v>2639</v>
      </c>
      <c r="AQ44" s="288">
        <f>290/321</f>
        <v>0.90342679127725856</v>
      </c>
      <c r="AR44" s="63">
        <f>(AQ44/$L44)*(8.3%*11)</f>
        <v>0.97038665933663193</v>
      </c>
      <c r="AS44" s="288" t="s">
        <v>2640</v>
      </c>
      <c r="AT44" s="288">
        <f>331/362</f>
        <v>0.91436464088397795</v>
      </c>
      <c r="AU44" s="63">
        <f>(AT44/$L44)*(8.3%*12)</f>
        <v>1.0714202144946376</v>
      </c>
      <c r="AV44" s="324" t="s">
        <v>2641</v>
      </c>
      <c r="AW44" s="368" t="s">
        <v>93</v>
      </c>
      <c r="AX44" s="368"/>
      <c r="AY44" s="368"/>
      <c r="AZ44" s="69"/>
      <c r="BA44" s="331"/>
      <c r="BB44" s="69"/>
      <c r="BC44" s="69"/>
      <c r="BD44" s="331"/>
      <c r="BE44" s="69"/>
      <c r="BF44" s="69"/>
      <c r="BG44" s="331"/>
      <c r="BH44" s="69"/>
      <c r="BI44" s="69"/>
      <c r="BJ44" s="331"/>
      <c r="BK44" s="69"/>
      <c r="BL44" s="69"/>
      <c r="BM44" s="331"/>
      <c r="BN44" s="69"/>
      <c r="BO44" s="69"/>
      <c r="BP44" s="331"/>
      <c r="BQ44" s="69"/>
      <c r="BR44" s="69"/>
      <c r="BS44" s="331"/>
      <c r="BT44" s="69"/>
      <c r="BU44" s="69"/>
      <c r="BV44" s="331"/>
      <c r="BW44" s="69"/>
      <c r="BX44" s="69"/>
      <c r="BY44" s="331"/>
      <c r="BZ44" s="69"/>
      <c r="CA44" s="69"/>
      <c r="CB44" s="331"/>
      <c r="CC44" s="69"/>
      <c r="CD44" s="69"/>
      <c r="CE44" s="331"/>
      <c r="CF44" s="69"/>
      <c r="CG44" s="69"/>
      <c r="CH44" s="331"/>
      <c r="CI44" s="69"/>
      <c r="CJ44" s="11" t="s">
        <v>106</v>
      </c>
      <c r="CK44" s="11" t="s">
        <v>107</v>
      </c>
    </row>
    <row r="45" spans="1:174" ht="75" x14ac:dyDescent="0.25">
      <c r="H45" s="401"/>
      <c r="M45" s="56" t="s">
        <v>153</v>
      </c>
      <c r="N45" s="74">
        <f>AVERAGE(N38:N44)</f>
        <v>5.4716354126190928E-2</v>
      </c>
      <c r="P45" s="56" t="s">
        <v>153</v>
      </c>
      <c r="Q45" s="74">
        <f>AVERAGE(Q38:Q44)</f>
        <v>0.15296285971386778</v>
      </c>
      <c r="S45" s="56" t="s">
        <v>153</v>
      </c>
      <c r="T45" s="74">
        <f>AVERAGE(T38:T44)</f>
        <v>0.22473960508100888</v>
      </c>
      <c r="V45" s="56" t="s">
        <v>153</v>
      </c>
      <c r="W45" s="74">
        <f>AVERAGE(W38:W44)</f>
        <v>0.29728276388168895</v>
      </c>
      <c r="Y45" s="56" t="s">
        <v>153</v>
      </c>
      <c r="Z45" s="74">
        <f>AVERAGE(Z38:Z44)</f>
        <v>0.36689709934813208</v>
      </c>
      <c r="AB45" s="56" t="s">
        <v>153</v>
      </c>
      <c r="AC45" s="74">
        <f>AVERAGE(AC38:AC44)</f>
        <v>0.46490038937017431</v>
      </c>
      <c r="AE45" s="56" t="s">
        <v>153</v>
      </c>
      <c r="AF45" s="74">
        <f>AVERAGE(AF38:AF44)</f>
        <v>0.54350380941878407</v>
      </c>
      <c r="AH45" s="56" t="s">
        <v>153</v>
      </c>
      <c r="AI45" s="74">
        <f>AVERAGE(AI38:AI44)</f>
        <v>0.64950085198611274</v>
      </c>
      <c r="AK45" s="56" t="s">
        <v>153</v>
      </c>
      <c r="AL45" s="74">
        <f>AVERAGE(AL38:AL44)</f>
        <v>0.74817383600853227</v>
      </c>
      <c r="AN45" s="56" t="s">
        <v>153</v>
      </c>
      <c r="AO45" s="74">
        <f>AVERAGE(AO38:AO44)</f>
        <v>0.83817004387660676</v>
      </c>
      <c r="AQ45" s="56" t="s">
        <v>153</v>
      </c>
      <c r="AR45" s="74">
        <f>AVERAGE(AR38:AR44)</f>
        <v>0.90900556329816973</v>
      </c>
      <c r="AT45" s="56" t="s">
        <v>153</v>
      </c>
      <c r="AU45" s="74">
        <f>AVERAGE(AU38:AU44)</f>
        <v>1.0507217630955232</v>
      </c>
      <c r="AZ45" s="56" t="s">
        <v>154</v>
      </c>
      <c r="BA45" s="74">
        <f>AVERAGE(BA39:BA41)</f>
        <v>4.9975657769404991E-2</v>
      </c>
      <c r="BC45" s="56" t="s">
        <v>154</v>
      </c>
      <c r="BD45" s="74">
        <f>AVERAGE(BD38:BD44)</f>
        <v>0.14489977351141969</v>
      </c>
      <c r="BF45" s="56" t="s">
        <v>154</v>
      </c>
      <c r="BG45" s="74">
        <f>AVERAGE(BG38:BG44)</f>
        <v>0.21005688443376477</v>
      </c>
      <c r="BH45" s="292"/>
      <c r="BI45" s="56" t="s">
        <v>154</v>
      </c>
      <c r="BJ45" s="74">
        <f>AVERAGE(BJ39:BJ41)</f>
        <v>0.26577589747978919</v>
      </c>
      <c r="BL45" s="56" t="s">
        <v>154</v>
      </c>
      <c r="BM45" s="74">
        <f>AVERAGE(BM38:BM44)</f>
        <v>0.30357338423267671</v>
      </c>
      <c r="BO45" s="56" t="s">
        <v>154</v>
      </c>
      <c r="BP45" s="74">
        <f>AVERAGE(BP38:BP44)</f>
        <v>0.51870711004804948</v>
      </c>
      <c r="BQ45" s="292"/>
      <c r="BR45" s="56" t="s">
        <v>154</v>
      </c>
      <c r="BS45" s="74">
        <f>AVERAGE(BS39:BS41)</f>
        <v>0.60557105461832095</v>
      </c>
      <c r="BU45" s="56" t="s">
        <v>154</v>
      </c>
      <c r="BV45" s="74">
        <f>AVERAGE(BV38:BV44)</f>
        <v>0.71139265469679547</v>
      </c>
      <c r="BX45" s="56" t="s">
        <v>154</v>
      </c>
      <c r="BY45" s="74">
        <f>AVERAGE(BY38:BY44)</f>
        <v>0.78642103648262551</v>
      </c>
      <c r="BZ45" s="292"/>
      <c r="CA45" s="56" t="s">
        <v>154</v>
      </c>
      <c r="CB45" s="74">
        <f>AVERAGE(CB39:CB41)</f>
        <v>0.92770436247854515</v>
      </c>
      <c r="CD45" s="56" t="s">
        <v>154</v>
      </c>
      <c r="CE45" s="74">
        <f>AVERAGE(CE38:CE44)</f>
        <v>1.025958681158784</v>
      </c>
      <c r="CG45" s="56" t="s">
        <v>154</v>
      </c>
      <c r="CH45" s="74">
        <f>AVERAGE(CH38:CH44)</f>
        <v>1.1232089837747659</v>
      </c>
      <c r="CI45" s="292"/>
      <c r="CJ45" s="292"/>
      <c r="CK45" s="292"/>
      <c r="FO45" s="296"/>
      <c r="FP45" s="296"/>
      <c r="FQ45" s="296"/>
      <c r="FR45" s="296"/>
    </row>
    <row r="46" spans="1:174" s="4" customFormat="1" ht="46.5" customHeight="1" x14ac:dyDescent="0.2">
      <c r="A46" s="374" t="s">
        <v>84</v>
      </c>
      <c r="B46" s="374" t="s">
        <v>274</v>
      </c>
      <c r="C46" s="374" t="s">
        <v>2718</v>
      </c>
      <c r="D46" s="374" t="s">
        <v>32</v>
      </c>
      <c r="E46" s="481" t="s">
        <v>2642</v>
      </c>
      <c r="F46" s="374" t="s">
        <v>88</v>
      </c>
      <c r="G46" s="374" t="s">
        <v>276</v>
      </c>
      <c r="H46" s="401"/>
      <c r="I46" s="13">
        <v>70294322</v>
      </c>
      <c r="J46" s="283" t="s">
        <v>2614</v>
      </c>
      <c r="K46" s="283" t="s">
        <v>2615</v>
      </c>
      <c r="L46" s="288">
        <v>0.95</v>
      </c>
      <c r="M46" s="288">
        <f>2/2</f>
        <v>1</v>
      </c>
      <c r="N46" s="63">
        <f t="shared" ref="N46:N51" si="48">(M46/$L46)*(8.3%*1)</f>
        <v>8.7368421052631581E-2</v>
      </c>
      <c r="O46" s="288" t="s">
        <v>2643</v>
      </c>
      <c r="P46" s="288">
        <f>7/7</f>
        <v>1</v>
      </c>
      <c r="Q46" s="63">
        <f t="shared" si="46"/>
        <v>0.17473684210526316</v>
      </c>
      <c r="R46" s="288" t="s">
        <v>2644</v>
      </c>
      <c r="S46" s="288">
        <f>10/10</f>
        <v>1</v>
      </c>
      <c r="T46" s="63">
        <f t="shared" si="47"/>
        <v>0.26210526315789473</v>
      </c>
      <c r="U46" s="288" t="s">
        <v>2645</v>
      </c>
      <c r="V46" s="288">
        <f>16/16</f>
        <v>1</v>
      </c>
      <c r="W46" s="63">
        <f>(V46/$L46)*(8.3%*4)</f>
        <v>0.34947368421052633</v>
      </c>
      <c r="X46" s="288" t="s">
        <v>2646</v>
      </c>
      <c r="Y46" s="288">
        <f>33/33</f>
        <v>1</v>
      </c>
      <c r="Z46" s="63">
        <f>(Y46/$L46)*(8.3%*5)</f>
        <v>0.43684210526315792</v>
      </c>
      <c r="AA46" s="288" t="s">
        <v>2647</v>
      </c>
      <c r="AB46" s="288">
        <f>46/46</f>
        <v>1</v>
      </c>
      <c r="AC46" s="63">
        <f>(AB46/$L46)*(8.3%*6)</f>
        <v>0.52421052631578946</v>
      </c>
      <c r="AD46" s="288" t="s">
        <v>2646</v>
      </c>
      <c r="AE46" s="288">
        <f>58/58</f>
        <v>1</v>
      </c>
      <c r="AF46" s="63">
        <f>(AE46/$L46)*(8.3%*7)</f>
        <v>0.61157894736842111</v>
      </c>
      <c r="AG46" s="288" t="s">
        <v>2648</v>
      </c>
      <c r="AH46" s="288">
        <f>66/66</f>
        <v>1</v>
      </c>
      <c r="AI46" s="63">
        <f>(AH46/$L46)*(8.3%*8)</f>
        <v>0.69894736842105265</v>
      </c>
      <c r="AJ46" s="288" t="s">
        <v>2649</v>
      </c>
      <c r="AK46" s="288">
        <f>83/83</f>
        <v>1</v>
      </c>
      <c r="AL46" s="63">
        <f>(AK46/$L46)*(8.3%*9)</f>
        <v>0.78631578947368419</v>
      </c>
      <c r="AM46" s="288" t="s">
        <v>2650</v>
      </c>
      <c r="AN46" s="288">
        <f>98/98</f>
        <v>1</v>
      </c>
      <c r="AO46" s="63">
        <f t="shared" ref="AO46:AO51" si="49">(AN46/$L46)*(8.3%*10)</f>
        <v>0.87368421052631584</v>
      </c>
      <c r="AP46" s="288" t="s">
        <v>2651</v>
      </c>
      <c r="AQ46" s="288">
        <f>115/115</f>
        <v>1</v>
      </c>
      <c r="AR46" s="63">
        <f t="shared" ref="AR46:AR51" si="50">(AQ46/$L46)*(8.3%*11)</f>
        <v>0.96105263157894738</v>
      </c>
      <c r="AS46" s="288" t="s">
        <v>2652</v>
      </c>
      <c r="AT46" s="288">
        <f>134/134</f>
        <v>1</v>
      </c>
      <c r="AU46" s="63">
        <f t="shared" ref="AU46:AU51" si="51">(AT46/$L46)*(8.3%*12)</f>
        <v>1.0484210526315789</v>
      </c>
      <c r="AV46" s="324" t="s">
        <v>2653</v>
      </c>
      <c r="AW46" s="368" t="s">
        <v>93</v>
      </c>
      <c r="AX46" s="368"/>
      <c r="AY46" s="368"/>
      <c r="AZ46" s="69"/>
      <c r="BA46" s="331"/>
      <c r="BB46" s="69"/>
      <c r="BC46" s="69"/>
      <c r="BD46" s="331"/>
      <c r="BE46" s="69"/>
      <c r="BF46" s="69"/>
      <c r="BG46" s="331"/>
      <c r="BH46" s="69"/>
      <c r="BI46" s="69"/>
      <c r="BJ46" s="331"/>
      <c r="BK46" s="69"/>
      <c r="BL46" s="69"/>
      <c r="BM46" s="331"/>
      <c r="BN46" s="69"/>
      <c r="BO46" s="69"/>
      <c r="BP46" s="331"/>
      <c r="BQ46" s="69"/>
      <c r="BR46" s="69"/>
      <c r="BS46" s="331"/>
      <c r="BT46" s="69"/>
      <c r="BU46" s="69"/>
      <c r="BV46" s="331"/>
      <c r="BW46" s="69"/>
      <c r="BX46" s="69"/>
      <c r="BY46" s="331"/>
      <c r="BZ46" s="69"/>
      <c r="CA46" s="69"/>
      <c r="CB46" s="331"/>
      <c r="CC46" s="69"/>
      <c r="CD46" s="69"/>
      <c r="CE46" s="331"/>
      <c r="CF46" s="69"/>
      <c r="CG46" s="69"/>
      <c r="CH46" s="331"/>
      <c r="CI46" s="69"/>
      <c r="CJ46" s="11" t="s">
        <v>106</v>
      </c>
      <c r="CK46" s="11" t="s">
        <v>107</v>
      </c>
    </row>
    <row r="47" spans="1:174" s="4" customFormat="1" ht="46.5" customHeight="1" x14ac:dyDescent="0.2">
      <c r="A47" s="401"/>
      <c r="B47" s="401"/>
      <c r="C47" s="401"/>
      <c r="D47" s="401"/>
      <c r="E47" s="482"/>
      <c r="F47" s="401"/>
      <c r="G47" s="401"/>
      <c r="H47" s="401"/>
      <c r="I47" s="13">
        <v>191827420</v>
      </c>
      <c r="J47" s="283" t="s">
        <v>2628</v>
      </c>
      <c r="K47" s="283" t="s">
        <v>2629</v>
      </c>
      <c r="L47" s="288">
        <v>0.85</v>
      </c>
      <c r="M47" s="288">
        <f>4/24</f>
        <v>0.16666666666666666</v>
      </c>
      <c r="N47" s="63">
        <f t="shared" si="48"/>
        <v>1.6274509803921568E-2</v>
      </c>
      <c r="O47" s="288" t="s">
        <v>2654</v>
      </c>
      <c r="P47" s="288">
        <f>51/51</f>
        <v>1</v>
      </c>
      <c r="Q47" s="63">
        <f t="shared" si="46"/>
        <v>0.19529411764705884</v>
      </c>
      <c r="R47" s="288" t="s">
        <v>2655</v>
      </c>
      <c r="S47" s="288">
        <f>67/87</f>
        <v>0.77011494252873558</v>
      </c>
      <c r="T47" s="63">
        <f t="shared" si="47"/>
        <v>0.22559837728194723</v>
      </c>
      <c r="U47" s="288" t="s">
        <v>2656</v>
      </c>
      <c r="V47" s="288">
        <f>99/119</f>
        <v>0.83193277310924374</v>
      </c>
      <c r="W47" s="63">
        <f t="shared" ref="W47:W51" si="52">(V47/$L47)*(8.3%*4)</f>
        <v>0.3249431537320811</v>
      </c>
      <c r="X47" s="288" t="s">
        <v>2657</v>
      </c>
      <c r="Y47" s="288">
        <f>118/138</f>
        <v>0.85507246376811596</v>
      </c>
      <c r="Z47" s="63">
        <f t="shared" ref="Z47:Z51" si="53">(Y47/$L47)*(8.3%*5)</f>
        <v>0.41747655583972726</v>
      </c>
      <c r="AA47" s="288" t="s">
        <v>2658</v>
      </c>
      <c r="AB47" s="288">
        <f>138/158</f>
        <v>0.87341772151898733</v>
      </c>
      <c r="AC47" s="63">
        <f t="shared" ref="AC47:AC51" si="54">(AB47/$L47)*(8.3%*6)</f>
        <v>0.5117200297840655</v>
      </c>
      <c r="AD47" s="288" t="s">
        <v>2657</v>
      </c>
      <c r="AE47" s="288">
        <f>138/178</f>
        <v>0.7752808988764045</v>
      </c>
      <c r="AF47" s="63">
        <f>(AE47/$L47)*(8.3%*7)</f>
        <v>0.52992729676140127</v>
      </c>
      <c r="AG47" s="288" t="s">
        <v>2659</v>
      </c>
      <c r="AH47" s="288">
        <f>177/197</f>
        <v>0.89847715736040612</v>
      </c>
      <c r="AI47" s="63">
        <f>(AH47/$L47)*(8.3%*8)</f>
        <v>0.70186921469095254</v>
      </c>
      <c r="AJ47" s="288" t="s">
        <v>2660</v>
      </c>
      <c r="AK47" s="288">
        <f>194/214</f>
        <v>0.90654205607476634</v>
      </c>
      <c r="AL47" s="63">
        <f>(AK47/$L47)*(8.3%*9)</f>
        <v>0.79669048927982411</v>
      </c>
      <c r="AM47" s="288" t="s">
        <v>2661</v>
      </c>
      <c r="AN47" s="288">
        <f>210/230</f>
        <v>0.91304347826086951</v>
      </c>
      <c r="AO47" s="63">
        <f t="shared" si="49"/>
        <v>0.89156010230179039</v>
      </c>
      <c r="AP47" s="288" t="s">
        <v>2662</v>
      </c>
      <c r="AQ47" s="288">
        <f>233/253</f>
        <v>0.92094861660079053</v>
      </c>
      <c r="AR47" s="63">
        <f t="shared" si="50"/>
        <v>0.98920716112531981</v>
      </c>
      <c r="AS47" s="288" t="s">
        <v>2663</v>
      </c>
      <c r="AT47" s="288">
        <f>266/286</f>
        <v>0.93006993006993011</v>
      </c>
      <c r="AU47" s="63">
        <f t="shared" si="51"/>
        <v>1.0898231180584121</v>
      </c>
      <c r="AV47" s="324" t="s">
        <v>2664</v>
      </c>
      <c r="AW47" s="368" t="s">
        <v>93</v>
      </c>
      <c r="AX47" s="368"/>
      <c r="AY47" s="368"/>
      <c r="AZ47" s="69"/>
      <c r="BA47" s="331"/>
      <c r="BB47" s="69"/>
      <c r="BC47" s="69"/>
      <c r="BD47" s="331"/>
      <c r="BE47" s="69"/>
      <c r="BF47" s="69"/>
      <c r="BG47" s="331"/>
      <c r="BH47" s="69"/>
      <c r="BI47" s="69"/>
      <c r="BJ47" s="331"/>
      <c r="BK47" s="69"/>
      <c r="BL47" s="69"/>
      <c r="BM47" s="331"/>
      <c r="BN47" s="69"/>
      <c r="BO47" s="69"/>
      <c r="BP47" s="331"/>
      <c r="BQ47" s="69"/>
      <c r="BR47" s="69"/>
      <c r="BS47" s="331"/>
      <c r="BT47" s="69"/>
      <c r="BU47" s="69"/>
      <c r="BV47" s="331"/>
      <c r="BW47" s="69"/>
      <c r="BX47" s="69"/>
      <c r="BY47" s="331"/>
      <c r="BZ47" s="69"/>
      <c r="CA47" s="69"/>
      <c r="CB47" s="331"/>
      <c r="CC47" s="69"/>
      <c r="CD47" s="69"/>
      <c r="CE47" s="331"/>
      <c r="CF47" s="69"/>
      <c r="CG47" s="69"/>
      <c r="CH47" s="331"/>
      <c r="CI47" s="69"/>
      <c r="CJ47" s="11" t="s">
        <v>106</v>
      </c>
      <c r="CK47" s="11" t="s">
        <v>107</v>
      </c>
    </row>
    <row r="48" spans="1:174" s="4" customFormat="1" ht="46.5" customHeight="1" x14ac:dyDescent="0.2">
      <c r="A48" s="401"/>
      <c r="B48" s="401"/>
      <c r="C48" s="401"/>
      <c r="D48" s="401"/>
      <c r="E48" s="482"/>
      <c r="F48" s="401"/>
      <c r="G48" s="401"/>
      <c r="H48" s="401"/>
      <c r="I48" s="13">
        <v>456376110</v>
      </c>
      <c r="J48" s="283" t="s">
        <v>2665</v>
      </c>
      <c r="K48" s="283" t="s">
        <v>2666</v>
      </c>
      <c r="L48" s="288">
        <v>0.95</v>
      </c>
      <c r="M48" s="288">
        <v>0</v>
      </c>
      <c r="N48" s="63">
        <f t="shared" si="48"/>
        <v>0</v>
      </c>
      <c r="O48" s="288" t="s">
        <v>2667</v>
      </c>
      <c r="P48" s="288">
        <v>0.33</v>
      </c>
      <c r="Q48" s="63">
        <f t="shared" si="46"/>
        <v>5.7663157894736847E-2</v>
      </c>
      <c r="R48" s="288" t="s">
        <v>2668</v>
      </c>
      <c r="S48" s="288">
        <f>6/14</f>
        <v>0.42857142857142855</v>
      </c>
      <c r="T48" s="63">
        <f t="shared" si="47"/>
        <v>0.11233082706766917</v>
      </c>
      <c r="U48" s="288" t="s">
        <v>2669</v>
      </c>
      <c r="V48" s="288">
        <f>12/20</f>
        <v>0.6</v>
      </c>
      <c r="W48" s="63">
        <f t="shared" si="52"/>
        <v>0.20968421052631578</v>
      </c>
      <c r="X48" s="288" t="s">
        <v>2670</v>
      </c>
      <c r="Y48" s="288">
        <f>16/26</f>
        <v>0.61538461538461542</v>
      </c>
      <c r="Z48" s="63">
        <f t="shared" si="53"/>
        <v>0.26882591093117414</v>
      </c>
      <c r="AA48" s="288" t="s">
        <v>2671</v>
      </c>
      <c r="AB48" s="288">
        <f>23/33</f>
        <v>0.69696969696969702</v>
      </c>
      <c r="AC48" s="63">
        <f t="shared" si="54"/>
        <v>0.36535885167464122</v>
      </c>
      <c r="AD48" s="288" t="s">
        <v>2670</v>
      </c>
      <c r="AE48" s="288">
        <f>30/42</f>
        <v>0.7142857142857143</v>
      </c>
      <c r="AF48" s="63">
        <f t="shared" ref="AF48:AF50" si="55">(AE48/$L48)*(8.3%*7)</f>
        <v>0.43684210526315798</v>
      </c>
      <c r="AG48" s="288" t="s">
        <v>2672</v>
      </c>
      <c r="AH48" s="288">
        <f>39/50</f>
        <v>0.78</v>
      </c>
      <c r="AI48" s="63">
        <f t="shared" ref="AI48:AI50" si="56">(AH48/$L48)*(8.3%*8)</f>
        <v>0.54517894736842121</v>
      </c>
      <c r="AJ48" s="288" t="s">
        <v>2673</v>
      </c>
      <c r="AK48" s="288">
        <f>48/59</f>
        <v>0.81355932203389836</v>
      </c>
      <c r="AL48" s="63">
        <f t="shared" ref="AL48:AL50" si="57">(AK48/$L48)*(8.3%*9)</f>
        <v>0.63971454058876009</v>
      </c>
      <c r="AM48" s="288" t="s">
        <v>2674</v>
      </c>
      <c r="AN48" s="288">
        <f>61/67</f>
        <v>0.91044776119402981</v>
      </c>
      <c r="AO48" s="63">
        <f t="shared" si="49"/>
        <v>0.79544383346425773</v>
      </c>
      <c r="AP48" s="288" t="s">
        <v>2675</v>
      </c>
      <c r="AQ48" s="288">
        <f>71/75</f>
        <v>0.94666666666666666</v>
      </c>
      <c r="AR48" s="63">
        <f t="shared" si="50"/>
        <v>0.90979649122807016</v>
      </c>
      <c r="AS48" s="288" t="s">
        <v>2676</v>
      </c>
      <c r="AT48" s="288">
        <f>77/87</f>
        <v>0.88505747126436785</v>
      </c>
      <c r="AU48" s="63">
        <f t="shared" si="51"/>
        <v>0.92791288566243202</v>
      </c>
      <c r="AV48" s="324" t="s">
        <v>2677</v>
      </c>
      <c r="AW48" s="368" t="s">
        <v>93</v>
      </c>
      <c r="AX48" s="368"/>
      <c r="AY48" s="368"/>
      <c r="AZ48" s="69"/>
      <c r="BA48" s="331"/>
      <c r="BB48" s="69"/>
      <c r="BC48" s="69"/>
      <c r="BD48" s="331"/>
      <c r="BE48" s="69"/>
      <c r="BF48" s="69"/>
      <c r="BG48" s="331"/>
      <c r="BH48" s="69"/>
      <c r="BI48" s="69"/>
      <c r="BJ48" s="331"/>
      <c r="BK48" s="69"/>
      <c r="BL48" s="69"/>
      <c r="BM48" s="331"/>
      <c r="BN48" s="69"/>
      <c r="BO48" s="69"/>
      <c r="BP48" s="331"/>
      <c r="BQ48" s="69"/>
      <c r="BR48" s="69"/>
      <c r="BS48" s="331"/>
      <c r="BT48" s="69"/>
      <c r="BU48" s="69"/>
      <c r="BV48" s="331"/>
      <c r="BW48" s="69"/>
      <c r="BX48" s="69"/>
      <c r="BY48" s="331"/>
      <c r="BZ48" s="69"/>
      <c r="CA48" s="69"/>
      <c r="CB48" s="331"/>
      <c r="CC48" s="69"/>
      <c r="CD48" s="69"/>
      <c r="CE48" s="331"/>
      <c r="CF48" s="69"/>
      <c r="CG48" s="69"/>
      <c r="CH48" s="331"/>
      <c r="CI48" s="69"/>
      <c r="CJ48" s="11" t="s">
        <v>106</v>
      </c>
      <c r="CK48" s="11" t="s">
        <v>107</v>
      </c>
    </row>
    <row r="49" spans="1:174" s="4" customFormat="1" ht="46.5" customHeight="1" x14ac:dyDescent="0.2">
      <c r="A49" s="401"/>
      <c r="B49" s="401"/>
      <c r="C49" s="401"/>
      <c r="D49" s="401"/>
      <c r="E49" s="482"/>
      <c r="F49" s="401"/>
      <c r="G49" s="401"/>
      <c r="H49" s="401"/>
      <c r="I49" s="335">
        <v>266629092</v>
      </c>
      <c r="J49" s="283" t="s">
        <v>2678</v>
      </c>
      <c r="K49" s="283" t="s">
        <v>2679</v>
      </c>
      <c r="L49" s="288">
        <v>0.95</v>
      </c>
      <c r="M49" s="288">
        <v>0.55000000000000004</v>
      </c>
      <c r="N49" s="63">
        <f t="shared" si="48"/>
        <v>4.8052631578947375E-2</v>
      </c>
      <c r="O49" s="288" t="s">
        <v>2680</v>
      </c>
      <c r="P49" s="288">
        <v>0.67</v>
      </c>
      <c r="Q49" s="63">
        <f t="shared" si="46"/>
        <v>0.11707368421052633</v>
      </c>
      <c r="R49" s="288" t="s">
        <v>2681</v>
      </c>
      <c r="S49" s="288">
        <f>24/36</f>
        <v>0.66666666666666663</v>
      </c>
      <c r="T49" s="63">
        <f t="shared" si="47"/>
        <v>0.17473684210526313</v>
      </c>
      <c r="U49" s="288" t="s">
        <v>2682</v>
      </c>
      <c r="V49" s="288">
        <f>35/40</f>
        <v>0.875</v>
      </c>
      <c r="W49" s="63">
        <f t="shared" si="52"/>
        <v>0.30578947368421056</v>
      </c>
      <c r="X49" s="288" t="s">
        <v>2683</v>
      </c>
      <c r="Y49" s="288">
        <f>47/52</f>
        <v>0.90384615384615385</v>
      </c>
      <c r="Z49" s="63">
        <f t="shared" si="53"/>
        <v>0.39483805668016203</v>
      </c>
      <c r="AA49" s="288" t="s">
        <v>2684</v>
      </c>
      <c r="AB49" s="288">
        <f>57/62</f>
        <v>0.91935483870967738</v>
      </c>
      <c r="AC49" s="63">
        <f t="shared" si="54"/>
        <v>0.48193548387096774</v>
      </c>
      <c r="AD49" s="288" t="s">
        <v>2683</v>
      </c>
      <c r="AE49" s="288">
        <f>65/71</f>
        <v>0.91549295774647887</v>
      </c>
      <c r="AF49" s="63">
        <f t="shared" si="55"/>
        <v>0.55989621942179402</v>
      </c>
      <c r="AG49" s="288" t="s">
        <v>2685</v>
      </c>
      <c r="AH49" s="288">
        <f>78/85</f>
        <v>0.91764705882352937</v>
      </c>
      <c r="AI49" s="63">
        <f t="shared" si="56"/>
        <v>0.64138699690402479</v>
      </c>
      <c r="AJ49" s="288" t="s">
        <v>2686</v>
      </c>
      <c r="AK49" s="288">
        <f>91/95</f>
        <v>0.95789473684210524</v>
      </c>
      <c r="AL49" s="63">
        <f t="shared" si="57"/>
        <v>0.75320775623268688</v>
      </c>
      <c r="AM49" s="288" t="s">
        <v>2687</v>
      </c>
      <c r="AN49" s="288">
        <f>107/111</f>
        <v>0.963963963963964</v>
      </c>
      <c r="AO49" s="63">
        <f t="shared" si="49"/>
        <v>0.84220009483167402</v>
      </c>
      <c r="AP49" s="288" t="s">
        <v>2688</v>
      </c>
      <c r="AQ49" s="288">
        <f>120/124</f>
        <v>0.967741935483871</v>
      </c>
      <c r="AR49" s="63">
        <f t="shared" si="50"/>
        <v>0.93005093378607817</v>
      </c>
      <c r="AS49" s="288" t="s">
        <v>2689</v>
      </c>
      <c r="AT49" s="288">
        <f>131/136</f>
        <v>0.96323529411764708</v>
      </c>
      <c r="AU49" s="63">
        <f t="shared" si="51"/>
        <v>1.0098761609907123</v>
      </c>
      <c r="AV49" s="324" t="s">
        <v>2690</v>
      </c>
      <c r="AW49" s="368" t="s">
        <v>93</v>
      </c>
      <c r="AX49" s="368"/>
      <c r="AY49" s="368"/>
      <c r="AZ49" s="69"/>
      <c r="BA49" s="331"/>
      <c r="BB49" s="69"/>
      <c r="BC49" s="69"/>
      <c r="BD49" s="331"/>
      <c r="BE49" s="69"/>
      <c r="BF49" s="69"/>
      <c r="BG49" s="331"/>
      <c r="BH49" s="69"/>
      <c r="BI49" s="69"/>
      <c r="BJ49" s="331"/>
      <c r="BK49" s="69"/>
      <c r="BL49" s="69"/>
      <c r="BM49" s="331"/>
      <c r="BN49" s="69"/>
      <c r="BO49" s="69"/>
      <c r="BP49" s="331"/>
      <c r="BQ49" s="69"/>
      <c r="BR49" s="69"/>
      <c r="BS49" s="331"/>
      <c r="BT49" s="69"/>
      <c r="BU49" s="69"/>
      <c r="BV49" s="331"/>
      <c r="BW49" s="69"/>
      <c r="BX49" s="69"/>
      <c r="BY49" s="331"/>
      <c r="BZ49" s="69"/>
      <c r="CA49" s="69"/>
      <c r="CB49" s="331"/>
      <c r="CC49" s="69"/>
      <c r="CD49" s="69"/>
      <c r="CE49" s="331"/>
      <c r="CF49" s="69"/>
      <c r="CG49" s="69"/>
      <c r="CH49" s="331"/>
      <c r="CI49" s="69"/>
      <c r="CJ49" s="11" t="s">
        <v>106</v>
      </c>
      <c r="CK49" s="11" t="s">
        <v>107</v>
      </c>
    </row>
    <row r="50" spans="1:174" s="4" customFormat="1" ht="46.5" customHeight="1" x14ac:dyDescent="0.2">
      <c r="A50" s="401"/>
      <c r="B50" s="401"/>
      <c r="C50" s="401"/>
      <c r="D50" s="401"/>
      <c r="E50" s="482"/>
      <c r="F50" s="401"/>
      <c r="G50" s="401"/>
      <c r="H50" s="401"/>
      <c r="I50" s="286">
        <v>352419242</v>
      </c>
      <c r="J50" s="283" t="s">
        <v>2691</v>
      </c>
      <c r="K50" s="283" t="s">
        <v>2692</v>
      </c>
      <c r="L50" s="288">
        <v>0.95</v>
      </c>
      <c r="M50" s="288">
        <v>0.83</v>
      </c>
      <c r="N50" s="63">
        <f t="shared" si="48"/>
        <v>7.2515789473684214E-2</v>
      </c>
      <c r="O50" s="288" t="s">
        <v>2693</v>
      </c>
      <c r="P50" s="288">
        <v>0.79</v>
      </c>
      <c r="Q50" s="63">
        <f t="shared" si="46"/>
        <v>0.13804210526315791</v>
      </c>
      <c r="R50" s="288" t="s">
        <v>2694</v>
      </c>
      <c r="S50" s="288">
        <f>19/22</f>
        <v>0.86363636363636365</v>
      </c>
      <c r="T50" s="63">
        <f t="shared" si="47"/>
        <v>0.22636363636363638</v>
      </c>
      <c r="U50" s="288" t="s">
        <v>2695</v>
      </c>
      <c r="V50" s="288">
        <f>27/31</f>
        <v>0.87096774193548387</v>
      </c>
      <c r="W50" s="63">
        <f t="shared" si="52"/>
        <v>0.30438030560271651</v>
      </c>
      <c r="X50" s="288" t="s">
        <v>2696</v>
      </c>
      <c r="Y50" s="288">
        <f>35/39</f>
        <v>0.89743589743589747</v>
      </c>
      <c r="Z50" s="63">
        <f t="shared" si="53"/>
        <v>0.39203778677462892</v>
      </c>
      <c r="AA50" s="288" t="s">
        <v>2697</v>
      </c>
      <c r="AB50" s="288">
        <f>41/46</f>
        <v>0.89130434782608692</v>
      </c>
      <c r="AC50" s="63">
        <f t="shared" si="54"/>
        <v>0.46723112128146455</v>
      </c>
      <c r="AD50" s="288" t="s">
        <v>2696</v>
      </c>
      <c r="AE50" s="288">
        <f>49/57</f>
        <v>0.85964912280701755</v>
      </c>
      <c r="AF50" s="63">
        <f t="shared" si="55"/>
        <v>0.52574330563250238</v>
      </c>
      <c r="AG50" s="288" t="s">
        <v>2698</v>
      </c>
      <c r="AH50" s="288">
        <f>57/75</f>
        <v>0.76</v>
      </c>
      <c r="AI50" s="63">
        <f t="shared" si="56"/>
        <v>0.53120000000000001</v>
      </c>
      <c r="AJ50" s="288" t="s">
        <v>2699</v>
      </c>
      <c r="AK50" s="288">
        <f>71/84</f>
        <v>0.84523809523809523</v>
      </c>
      <c r="AL50" s="63">
        <f t="shared" si="57"/>
        <v>0.66462406015037589</v>
      </c>
      <c r="AM50" s="288" t="s">
        <v>2700</v>
      </c>
      <c r="AN50" s="288">
        <f>84/93</f>
        <v>0.90322580645161288</v>
      </c>
      <c r="AO50" s="63">
        <f t="shared" si="49"/>
        <v>0.7891341256366724</v>
      </c>
      <c r="AP50" s="288" t="s">
        <v>2701</v>
      </c>
      <c r="AQ50" s="288">
        <f>95/106</f>
        <v>0.89622641509433965</v>
      </c>
      <c r="AR50" s="63">
        <f t="shared" si="50"/>
        <v>0.86132075471698133</v>
      </c>
      <c r="AS50" s="288" t="s">
        <v>2689</v>
      </c>
      <c r="AT50" s="288">
        <f>113/117</f>
        <v>0.96581196581196582</v>
      </c>
      <c r="AU50" s="63">
        <f t="shared" si="51"/>
        <v>1.0125775978407558</v>
      </c>
      <c r="AV50" s="324" t="s">
        <v>2702</v>
      </c>
      <c r="AW50" s="368" t="s">
        <v>93</v>
      </c>
      <c r="AX50" s="368"/>
      <c r="AY50" s="368"/>
      <c r="AZ50" s="69"/>
      <c r="BA50" s="331"/>
      <c r="BB50" s="69"/>
      <c r="BC50" s="69"/>
      <c r="BD50" s="331"/>
      <c r="BE50" s="69"/>
      <c r="BF50" s="69"/>
      <c r="BG50" s="331"/>
      <c r="BH50" s="69"/>
      <c r="BI50" s="69"/>
      <c r="BJ50" s="331"/>
      <c r="BK50" s="69"/>
      <c r="BL50" s="69"/>
      <c r="BM50" s="331"/>
      <c r="BN50" s="69"/>
      <c r="BO50" s="69"/>
      <c r="BP50" s="331"/>
      <c r="BQ50" s="69"/>
      <c r="BR50" s="69"/>
      <c r="BS50" s="331"/>
      <c r="BT50" s="69"/>
      <c r="BU50" s="69"/>
      <c r="BV50" s="331"/>
      <c r="BW50" s="69"/>
      <c r="BX50" s="69"/>
      <c r="BY50" s="331"/>
      <c r="BZ50" s="69"/>
      <c r="CA50" s="69"/>
      <c r="CB50" s="331"/>
      <c r="CC50" s="69"/>
      <c r="CD50" s="69"/>
      <c r="CE50" s="331"/>
      <c r="CF50" s="69"/>
      <c r="CG50" s="69"/>
      <c r="CH50" s="331"/>
      <c r="CI50" s="69"/>
      <c r="CJ50" s="11" t="s">
        <v>106</v>
      </c>
      <c r="CK50" s="11" t="s">
        <v>107</v>
      </c>
    </row>
    <row r="51" spans="1:174" s="4" customFormat="1" ht="46.5" customHeight="1" x14ac:dyDescent="0.2">
      <c r="A51" s="375"/>
      <c r="B51" s="375"/>
      <c r="C51" s="375"/>
      <c r="D51" s="375"/>
      <c r="E51" s="483"/>
      <c r="F51" s="375"/>
      <c r="G51" s="375"/>
      <c r="H51" s="375"/>
      <c r="I51" s="286">
        <v>224252777</v>
      </c>
      <c r="J51" s="283" t="s">
        <v>2703</v>
      </c>
      <c r="K51" s="283" t="s">
        <v>2704</v>
      </c>
      <c r="L51" s="288">
        <v>1</v>
      </c>
      <c r="M51" s="288">
        <f>9/9</f>
        <v>1</v>
      </c>
      <c r="N51" s="63">
        <f t="shared" si="48"/>
        <v>8.3000000000000004E-2</v>
      </c>
      <c r="O51" s="288" t="s">
        <v>2705</v>
      </c>
      <c r="P51" s="288">
        <f>16/16</f>
        <v>1</v>
      </c>
      <c r="Q51" s="63">
        <f t="shared" si="46"/>
        <v>0.16600000000000001</v>
      </c>
      <c r="R51" s="288" t="s">
        <v>2706</v>
      </c>
      <c r="S51" s="288">
        <f>23/23</f>
        <v>1</v>
      </c>
      <c r="T51" s="63">
        <f t="shared" si="47"/>
        <v>0.249</v>
      </c>
      <c r="U51" s="288" t="s">
        <v>2707</v>
      </c>
      <c r="V51" s="288">
        <f>28/28</f>
        <v>1</v>
      </c>
      <c r="W51" s="63">
        <f t="shared" si="52"/>
        <v>0.33200000000000002</v>
      </c>
      <c r="X51" s="288" t="s">
        <v>2708</v>
      </c>
      <c r="Y51" s="288">
        <f>36/36</f>
        <v>1</v>
      </c>
      <c r="Z51" s="63">
        <f t="shared" si="53"/>
        <v>0.41500000000000004</v>
      </c>
      <c r="AA51" s="288" t="s">
        <v>2709</v>
      </c>
      <c r="AB51" s="288">
        <f>50/50</f>
        <v>1</v>
      </c>
      <c r="AC51" s="63">
        <f t="shared" si="54"/>
        <v>0.498</v>
      </c>
      <c r="AD51" s="288" t="s">
        <v>2708</v>
      </c>
      <c r="AE51" s="288">
        <f>64/64</f>
        <v>1</v>
      </c>
      <c r="AF51" s="63">
        <f>(AE51/$L51)*(8.3%*7)</f>
        <v>0.58100000000000007</v>
      </c>
      <c r="AG51" s="288" t="s">
        <v>2710</v>
      </c>
      <c r="AH51" s="288">
        <f>70/70</f>
        <v>1</v>
      </c>
      <c r="AI51" s="63">
        <f>(AH51/$L51)*(8.3%*8)</f>
        <v>0.66400000000000003</v>
      </c>
      <c r="AJ51" s="288" t="s">
        <v>2711</v>
      </c>
      <c r="AK51" s="288">
        <f>85/85</f>
        <v>1</v>
      </c>
      <c r="AL51" s="63">
        <f>(AK51/$L51)*(8.3%*9)</f>
        <v>0.747</v>
      </c>
      <c r="AM51" s="288" t="s">
        <v>2712</v>
      </c>
      <c r="AN51" s="288">
        <f>91/91</f>
        <v>1</v>
      </c>
      <c r="AO51" s="63">
        <f t="shared" si="49"/>
        <v>0.83000000000000007</v>
      </c>
      <c r="AP51" s="288" t="s">
        <v>2713</v>
      </c>
      <c r="AQ51" s="288">
        <f>100/100</f>
        <v>1</v>
      </c>
      <c r="AR51" s="63">
        <f t="shared" si="50"/>
        <v>0.91300000000000003</v>
      </c>
      <c r="AS51" s="288" t="s">
        <v>2714</v>
      </c>
      <c r="AT51" s="288">
        <f>105/105</f>
        <v>1</v>
      </c>
      <c r="AU51" s="63">
        <f t="shared" si="51"/>
        <v>0.996</v>
      </c>
      <c r="AV51" s="324" t="s">
        <v>2715</v>
      </c>
      <c r="AW51" s="368" t="s">
        <v>93</v>
      </c>
      <c r="AX51" s="368"/>
      <c r="AY51" s="368"/>
      <c r="AZ51" s="69"/>
      <c r="BA51" s="331"/>
      <c r="BB51" s="69"/>
      <c r="BC51" s="69"/>
      <c r="BD51" s="331"/>
      <c r="BE51" s="69"/>
      <c r="BF51" s="69"/>
      <c r="BG51" s="331"/>
      <c r="BH51" s="69"/>
      <c r="BI51" s="69"/>
      <c r="BJ51" s="331"/>
      <c r="BK51" s="69"/>
      <c r="BL51" s="69"/>
      <c r="BM51" s="331"/>
      <c r="BN51" s="69"/>
      <c r="BO51" s="69"/>
      <c r="BP51" s="331"/>
      <c r="BQ51" s="69"/>
      <c r="BR51" s="69"/>
      <c r="BS51" s="331"/>
      <c r="BT51" s="69"/>
      <c r="BU51" s="69"/>
      <c r="BV51" s="331"/>
      <c r="BW51" s="69"/>
      <c r="BX51" s="69"/>
      <c r="BY51" s="331"/>
      <c r="BZ51" s="69"/>
      <c r="CA51" s="69"/>
      <c r="CB51" s="331"/>
      <c r="CC51" s="69"/>
      <c r="CD51" s="69"/>
      <c r="CE51" s="331"/>
      <c r="CF51" s="69"/>
      <c r="CG51" s="69"/>
      <c r="CH51" s="331"/>
      <c r="CI51" s="69"/>
      <c r="CJ51" s="11" t="s">
        <v>106</v>
      </c>
      <c r="CK51" s="11" t="s">
        <v>107</v>
      </c>
    </row>
    <row r="52" spans="1:174" ht="75" x14ac:dyDescent="0.25">
      <c r="M52" s="56" t="s">
        <v>161</v>
      </c>
      <c r="N52" s="74">
        <f>AVERAGE(N46:N51)</f>
        <v>5.1201891984864127E-2</v>
      </c>
      <c r="P52" s="56" t="s">
        <v>161</v>
      </c>
      <c r="Q52" s="74">
        <f>AVERAGE(Q46:Q51)</f>
        <v>0.1414683178534572</v>
      </c>
      <c r="S52" s="56" t="s">
        <v>161</v>
      </c>
      <c r="T52" s="74">
        <f>AVERAGE(T46:T51)</f>
        <v>0.20835582432940178</v>
      </c>
      <c r="V52" s="56" t="s">
        <v>161</v>
      </c>
      <c r="W52" s="74">
        <f>AVERAGE(W46:W51)</f>
        <v>0.30437847129264173</v>
      </c>
      <c r="Y52" s="56" t="s">
        <v>161</v>
      </c>
      <c r="Z52" s="74">
        <f>AVERAGE(Z46:Z51)</f>
        <v>0.38750340258147514</v>
      </c>
      <c r="AB52" s="56" t="s">
        <v>161</v>
      </c>
      <c r="AC52" s="74">
        <f>AVERAGE(AC46:AC51)</f>
        <v>0.47474266882115473</v>
      </c>
      <c r="AE52" s="56" t="s">
        <v>161</v>
      </c>
      <c r="AF52" s="74">
        <f>AVERAGE(AF46:AF51)</f>
        <v>0.54083131240787941</v>
      </c>
      <c r="AH52" s="56" t="s">
        <v>161</v>
      </c>
      <c r="AI52" s="74">
        <f>AVERAGE(AI46:AI51)</f>
        <v>0.63043042123074189</v>
      </c>
      <c r="AK52" s="56" t="s">
        <v>161</v>
      </c>
      <c r="AL52" s="74">
        <f>AVERAGE(AL46:AL51)</f>
        <v>0.73125877262088856</v>
      </c>
      <c r="AN52" s="56" t="s">
        <v>161</v>
      </c>
      <c r="AO52" s="74">
        <f>AVERAGE(AO46:AO51)</f>
        <v>0.83700372779345178</v>
      </c>
      <c r="AQ52" s="56" t="s">
        <v>161</v>
      </c>
      <c r="AR52" s="74">
        <f>AVERAGE(AR46:AR51)</f>
        <v>0.92740466207256622</v>
      </c>
      <c r="AT52" s="56" t="s">
        <v>161</v>
      </c>
      <c r="AU52" s="74">
        <f>AVERAGE(AU46:AU51)</f>
        <v>1.0141018025306485</v>
      </c>
      <c r="AZ52" s="56" t="s">
        <v>162</v>
      </c>
      <c r="BA52" s="74" t="s">
        <v>11</v>
      </c>
      <c r="BC52" s="56" t="s">
        <v>162</v>
      </c>
      <c r="BD52" s="74" t="s">
        <v>11</v>
      </c>
      <c r="BF52" s="56" t="s">
        <v>162</v>
      </c>
      <c r="BG52" s="74" t="s">
        <v>11</v>
      </c>
      <c r="BH52" s="292"/>
      <c r="BI52" s="56" t="s">
        <v>162</v>
      </c>
      <c r="BJ52" s="74" t="s">
        <v>11</v>
      </c>
      <c r="BL52" s="56" t="s">
        <v>162</v>
      </c>
      <c r="BM52" s="74" t="s">
        <v>11</v>
      </c>
      <c r="BO52" s="56" t="s">
        <v>162</v>
      </c>
      <c r="BP52" s="74" t="s">
        <v>11</v>
      </c>
      <c r="BQ52" s="292"/>
      <c r="BR52" s="56" t="s">
        <v>162</v>
      </c>
      <c r="BS52" s="74" t="s">
        <v>11</v>
      </c>
      <c r="BU52" s="56" t="s">
        <v>162</v>
      </c>
      <c r="BV52" s="74" t="s">
        <v>11</v>
      </c>
      <c r="BX52" s="56" t="s">
        <v>162</v>
      </c>
      <c r="BY52" s="74" t="s">
        <v>11</v>
      </c>
      <c r="BZ52" s="292"/>
      <c r="CA52" s="56" t="s">
        <v>162</v>
      </c>
      <c r="CB52" s="74" t="s">
        <v>11</v>
      </c>
      <c r="CD52" s="56" t="s">
        <v>162</v>
      </c>
      <c r="CE52" s="74" t="s">
        <v>11</v>
      </c>
      <c r="CG52" s="56" t="s">
        <v>162</v>
      </c>
      <c r="CH52" s="74" t="s">
        <v>11</v>
      </c>
      <c r="CI52" s="292"/>
      <c r="CJ52" s="292"/>
      <c r="CK52" s="292"/>
      <c r="FO52" s="296"/>
      <c r="FP52" s="296"/>
      <c r="FQ52" s="296"/>
      <c r="FR52" s="296"/>
    </row>
    <row r="53" spans="1:174" s="4" customFormat="1" ht="33.75" customHeight="1" x14ac:dyDescent="0.2">
      <c r="A53" s="297"/>
      <c r="B53" s="297"/>
      <c r="C53" s="117"/>
      <c r="D53" s="297"/>
      <c r="E53" s="117"/>
      <c r="F53" s="297"/>
      <c r="G53" s="297"/>
      <c r="H53" s="58"/>
      <c r="I53" s="58"/>
      <c r="J53" s="118"/>
      <c r="K53" s="118"/>
      <c r="L53" s="119"/>
      <c r="M53" s="59"/>
      <c r="N53" s="75"/>
      <c r="O53" s="59"/>
      <c r="P53" s="59"/>
      <c r="Q53" s="75"/>
      <c r="R53" s="59"/>
      <c r="S53" s="59"/>
      <c r="T53" s="75"/>
      <c r="U53" s="59"/>
      <c r="V53" s="59"/>
      <c r="W53" s="75"/>
      <c r="X53" s="59"/>
      <c r="Y53" s="59"/>
      <c r="Z53" s="75"/>
      <c r="AA53" s="59"/>
      <c r="AB53" s="59"/>
      <c r="AC53" s="75"/>
      <c r="AD53" s="59"/>
      <c r="AE53" s="59"/>
      <c r="AF53" s="75"/>
      <c r="AG53" s="59"/>
      <c r="AH53" s="59"/>
      <c r="AI53" s="75"/>
      <c r="AJ53" s="59"/>
      <c r="AK53" s="59"/>
      <c r="AL53" s="75"/>
      <c r="AM53" s="59"/>
      <c r="AN53" s="59"/>
      <c r="AO53" s="75"/>
      <c r="AP53" s="59"/>
      <c r="AQ53" s="59"/>
      <c r="AR53" s="75"/>
      <c r="AS53" s="59"/>
      <c r="AT53" s="59"/>
      <c r="AU53" s="75"/>
      <c r="AV53" s="59"/>
      <c r="AW53" s="120"/>
      <c r="AX53" s="120"/>
      <c r="AY53" s="119"/>
      <c r="AZ53" s="59"/>
      <c r="BA53" s="75"/>
      <c r="BB53" s="59"/>
      <c r="BC53" s="59"/>
      <c r="BD53" s="75"/>
      <c r="BE53" s="59"/>
      <c r="BF53" s="59"/>
      <c r="BG53" s="75"/>
      <c r="BH53" s="59"/>
      <c r="BI53" s="59"/>
      <c r="BJ53" s="75"/>
      <c r="BK53" s="59"/>
      <c r="BL53" s="59"/>
      <c r="BM53" s="75"/>
      <c r="BN53" s="59"/>
      <c r="BO53" s="59"/>
      <c r="BP53" s="75"/>
      <c r="BQ53" s="59"/>
      <c r="BR53" s="59"/>
      <c r="BS53" s="75"/>
      <c r="BT53" s="59"/>
      <c r="BU53" s="59"/>
      <c r="BV53" s="75"/>
      <c r="BW53" s="59"/>
      <c r="BX53" s="59"/>
      <c r="BY53" s="75"/>
      <c r="BZ53" s="59"/>
      <c r="CA53" s="59"/>
      <c r="CB53" s="75"/>
      <c r="CC53" s="59"/>
      <c r="CD53" s="59"/>
      <c r="CE53" s="75"/>
      <c r="CF53" s="59"/>
      <c r="CG53" s="59"/>
      <c r="CH53" s="75"/>
      <c r="CI53" s="59"/>
      <c r="CJ53" s="120"/>
      <c r="CK53" s="120"/>
    </row>
    <row r="54" spans="1:174" ht="75" x14ac:dyDescent="0.25">
      <c r="M54" s="56" t="s">
        <v>153</v>
      </c>
      <c r="N54" s="74">
        <f>AVERAGE(N13,N19,N25,N31,N37,N45,N52)</f>
        <v>5.6334822038417977E-2</v>
      </c>
      <c r="P54" s="56" t="s">
        <v>153</v>
      </c>
      <c r="Q54" s="74">
        <f>AVERAGE(Q13,Q19,Q25,Q31,Q37,Q45,Q52)</f>
        <v>0.14949118388857799</v>
      </c>
      <c r="S54" s="56" t="s">
        <v>153</v>
      </c>
      <c r="T54" s="74">
        <f>AVERAGE(T13,T19,T25,T31,T37,T45,T52)</f>
        <v>0.22658360214020881</v>
      </c>
      <c r="V54" s="56" t="s">
        <v>153</v>
      </c>
      <c r="W54" s="74">
        <f>AVERAGE(W13,W19,W25,W31,W37,W45,W52)</f>
        <v>0.33465225413880206</v>
      </c>
      <c r="Y54" s="56" t="s">
        <v>153</v>
      </c>
      <c r="Z54" s="74">
        <f>AVERAGE(Z13,Z19,Z25,Z31,Z37,Z45,Z52)</f>
        <v>0.41270981166803022</v>
      </c>
      <c r="AB54" s="56" t="s">
        <v>153</v>
      </c>
      <c r="AC54" s="74">
        <f>AVERAGE(AC13,AC19,AC25,AC31,AC37,AC45,AC52)</f>
        <v>0.48634716011111678</v>
      </c>
      <c r="AE54" s="56" t="s">
        <v>153</v>
      </c>
      <c r="AF54" s="74">
        <f>AVERAGE(AF13,AF19,AF25,AF31,AF37,AF45,AF52)</f>
        <v>0.55579778454621431</v>
      </c>
      <c r="AH54" s="56" t="s">
        <v>153</v>
      </c>
      <c r="AI54" s="74">
        <f>AVERAGE(AI13,AI19,AI25,AI31,AI37,AI45,AI52)</f>
        <v>0.63984761912060328</v>
      </c>
      <c r="AK54" s="56" t="s">
        <v>153</v>
      </c>
      <c r="AL54" s="74">
        <f>AVERAGE(AL13,AL19,AL25,AL31,AL37,AL45,AL52)</f>
        <v>0.73762849817406118</v>
      </c>
      <c r="AN54" s="56" t="s">
        <v>153</v>
      </c>
      <c r="AO54" s="74">
        <f>AVERAGE(AO13,AO19,AO25,AO31,AO37,AO45,AO52)</f>
        <v>0.86687548507837076</v>
      </c>
      <c r="AQ54" s="56" t="s">
        <v>153</v>
      </c>
      <c r="AR54" s="74">
        <f>AVERAGE(AR13,AR19,AR25,AR31,AR37,AR45,AR52)</f>
        <v>0.9459031300219064</v>
      </c>
      <c r="AT54" s="56" t="s">
        <v>153</v>
      </c>
      <c r="AU54" s="74">
        <f>AVERAGE(AU13,AU19,AU25,AU31,AU37,AU45,AU52)</f>
        <v>1.0623730915552552</v>
      </c>
      <c r="AZ54" s="56" t="s">
        <v>154</v>
      </c>
      <c r="BA54" s="74">
        <f>AVERAGE(BA13,BA19,BA25,BA31,BA37,BA45)</f>
        <v>4.5428454101043826E-2</v>
      </c>
      <c r="BC54" s="56" t="s">
        <v>154</v>
      </c>
      <c r="BD54" s="74">
        <f>AVERAGE(BD13,BD19,BD25,BD31,BD37,BD45)</f>
        <v>0.17092409362252334</v>
      </c>
      <c r="BF54" s="56" t="s">
        <v>154</v>
      </c>
      <c r="BG54" s="74">
        <f>AVERAGE(BG13,BG19,BG25,BG31,BG37,BG45)</f>
        <v>0.24121994950369638</v>
      </c>
      <c r="BH54" s="292"/>
      <c r="BI54" s="56" t="s">
        <v>154</v>
      </c>
      <c r="BJ54" s="74">
        <f>AVERAGE(BJ13,BJ19,BJ25,BJ31,BJ37,BJ45)</f>
        <v>0.32590838745170037</v>
      </c>
      <c r="BL54" s="56" t="s">
        <v>154</v>
      </c>
      <c r="BM54" s="74">
        <f>AVERAGE(BM13,BM19,BM25,BM31,BM37,BM45)</f>
        <v>0.39529939103798989</v>
      </c>
      <c r="BO54" s="56" t="s">
        <v>154</v>
      </c>
      <c r="BP54" s="74">
        <f>AVERAGE(BP13,BP19,BP25,BP31,BP37,BP45)</f>
        <v>0.50870556173504733</v>
      </c>
      <c r="BQ54" s="292"/>
      <c r="BR54" s="56" t="s">
        <v>154</v>
      </c>
      <c r="BS54" s="74">
        <f>AVERAGE(BS13,BS19,BS25,BS31,BS37,BS45)</f>
        <v>0.55609290603421857</v>
      </c>
      <c r="BU54" s="56" t="s">
        <v>154</v>
      </c>
      <c r="BV54" s="74">
        <f>AVERAGE(BV13,BV19,BV25,BV31,BV37,BV45)</f>
        <v>0.66408400181044913</v>
      </c>
      <c r="BX54" s="56" t="s">
        <v>154</v>
      </c>
      <c r="BY54" s="74">
        <f>AVERAGE(BY13,BY19,BY25,BY31,BY37,BY45)</f>
        <v>0.73942497110458028</v>
      </c>
      <c r="BZ54" s="292"/>
      <c r="CA54" s="56" t="s">
        <v>154</v>
      </c>
      <c r="CB54" s="74">
        <f>AVERAGE(CB13,CB19,CB25,CB31,CB37,CB45)</f>
        <v>0.85546854863113397</v>
      </c>
      <c r="CD54" s="56" t="s">
        <v>154</v>
      </c>
      <c r="CE54" s="74">
        <f>AVERAGE(CE13,CE19,CE25,CE31,CE37,CE45)</f>
        <v>0.94786124049560494</v>
      </c>
      <c r="CG54" s="56" t="s">
        <v>154</v>
      </c>
      <c r="CH54" s="74">
        <f>AVERAGE(CH13,CH19,CH25,CH31,CH37,CH45)</f>
        <v>1.0321319319185902</v>
      </c>
      <c r="CI54" s="292"/>
      <c r="CJ54" s="292"/>
      <c r="CK54" s="292"/>
      <c r="FO54" s="296"/>
      <c r="FP54" s="296"/>
      <c r="FQ54" s="296"/>
      <c r="FR54" s="296"/>
    </row>
    <row r="55" spans="1:174" s="4" customFormat="1" ht="38.25" customHeight="1" x14ac:dyDescent="0.25">
      <c r="A55" s="296"/>
      <c r="B55" s="296"/>
      <c r="C55" s="3"/>
      <c r="D55" s="3"/>
      <c r="E55" s="3"/>
      <c r="F55" s="3"/>
      <c r="G55" s="3"/>
      <c r="H55" s="1"/>
      <c r="I55" s="1"/>
      <c r="J55" s="3"/>
      <c r="K55" s="3"/>
      <c r="L55" s="5"/>
      <c r="M55" s="3"/>
      <c r="N55" s="320"/>
      <c r="O55" s="5"/>
      <c r="P55" s="3"/>
      <c r="Q55" s="320"/>
      <c r="R55" s="5"/>
      <c r="S55" s="3"/>
      <c r="T55" s="320"/>
      <c r="U55" s="5"/>
      <c r="V55" s="3"/>
      <c r="W55" s="320"/>
      <c r="X55" s="5"/>
      <c r="Y55" s="3"/>
      <c r="Z55" s="320"/>
      <c r="AA55" s="5"/>
      <c r="AB55" s="3"/>
      <c r="AC55" s="320"/>
      <c r="AD55" s="5"/>
      <c r="AE55" s="3"/>
      <c r="AF55" s="320"/>
      <c r="AG55" s="5"/>
      <c r="AH55" s="3"/>
      <c r="AI55" s="320"/>
      <c r="AJ55" s="5"/>
      <c r="AK55" s="3"/>
      <c r="AL55" s="320"/>
      <c r="AM55" s="5"/>
      <c r="AN55" s="3"/>
      <c r="AO55" s="320"/>
      <c r="AP55" s="5"/>
      <c r="AQ55" s="3"/>
      <c r="AR55" s="320"/>
      <c r="AS55" s="5"/>
      <c r="AT55" s="3"/>
      <c r="AU55" s="320"/>
      <c r="AV55" s="5"/>
      <c r="AW55" s="2"/>
      <c r="AX55" s="2"/>
      <c r="AY55" s="298"/>
      <c r="AZ55" s="3"/>
      <c r="BA55" s="320"/>
      <c r="BB55" s="5"/>
      <c r="BC55" s="3"/>
      <c r="BD55" s="320"/>
      <c r="BE55" s="5"/>
      <c r="BF55" s="3"/>
      <c r="BG55" s="320"/>
      <c r="BH55" s="5"/>
      <c r="BI55" s="3"/>
      <c r="BJ55" s="320"/>
      <c r="BK55" s="5"/>
      <c r="BL55" s="3"/>
      <c r="BM55" s="320"/>
      <c r="BN55" s="5"/>
      <c r="BO55" s="3"/>
      <c r="BP55" s="320"/>
      <c r="BQ55" s="5"/>
      <c r="BR55" s="3"/>
      <c r="BS55" s="320"/>
      <c r="BT55" s="5"/>
      <c r="BU55" s="3"/>
      <c r="BV55" s="320"/>
      <c r="BW55" s="5"/>
      <c r="BX55" s="3"/>
      <c r="BY55" s="320"/>
      <c r="BZ55" s="5"/>
      <c r="CA55" s="3"/>
      <c r="CB55" s="320"/>
      <c r="CC55" s="5"/>
      <c r="CD55" s="3"/>
      <c r="CE55" s="320"/>
      <c r="CF55" s="5"/>
      <c r="CG55" s="3"/>
      <c r="CH55" s="320"/>
      <c r="CI55" s="5"/>
      <c r="CJ55" s="10"/>
      <c r="CK55" s="10"/>
    </row>
    <row r="56" spans="1:174" ht="38.25" customHeight="1" x14ac:dyDescent="0.25"/>
    <row r="57" spans="1:174" ht="38.25" customHeight="1" x14ac:dyDescent="0.25">
      <c r="A57" s="296" t="s">
        <v>273</v>
      </c>
    </row>
  </sheetData>
  <autoFilter ref="A7:CJ57" xr:uid="{00000000-0009-0000-0000-000000000000}"/>
  <mergeCells count="529">
    <mergeCell ref="AW47:AY47"/>
    <mergeCell ref="AW48:AY48"/>
    <mergeCell ref="AW49:AY49"/>
    <mergeCell ref="AW50:AY50"/>
    <mergeCell ref="AW51:AY51"/>
    <mergeCell ref="AW44:AY44"/>
    <mergeCell ref="A46:A51"/>
    <mergeCell ref="B46:B51"/>
    <mergeCell ref="C46:C51"/>
    <mergeCell ref="D46:D51"/>
    <mergeCell ref="E46:E51"/>
    <mergeCell ref="F46:F51"/>
    <mergeCell ref="G46:G51"/>
    <mergeCell ref="AW46:AY46"/>
    <mergeCell ref="E38:E44"/>
    <mergeCell ref="F38:F44"/>
    <mergeCell ref="G38:G44"/>
    <mergeCell ref="AW38:AY38"/>
    <mergeCell ref="I39:I41"/>
    <mergeCell ref="J39:J41"/>
    <mergeCell ref="K39:K41"/>
    <mergeCell ref="L39:L41"/>
    <mergeCell ref="M39:M41"/>
    <mergeCell ref="AS39:AS41"/>
    <mergeCell ref="AT39:AT41"/>
    <mergeCell ref="AU39:AU41"/>
    <mergeCell ref="AV39:AV41"/>
    <mergeCell ref="AW42:AY42"/>
    <mergeCell ref="AW43:AY43"/>
    <mergeCell ref="AM39:AM41"/>
    <mergeCell ref="AN39:AN41"/>
    <mergeCell ref="AO39:AO41"/>
    <mergeCell ref="AP39:AP41"/>
    <mergeCell ref="AQ39:AQ41"/>
    <mergeCell ref="AR39:AR41"/>
    <mergeCell ref="AG39:AG41"/>
    <mergeCell ref="AH39:AH41"/>
    <mergeCell ref="AI39:AI41"/>
    <mergeCell ref="AJ39:AJ41"/>
    <mergeCell ref="AK39:AK41"/>
    <mergeCell ref="AL39:AL41"/>
    <mergeCell ref="AA39:AA41"/>
    <mergeCell ref="AB39:AB41"/>
    <mergeCell ref="AC39:AC41"/>
    <mergeCell ref="AD39:AD41"/>
    <mergeCell ref="AE39:AE41"/>
    <mergeCell ref="AF39:AF41"/>
    <mergeCell ref="V39:V41"/>
    <mergeCell ref="W39:W41"/>
    <mergeCell ref="X39:X41"/>
    <mergeCell ref="Y39:Y41"/>
    <mergeCell ref="Z39:Z41"/>
    <mergeCell ref="O39:O41"/>
    <mergeCell ref="P39:P41"/>
    <mergeCell ref="Q39:Q41"/>
    <mergeCell ref="R39:R41"/>
    <mergeCell ref="S39:S41"/>
    <mergeCell ref="T39:T41"/>
    <mergeCell ref="N39:N41"/>
    <mergeCell ref="AR34:AR36"/>
    <mergeCell ref="AS34:AS36"/>
    <mergeCell ref="AT34:AT36"/>
    <mergeCell ref="AU34:AU36"/>
    <mergeCell ref="AV34:AV36"/>
    <mergeCell ref="A38:A44"/>
    <mergeCell ref="B38:B44"/>
    <mergeCell ref="C38:C44"/>
    <mergeCell ref="D38:D44"/>
    <mergeCell ref="AL34:AL36"/>
    <mergeCell ref="AM34:AM36"/>
    <mergeCell ref="AN34:AN36"/>
    <mergeCell ref="AO34:AO36"/>
    <mergeCell ref="AP34:AP36"/>
    <mergeCell ref="AQ34:AQ36"/>
    <mergeCell ref="AF34:AF36"/>
    <mergeCell ref="AG34:AG36"/>
    <mergeCell ref="AH34:AH36"/>
    <mergeCell ref="AI34:AI36"/>
    <mergeCell ref="AJ34:AJ36"/>
    <mergeCell ref="AK34:AK36"/>
    <mergeCell ref="Z34:Z36"/>
    <mergeCell ref="U39:U41"/>
    <mergeCell ref="P32:P33"/>
    <mergeCell ref="Q32:Q33"/>
    <mergeCell ref="R32:R33"/>
    <mergeCell ref="S32:S33"/>
    <mergeCell ref="AA34:AA36"/>
    <mergeCell ref="AB34:AB36"/>
    <mergeCell ref="AC34:AC36"/>
    <mergeCell ref="AD34:AD36"/>
    <mergeCell ref="AE34:AE36"/>
    <mergeCell ref="T34:T36"/>
    <mergeCell ref="U34:U36"/>
    <mergeCell ref="V34:V36"/>
    <mergeCell ref="W34:W36"/>
    <mergeCell ref="X34:X36"/>
    <mergeCell ref="Y34:Y36"/>
    <mergeCell ref="R34:R36"/>
    <mergeCell ref="S34:S36"/>
    <mergeCell ref="AR32:AR33"/>
    <mergeCell ref="AS32:AS33"/>
    <mergeCell ref="AT32:AT33"/>
    <mergeCell ref="AE32:AE33"/>
    <mergeCell ref="T32:T33"/>
    <mergeCell ref="U32:U33"/>
    <mergeCell ref="V32:V33"/>
    <mergeCell ref="W32:W33"/>
    <mergeCell ref="X32:X33"/>
    <mergeCell ref="Y32:Y33"/>
    <mergeCell ref="I34:I36"/>
    <mergeCell ref="J34:J36"/>
    <mergeCell ref="K34:K36"/>
    <mergeCell ref="L34:L36"/>
    <mergeCell ref="M34:M36"/>
    <mergeCell ref="AL32:AL33"/>
    <mergeCell ref="AM32:AM33"/>
    <mergeCell ref="AN32:AN33"/>
    <mergeCell ref="AO32:AO33"/>
    <mergeCell ref="AF32:AF33"/>
    <mergeCell ref="AG32:AG33"/>
    <mergeCell ref="AH32:AH33"/>
    <mergeCell ref="AI32:AI33"/>
    <mergeCell ref="AJ32:AJ33"/>
    <mergeCell ref="AK32:AK33"/>
    <mergeCell ref="Z32:Z33"/>
    <mergeCell ref="AA32:AA33"/>
    <mergeCell ref="AB32:AB33"/>
    <mergeCell ref="AC32:AC33"/>
    <mergeCell ref="AD32:AD33"/>
    <mergeCell ref="N34:N36"/>
    <mergeCell ref="O34:O36"/>
    <mergeCell ref="P34:P36"/>
    <mergeCell ref="Q34:Q36"/>
    <mergeCell ref="L32:L33"/>
    <mergeCell ref="M32:M33"/>
    <mergeCell ref="AT28:AT30"/>
    <mergeCell ref="AU28:AU30"/>
    <mergeCell ref="AV28:AV30"/>
    <mergeCell ref="AP28:AP30"/>
    <mergeCell ref="AQ28:AQ30"/>
    <mergeCell ref="AR28:AR30"/>
    <mergeCell ref="AS28:AS30"/>
    <mergeCell ref="Y28:Y30"/>
    <mergeCell ref="Z28:Z30"/>
    <mergeCell ref="AA28:AA30"/>
    <mergeCell ref="P28:P30"/>
    <mergeCell ref="Q28:Q30"/>
    <mergeCell ref="R28:R30"/>
    <mergeCell ref="S28:S30"/>
    <mergeCell ref="T28:T30"/>
    <mergeCell ref="U28:U30"/>
    <mergeCell ref="AU32:AU33"/>
    <mergeCell ref="AV32:AV33"/>
    <mergeCell ref="AP32:AP33"/>
    <mergeCell ref="AQ32:AQ33"/>
    <mergeCell ref="N32:N33"/>
    <mergeCell ref="O32:O33"/>
    <mergeCell ref="A32:A36"/>
    <mergeCell ref="B32:B36"/>
    <mergeCell ref="C32:C36"/>
    <mergeCell ref="D32:D36"/>
    <mergeCell ref="E32:E36"/>
    <mergeCell ref="F32:F36"/>
    <mergeCell ref="AN28:AN30"/>
    <mergeCell ref="AO28:AO30"/>
    <mergeCell ref="AH28:AH30"/>
    <mergeCell ref="AI28:AI30"/>
    <mergeCell ref="AJ28:AJ30"/>
    <mergeCell ref="AK28:AK30"/>
    <mergeCell ref="AL28:AL30"/>
    <mergeCell ref="AM28:AM30"/>
    <mergeCell ref="AB28:AB30"/>
    <mergeCell ref="AC28:AC30"/>
    <mergeCell ref="AD28:AD30"/>
    <mergeCell ref="AE28:AE30"/>
    <mergeCell ref="AF28:AF30"/>
    <mergeCell ref="AG28:AG30"/>
    <mergeCell ref="V28:V30"/>
    <mergeCell ref="W28:W30"/>
    <mergeCell ref="X28:X30"/>
    <mergeCell ref="G32:G36"/>
    <mergeCell ref="AT26:AT27"/>
    <mergeCell ref="AU26:AU27"/>
    <mergeCell ref="AV26:AV27"/>
    <mergeCell ref="I28:I30"/>
    <mergeCell ref="J28:J30"/>
    <mergeCell ref="K28:K30"/>
    <mergeCell ref="L28:L30"/>
    <mergeCell ref="M28:M30"/>
    <mergeCell ref="N28:N30"/>
    <mergeCell ref="O28:O30"/>
    <mergeCell ref="AN26:AN27"/>
    <mergeCell ref="AO26:AO27"/>
    <mergeCell ref="AP26:AP27"/>
    <mergeCell ref="AQ26:AQ27"/>
    <mergeCell ref="AR26:AR27"/>
    <mergeCell ref="AS26:AS27"/>
    <mergeCell ref="AH26:AH27"/>
    <mergeCell ref="AI26:AI27"/>
    <mergeCell ref="AJ26:AJ27"/>
    <mergeCell ref="AK26:AK27"/>
    <mergeCell ref="AL26:AL27"/>
    <mergeCell ref="AM26:AM27"/>
    <mergeCell ref="AB26:AB27"/>
    <mergeCell ref="AC26:AC27"/>
    <mergeCell ref="AD26:AD27"/>
    <mergeCell ref="AE26:AE27"/>
    <mergeCell ref="AF26:AF27"/>
    <mergeCell ref="AG26:AG27"/>
    <mergeCell ref="V26:V27"/>
    <mergeCell ref="W26:W27"/>
    <mergeCell ref="X26:X27"/>
    <mergeCell ref="Y26:Y27"/>
    <mergeCell ref="Z26:Z27"/>
    <mergeCell ref="AA26:AA27"/>
    <mergeCell ref="R26:R27"/>
    <mergeCell ref="S26:S27"/>
    <mergeCell ref="T26:T27"/>
    <mergeCell ref="U26:U27"/>
    <mergeCell ref="J26:J27"/>
    <mergeCell ref="K26:K27"/>
    <mergeCell ref="L26:L27"/>
    <mergeCell ref="M26:M27"/>
    <mergeCell ref="N26:N27"/>
    <mergeCell ref="O26:O27"/>
    <mergeCell ref="AV23:AV24"/>
    <mergeCell ref="A26:A30"/>
    <mergeCell ref="B26:B30"/>
    <mergeCell ref="C26:C30"/>
    <mergeCell ref="D26:D30"/>
    <mergeCell ref="E26:E30"/>
    <mergeCell ref="F26:F30"/>
    <mergeCell ref="G26:G30"/>
    <mergeCell ref="I26:I27"/>
    <mergeCell ref="AP23:AP24"/>
    <mergeCell ref="AQ23:AQ24"/>
    <mergeCell ref="AR23:AR24"/>
    <mergeCell ref="AS23:AS24"/>
    <mergeCell ref="AT23:AT24"/>
    <mergeCell ref="AU23:AU24"/>
    <mergeCell ref="AJ23:AJ24"/>
    <mergeCell ref="AK23:AK24"/>
    <mergeCell ref="AL23:AL24"/>
    <mergeCell ref="AM23:AM24"/>
    <mergeCell ref="AN23:AN24"/>
    <mergeCell ref="AO23:AO24"/>
    <mergeCell ref="AD23:AD24"/>
    <mergeCell ref="AE23:AE24"/>
    <mergeCell ref="P26:P27"/>
    <mergeCell ref="AF23:AF24"/>
    <mergeCell ref="AG23:AG24"/>
    <mergeCell ref="AH23:AH24"/>
    <mergeCell ref="AI23:AI24"/>
    <mergeCell ref="X23:X24"/>
    <mergeCell ref="Y23:Y24"/>
    <mergeCell ref="Z23:Z24"/>
    <mergeCell ref="AA23:AA24"/>
    <mergeCell ref="AB23:AB24"/>
    <mergeCell ref="AC23:AC24"/>
    <mergeCell ref="R23:R24"/>
    <mergeCell ref="S23:S24"/>
    <mergeCell ref="T23:T24"/>
    <mergeCell ref="U23:U24"/>
    <mergeCell ref="V23:V24"/>
    <mergeCell ref="W23:W24"/>
    <mergeCell ref="AV20:AV22"/>
    <mergeCell ref="I23:I24"/>
    <mergeCell ref="J23:J24"/>
    <mergeCell ref="K23:K24"/>
    <mergeCell ref="L23:L24"/>
    <mergeCell ref="M23:M24"/>
    <mergeCell ref="N23:N24"/>
    <mergeCell ref="O23:O24"/>
    <mergeCell ref="P23:P24"/>
    <mergeCell ref="Q23:Q24"/>
    <mergeCell ref="AP20:AP22"/>
    <mergeCell ref="AQ20:AQ22"/>
    <mergeCell ref="AR20:AR22"/>
    <mergeCell ref="AS20:AS22"/>
    <mergeCell ref="AT20:AT22"/>
    <mergeCell ref="AU20:AU22"/>
    <mergeCell ref="AJ20:AJ22"/>
    <mergeCell ref="AK20:AK22"/>
    <mergeCell ref="S20:S22"/>
    <mergeCell ref="T20:T22"/>
    <mergeCell ref="U20:U22"/>
    <mergeCell ref="V20:V22"/>
    <mergeCell ref="W20:W22"/>
    <mergeCell ref="AL20:AL22"/>
    <mergeCell ref="AM20:AM22"/>
    <mergeCell ref="AN20:AN22"/>
    <mergeCell ref="AO20:AO22"/>
    <mergeCell ref="AD20:AD22"/>
    <mergeCell ref="AE20:AE22"/>
    <mergeCell ref="AF20:AF22"/>
    <mergeCell ref="AG20:AG22"/>
    <mergeCell ref="AH20:AH22"/>
    <mergeCell ref="AI20:AI22"/>
    <mergeCell ref="AV16:AV18"/>
    <mergeCell ref="A20:A24"/>
    <mergeCell ref="B20:B24"/>
    <mergeCell ref="C20:C24"/>
    <mergeCell ref="D20:D24"/>
    <mergeCell ref="E20:E24"/>
    <mergeCell ref="F20:F24"/>
    <mergeCell ref="G20:G24"/>
    <mergeCell ref="I20:I22"/>
    <mergeCell ref="AP16:AP18"/>
    <mergeCell ref="AQ16:AQ18"/>
    <mergeCell ref="AR16:AR18"/>
    <mergeCell ref="AS16:AS18"/>
    <mergeCell ref="AT16:AT18"/>
    <mergeCell ref="AU16:AU18"/>
    <mergeCell ref="AJ16:AJ18"/>
    <mergeCell ref="AK16:AK18"/>
    <mergeCell ref="X20:X22"/>
    <mergeCell ref="Y20:Y22"/>
    <mergeCell ref="Z20:Z22"/>
    <mergeCell ref="AA20:AA22"/>
    <mergeCell ref="AB20:AB22"/>
    <mergeCell ref="AC20:AC22"/>
    <mergeCell ref="R20:R22"/>
    <mergeCell ref="AL16:AL18"/>
    <mergeCell ref="AM16:AM18"/>
    <mergeCell ref="AN16:AN18"/>
    <mergeCell ref="AO16:AO18"/>
    <mergeCell ref="AD16:AD18"/>
    <mergeCell ref="AE16:AE18"/>
    <mergeCell ref="AF16:AF18"/>
    <mergeCell ref="AG16:AG18"/>
    <mergeCell ref="AH16:AH18"/>
    <mergeCell ref="AI16:AI18"/>
    <mergeCell ref="X16:X18"/>
    <mergeCell ref="Y16:Y18"/>
    <mergeCell ref="Z16:Z18"/>
    <mergeCell ref="AA16:AA18"/>
    <mergeCell ref="AB16:AB18"/>
    <mergeCell ref="AC16:AC18"/>
    <mergeCell ref="R16:R18"/>
    <mergeCell ref="S16:S18"/>
    <mergeCell ref="T16:T18"/>
    <mergeCell ref="U16:U18"/>
    <mergeCell ref="V16:V18"/>
    <mergeCell ref="W16:W18"/>
    <mergeCell ref="AV14:AV15"/>
    <mergeCell ref="I16:I18"/>
    <mergeCell ref="J16:J18"/>
    <mergeCell ref="K16:K18"/>
    <mergeCell ref="L16:L18"/>
    <mergeCell ref="M16:M18"/>
    <mergeCell ref="N16:N18"/>
    <mergeCell ref="O16:O18"/>
    <mergeCell ref="P16:P18"/>
    <mergeCell ref="Q16:Q18"/>
    <mergeCell ref="AP14:AP15"/>
    <mergeCell ref="AQ14:AQ15"/>
    <mergeCell ref="AR14:AR15"/>
    <mergeCell ref="AS14:AS15"/>
    <mergeCell ref="AT14:AT15"/>
    <mergeCell ref="AU14:AU15"/>
    <mergeCell ref="AJ14:AJ15"/>
    <mergeCell ref="AK14:AK15"/>
    <mergeCell ref="AL14:AL15"/>
    <mergeCell ref="AM14:AM15"/>
    <mergeCell ref="AN14:AN15"/>
    <mergeCell ref="AO14:AO15"/>
    <mergeCell ref="AD14:AD15"/>
    <mergeCell ref="AE14:AE15"/>
    <mergeCell ref="AF14:AF15"/>
    <mergeCell ref="AG14:AG15"/>
    <mergeCell ref="AH14:AH15"/>
    <mergeCell ref="AI14:AI15"/>
    <mergeCell ref="X14:X15"/>
    <mergeCell ref="Y14:Y15"/>
    <mergeCell ref="Z14:Z15"/>
    <mergeCell ref="AA14:AA15"/>
    <mergeCell ref="AB14:AB15"/>
    <mergeCell ref="AC14:AC15"/>
    <mergeCell ref="S14:S15"/>
    <mergeCell ref="T14:T15"/>
    <mergeCell ref="U14:U15"/>
    <mergeCell ref="V14:V15"/>
    <mergeCell ref="W14:W15"/>
    <mergeCell ref="L14:L15"/>
    <mergeCell ref="M14:M15"/>
    <mergeCell ref="N14:N15"/>
    <mergeCell ref="O14:O15"/>
    <mergeCell ref="P14:P15"/>
    <mergeCell ref="Q14:Q15"/>
    <mergeCell ref="AV10:AV12"/>
    <mergeCell ref="A14:A18"/>
    <mergeCell ref="B14:B18"/>
    <mergeCell ref="C14:C18"/>
    <mergeCell ref="D14:D18"/>
    <mergeCell ref="E14:E18"/>
    <mergeCell ref="F14:F18"/>
    <mergeCell ref="G14:G18"/>
    <mergeCell ref="I14:I15"/>
    <mergeCell ref="AP10:AP12"/>
    <mergeCell ref="AQ10:AQ12"/>
    <mergeCell ref="AR10:AR12"/>
    <mergeCell ref="AS10:AS12"/>
    <mergeCell ref="AT10:AT12"/>
    <mergeCell ref="AU10:AU12"/>
    <mergeCell ref="AJ10:AJ12"/>
    <mergeCell ref="AK10:AK12"/>
    <mergeCell ref="AL10:AL12"/>
    <mergeCell ref="AM10:AM12"/>
    <mergeCell ref="AN10:AN12"/>
    <mergeCell ref="AO10:AO12"/>
    <mergeCell ref="AD10:AD12"/>
    <mergeCell ref="AE10:AE12"/>
    <mergeCell ref="R14:R15"/>
    <mergeCell ref="AF10:AF12"/>
    <mergeCell ref="AG10:AG12"/>
    <mergeCell ref="AH10:AH12"/>
    <mergeCell ref="AI10:AI12"/>
    <mergeCell ref="X10:X12"/>
    <mergeCell ref="Y10:Y12"/>
    <mergeCell ref="Z10:Z12"/>
    <mergeCell ref="AA10:AA12"/>
    <mergeCell ref="AB10:AB12"/>
    <mergeCell ref="AC10:AC12"/>
    <mergeCell ref="R10:R12"/>
    <mergeCell ref="S10:S12"/>
    <mergeCell ref="T10:T12"/>
    <mergeCell ref="U10:U12"/>
    <mergeCell ref="V10:V12"/>
    <mergeCell ref="W10:W12"/>
    <mergeCell ref="AV8:AV9"/>
    <mergeCell ref="I10:I12"/>
    <mergeCell ref="J10:J12"/>
    <mergeCell ref="K10:K12"/>
    <mergeCell ref="L10:L12"/>
    <mergeCell ref="M10:M12"/>
    <mergeCell ref="N10:N12"/>
    <mergeCell ref="O10:O12"/>
    <mergeCell ref="P10:P12"/>
    <mergeCell ref="Q10:Q12"/>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N8:N9"/>
    <mergeCell ref="O8:O9"/>
    <mergeCell ref="P8:P9"/>
    <mergeCell ref="Q8:Q9"/>
    <mergeCell ref="F8:F12"/>
    <mergeCell ref="G8:G12"/>
    <mergeCell ref="H8:H51"/>
    <mergeCell ref="I8:I9"/>
    <mergeCell ref="J8:J9"/>
    <mergeCell ref="K8:K9"/>
    <mergeCell ref="J14:J15"/>
    <mergeCell ref="K14:K15"/>
    <mergeCell ref="J20:J22"/>
    <mergeCell ref="K20:K22"/>
    <mergeCell ref="L20:L22"/>
    <mergeCell ref="M20:M22"/>
    <mergeCell ref="N20:N22"/>
    <mergeCell ref="O20:O22"/>
    <mergeCell ref="P20:P22"/>
    <mergeCell ref="Q20:Q22"/>
    <mergeCell ref="Q26:Q27"/>
    <mergeCell ref="I32:I33"/>
    <mergeCell ref="J32:J33"/>
    <mergeCell ref="K32:K33"/>
    <mergeCell ref="A8:A12"/>
    <mergeCell ref="B8:B12"/>
    <mergeCell ref="C8:C12"/>
    <mergeCell ref="D8:D12"/>
    <mergeCell ref="E8:E12"/>
    <mergeCell ref="BU6:BW6"/>
    <mergeCell ref="BX6:BZ6"/>
    <mergeCell ref="CA6:CC6"/>
    <mergeCell ref="AK6:AM6"/>
    <mergeCell ref="AN6:AP6"/>
    <mergeCell ref="AQ6:AS6"/>
    <mergeCell ref="AT6:AV6"/>
    <mergeCell ref="AW6:AY6"/>
    <mergeCell ref="AZ6:BB6"/>
    <mergeCell ref="S6:U6"/>
    <mergeCell ref="V6:X6"/>
    <mergeCell ref="Y6:AA6"/>
    <mergeCell ref="AB6:AD6"/>
    <mergeCell ref="AE6:AG6"/>
    <mergeCell ref="AH6:AJ6"/>
    <mergeCell ref="D6:E6"/>
    <mergeCell ref="F6:I6"/>
    <mergeCell ref="L8:L9"/>
    <mergeCell ref="M8:M9"/>
    <mergeCell ref="J6:L6"/>
    <mergeCell ref="M6:O6"/>
    <mergeCell ref="P6:R6"/>
    <mergeCell ref="CD6:CF6"/>
    <mergeCell ref="CG6:CI6"/>
    <mergeCell ref="CJ6:CK6"/>
    <mergeCell ref="BC6:BE6"/>
    <mergeCell ref="BF6:BH6"/>
    <mergeCell ref="BI6:BK6"/>
    <mergeCell ref="BL6:BN6"/>
    <mergeCell ref="BO6:BQ6"/>
    <mergeCell ref="BR6:BT6"/>
  </mergeCells>
  <pageMargins left="0.75" right="0.75" top="1" bottom="1" header="0.5" footer="0.5"/>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0FE92-AC19-415C-8C2E-BD0C3D74DC5D}">
  <sheetPr>
    <tabColor theme="9" tint="-0.249977111117893"/>
  </sheetPr>
  <dimension ref="A1:FR53"/>
  <sheetViews>
    <sheetView showGridLines="0" topLeftCell="B6" zoomScale="80" zoomScaleNormal="80" workbookViewId="0">
      <pane xSplit="4" ySplit="2" topLeftCell="F8" activePane="bottomRight" state="frozen"/>
      <selection activeCell="B6" sqref="B6"/>
      <selection pane="topRight" activeCell="G6" sqref="G6"/>
      <selection pane="bottomLeft" activeCell="B8" sqref="B8"/>
      <selection pane="bottomRight" activeCell="C3" sqref="C3"/>
    </sheetView>
  </sheetViews>
  <sheetFormatPr baseColWidth="10" defaultColWidth="11.42578125" defaultRowHeight="15" x14ac:dyDescent="0.25"/>
  <cols>
    <col min="1" max="1" width="45.42578125" customWidth="1"/>
    <col min="2" max="2" width="45.7109375" bestFit="1" customWidth="1"/>
    <col min="3" max="3" width="19.42578125" style="3" customWidth="1"/>
    <col min="4" max="4" width="17.7109375" style="3" customWidth="1"/>
    <col min="5" max="5" width="23.85546875" style="3" customWidth="1"/>
    <col min="6" max="6" width="15.42578125" style="3" bestFit="1" customWidth="1"/>
    <col min="7" max="7" width="45.7109375" style="3" bestFit="1" customWidth="1"/>
    <col min="8" max="8" width="19.42578125" style="1" customWidth="1"/>
    <col min="9" max="9" width="15.42578125" style="1" customWidth="1"/>
    <col min="10" max="11" width="45.7109375" style="3" bestFit="1" customWidth="1"/>
    <col min="12" max="12" width="17.7109375" style="5" bestFit="1" customWidth="1"/>
    <col min="13" max="13" width="15.28515625" style="3" customWidth="1"/>
    <col min="14" max="14" width="23.42578125" style="64" customWidth="1"/>
    <col min="15" max="15" width="26.140625" style="5" customWidth="1"/>
    <col min="16" max="16" width="15.28515625" style="3" customWidth="1"/>
    <col min="17" max="17" width="23.42578125" style="64" customWidth="1"/>
    <col min="18" max="18" width="17.7109375" style="5" bestFit="1" customWidth="1"/>
    <col min="19" max="19" width="15.28515625" style="3" customWidth="1"/>
    <col min="20" max="20" width="23.42578125" style="64" customWidth="1"/>
    <col min="21" max="21" width="17.7109375" style="5" bestFit="1" customWidth="1"/>
    <col min="22" max="22" width="15.28515625" style="3" customWidth="1"/>
    <col min="23" max="23" width="23.42578125" style="64" customWidth="1"/>
    <col min="24" max="24" width="26.140625" style="5" customWidth="1"/>
    <col min="25" max="25" width="15.28515625" style="3" customWidth="1"/>
    <col min="26" max="26" width="23.42578125" style="64" customWidth="1"/>
    <col min="27" max="27" width="17.7109375" style="5" bestFit="1" customWidth="1"/>
    <col min="28" max="28" width="15.28515625" style="3" customWidth="1"/>
    <col min="29" max="29" width="23.42578125" style="64" customWidth="1"/>
    <col min="30" max="30" width="17.7109375" style="5" bestFit="1" customWidth="1"/>
    <col min="31" max="31" width="15.28515625" style="3" customWidth="1"/>
    <col min="32" max="32" width="23.42578125" style="64" customWidth="1"/>
    <col min="33" max="33" width="26.140625" style="5" customWidth="1"/>
    <col min="34" max="34" width="15.28515625" style="3" customWidth="1"/>
    <col min="35" max="35" width="23.42578125" style="64" customWidth="1"/>
    <col min="36" max="36" width="17.7109375" style="5" bestFit="1" customWidth="1"/>
    <col min="37" max="37" width="15.28515625" style="3" customWidth="1"/>
    <col min="38" max="38" width="23.42578125" style="64" customWidth="1"/>
    <col min="39" max="39" width="17.7109375" style="5" bestFit="1" customWidth="1"/>
    <col min="40" max="40" width="15.28515625" style="3" customWidth="1"/>
    <col min="41" max="41" width="23.42578125" style="64" customWidth="1"/>
    <col min="42" max="42" width="26.140625" style="5" customWidth="1"/>
    <col min="43" max="43" width="15.28515625" style="3" customWidth="1"/>
    <col min="44" max="44" width="23.42578125" style="64" customWidth="1"/>
    <col min="45" max="45" width="17.7109375" style="5" bestFit="1" customWidth="1"/>
    <col min="46" max="46" width="15.28515625" style="3" customWidth="1"/>
    <col min="47" max="47" width="23.42578125" style="64" customWidth="1"/>
    <col min="48" max="48" width="17.7109375" style="5" bestFit="1" customWidth="1"/>
    <col min="49" max="50" width="45.7109375" style="2" bestFit="1" customWidth="1"/>
    <col min="51" max="51" width="15.28515625" style="6" bestFit="1" customWidth="1"/>
    <col min="52" max="52" width="15.28515625" style="3" customWidth="1"/>
    <col min="53" max="53" width="23.42578125" style="64" customWidth="1"/>
    <col min="54" max="54" width="32.28515625" style="5" customWidth="1"/>
    <col min="55" max="55" width="15.28515625" style="3" customWidth="1"/>
    <col min="56" max="56" width="23.42578125" style="64" customWidth="1"/>
    <col min="57" max="57" width="26.42578125" style="5" customWidth="1"/>
    <col min="58" max="58" width="15.28515625" style="3" customWidth="1"/>
    <col min="59" max="59" width="23.42578125" style="64" customWidth="1"/>
    <col min="60" max="60" width="30.28515625" style="5" customWidth="1"/>
    <col min="61" max="61" width="15.28515625" style="3" customWidth="1"/>
    <col min="62" max="62" width="23.42578125" style="64" customWidth="1"/>
    <col min="63" max="63" width="32.28515625" style="5" customWidth="1"/>
    <col min="64" max="64" width="15.28515625" style="3" customWidth="1"/>
    <col min="65" max="65" width="23.42578125" style="64" customWidth="1"/>
    <col min="66" max="66" width="26.42578125" style="5" customWidth="1"/>
    <col min="67" max="67" width="15.28515625" style="3" customWidth="1"/>
    <col min="68" max="68" width="23.42578125" style="64" customWidth="1"/>
    <col min="69" max="69" width="30.28515625" style="5" customWidth="1"/>
    <col min="70" max="70" width="15.28515625" style="3" customWidth="1"/>
    <col min="71" max="71" width="23.42578125" style="64" customWidth="1"/>
    <col min="72" max="72" width="32.28515625" style="5" customWidth="1"/>
    <col min="73" max="73" width="15.28515625" style="3" customWidth="1"/>
    <col min="74" max="74" width="23.42578125" style="64" customWidth="1"/>
    <col min="75" max="75" width="26.42578125" style="5" customWidth="1"/>
    <col min="76" max="76" width="15.28515625" style="3" customWidth="1"/>
    <col min="77" max="77" width="23.42578125" style="64" customWidth="1"/>
    <col min="78" max="78" width="30.28515625" style="5" customWidth="1"/>
    <col min="79" max="79" width="15.28515625" style="3" customWidth="1"/>
    <col min="80" max="80" width="23.42578125" style="64" customWidth="1"/>
    <col min="81" max="81" width="32.28515625" style="5" customWidth="1"/>
    <col min="82" max="82" width="15.28515625" style="3" customWidth="1"/>
    <col min="83" max="83" width="23.42578125" style="64" customWidth="1"/>
    <col min="84" max="84" width="26.42578125" style="5" customWidth="1"/>
    <col min="85" max="85" width="15.28515625" style="3" customWidth="1"/>
    <col min="86" max="86" width="23.42578125" style="64" customWidth="1"/>
    <col min="87" max="87" width="30.28515625" style="5" customWidth="1"/>
    <col min="88" max="88" width="30.140625" style="10" bestFit="1" customWidth="1"/>
    <col min="89" max="89" width="45.7109375" style="10" bestFit="1" customWidth="1"/>
    <col min="90" max="174" width="11.42578125" style="7"/>
  </cols>
  <sheetData>
    <row r="1" spans="1:174" x14ac:dyDescent="0.25">
      <c r="H1"/>
      <c r="I1"/>
      <c r="AY1" s="111"/>
    </row>
    <row r="2" spans="1:174" x14ac:dyDescent="0.25">
      <c r="H2"/>
      <c r="I2"/>
      <c r="AY2" s="111"/>
    </row>
    <row r="3" spans="1:174" x14ac:dyDescent="0.25">
      <c r="H3"/>
      <c r="I3"/>
      <c r="AY3" s="111"/>
    </row>
    <row r="4" spans="1:174" x14ac:dyDescent="0.25">
      <c r="H4"/>
      <c r="I4"/>
      <c r="AY4" s="111"/>
    </row>
    <row r="5" spans="1:174" x14ac:dyDescent="0.25">
      <c r="H5"/>
      <c r="I5"/>
      <c r="N5" s="65"/>
      <c r="Q5" s="65"/>
      <c r="T5" s="65"/>
      <c r="W5" s="65"/>
      <c r="Z5" s="65"/>
      <c r="AC5" s="65"/>
      <c r="AF5" s="65"/>
      <c r="AI5" s="65"/>
      <c r="AL5" s="65"/>
      <c r="AO5" s="65"/>
      <c r="AR5" s="65"/>
      <c r="AU5" s="65"/>
      <c r="AY5" s="111"/>
      <c r="BA5" s="65"/>
      <c r="BD5" s="65"/>
      <c r="BG5" s="65"/>
      <c r="BJ5" s="65"/>
      <c r="BM5" s="65"/>
      <c r="BP5" s="65"/>
      <c r="BS5" s="65"/>
      <c r="BV5" s="65"/>
      <c r="BY5" s="65"/>
      <c r="CB5" s="65"/>
      <c r="CE5" s="65"/>
      <c r="CH5" s="65"/>
    </row>
    <row r="6" spans="1:174" s="9" customFormat="1" ht="30" x14ac:dyDescent="0.2">
      <c r="A6" s="123" t="s">
        <v>59</v>
      </c>
      <c r="B6" s="123" t="s">
        <v>60</v>
      </c>
      <c r="C6" s="318"/>
      <c r="D6" s="358" t="s">
        <v>61</v>
      </c>
      <c r="E6" s="359"/>
      <c r="F6" s="358" t="s">
        <v>62</v>
      </c>
      <c r="G6" s="360"/>
      <c r="H6" s="360"/>
      <c r="I6" s="359"/>
      <c r="J6" s="361" t="s">
        <v>63</v>
      </c>
      <c r="K6" s="361"/>
      <c r="L6" s="361"/>
      <c r="M6" s="362" t="s">
        <v>2</v>
      </c>
      <c r="N6" s="363"/>
      <c r="O6" s="364"/>
      <c r="P6" s="362" t="s">
        <v>3</v>
      </c>
      <c r="Q6" s="363"/>
      <c r="R6" s="364"/>
      <c r="S6" s="362" t="s">
        <v>4</v>
      </c>
      <c r="T6" s="363"/>
      <c r="U6" s="364"/>
      <c r="V6" s="362" t="s">
        <v>830</v>
      </c>
      <c r="W6" s="363"/>
      <c r="X6" s="364"/>
      <c r="Y6" s="362" t="s">
        <v>831</v>
      </c>
      <c r="Z6" s="363"/>
      <c r="AA6" s="364"/>
      <c r="AB6" s="362" t="s">
        <v>832</v>
      </c>
      <c r="AC6" s="363"/>
      <c r="AD6" s="364"/>
      <c r="AE6" s="362" t="s">
        <v>1026</v>
      </c>
      <c r="AF6" s="363"/>
      <c r="AG6" s="364"/>
      <c r="AH6" s="362" t="s">
        <v>1027</v>
      </c>
      <c r="AI6" s="363"/>
      <c r="AJ6" s="364"/>
      <c r="AK6" s="362" t="s">
        <v>1028</v>
      </c>
      <c r="AL6" s="363"/>
      <c r="AM6" s="364"/>
      <c r="AN6" s="362" t="s">
        <v>1029</v>
      </c>
      <c r="AO6" s="363"/>
      <c r="AP6" s="364"/>
      <c r="AQ6" s="362" t="s">
        <v>1030</v>
      </c>
      <c r="AR6" s="363"/>
      <c r="AS6" s="364"/>
      <c r="AT6" s="362" t="s">
        <v>1701</v>
      </c>
      <c r="AU6" s="363"/>
      <c r="AV6" s="364"/>
      <c r="AW6" s="410" t="s">
        <v>64</v>
      </c>
      <c r="AX6" s="410"/>
      <c r="AY6" s="410"/>
      <c r="AZ6" s="387" t="s">
        <v>2</v>
      </c>
      <c r="BA6" s="388"/>
      <c r="BB6" s="389"/>
      <c r="BC6" s="387" t="s">
        <v>3</v>
      </c>
      <c r="BD6" s="388"/>
      <c r="BE6" s="389"/>
      <c r="BF6" s="387" t="s">
        <v>4</v>
      </c>
      <c r="BG6" s="388"/>
      <c r="BH6" s="389"/>
      <c r="BI6" s="387" t="s">
        <v>830</v>
      </c>
      <c r="BJ6" s="388"/>
      <c r="BK6" s="389"/>
      <c r="BL6" s="387" t="s">
        <v>831</v>
      </c>
      <c r="BM6" s="388"/>
      <c r="BN6" s="389"/>
      <c r="BO6" s="387" t="s">
        <v>832</v>
      </c>
      <c r="BP6" s="388"/>
      <c r="BQ6" s="389"/>
      <c r="BR6" s="387" t="s">
        <v>1026</v>
      </c>
      <c r="BS6" s="388"/>
      <c r="BT6" s="389"/>
      <c r="BU6" s="387" t="s">
        <v>1027</v>
      </c>
      <c r="BV6" s="388"/>
      <c r="BW6" s="389"/>
      <c r="BX6" s="387" t="s">
        <v>1028</v>
      </c>
      <c r="BY6" s="388"/>
      <c r="BZ6" s="389"/>
      <c r="CA6" s="387" t="s">
        <v>1029</v>
      </c>
      <c r="CB6" s="388"/>
      <c r="CC6" s="389"/>
      <c r="CD6" s="387" t="s">
        <v>1030</v>
      </c>
      <c r="CE6" s="388"/>
      <c r="CF6" s="389"/>
      <c r="CG6" s="387" t="s">
        <v>1701</v>
      </c>
      <c r="CH6" s="388"/>
      <c r="CI6" s="389"/>
      <c r="CJ6" s="361" t="s">
        <v>65</v>
      </c>
      <c r="CK6" s="361"/>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row>
    <row r="7" spans="1:174" s="9" customFormat="1" ht="49.5" customHeight="1" x14ac:dyDescent="0.2">
      <c r="A7" s="123" t="s">
        <v>66</v>
      </c>
      <c r="B7" s="123" t="s">
        <v>67</v>
      </c>
      <c r="C7" s="123" t="s">
        <v>68</v>
      </c>
      <c r="D7" s="123" t="s">
        <v>69</v>
      </c>
      <c r="E7" s="123" t="s">
        <v>70</v>
      </c>
      <c r="F7" s="123" t="s">
        <v>71</v>
      </c>
      <c r="G7" s="123" t="s">
        <v>72</v>
      </c>
      <c r="H7" s="12" t="s">
        <v>73</v>
      </c>
      <c r="I7" s="12" t="s">
        <v>74</v>
      </c>
      <c r="J7" s="123" t="s">
        <v>63</v>
      </c>
      <c r="K7" s="123" t="s">
        <v>75</v>
      </c>
      <c r="L7" s="123" t="s">
        <v>76</v>
      </c>
      <c r="M7" s="123" t="s">
        <v>77</v>
      </c>
      <c r="N7" s="66" t="s">
        <v>78</v>
      </c>
      <c r="O7" s="123" t="s">
        <v>79</v>
      </c>
      <c r="P7" s="123" t="s">
        <v>77</v>
      </c>
      <c r="Q7" s="66" t="s">
        <v>78</v>
      </c>
      <c r="R7" s="123" t="s">
        <v>79</v>
      </c>
      <c r="S7" s="123" t="s">
        <v>77</v>
      </c>
      <c r="T7" s="66" t="s">
        <v>78</v>
      </c>
      <c r="U7" s="123" t="s">
        <v>79</v>
      </c>
      <c r="V7" s="141" t="s">
        <v>77</v>
      </c>
      <c r="W7" s="66" t="s">
        <v>78</v>
      </c>
      <c r="X7" s="141" t="s">
        <v>79</v>
      </c>
      <c r="Y7" s="141" t="s">
        <v>77</v>
      </c>
      <c r="Z7" s="66" t="s">
        <v>78</v>
      </c>
      <c r="AA7" s="141" t="s">
        <v>79</v>
      </c>
      <c r="AB7" s="141" t="s">
        <v>77</v>
      </c>
      <c r="AC7" s="66" t="s">
        <v>78</v>
      </c>
      <c r="AD7" s="141" t="s">
        <v>79</v>
      </c>
      <c r="AE7" s="218" t="s">
        <v>77</v>
      </c>
      <c r="AF7" s="66" t="s">
        <v>78</v>
      </c>
      <c r="AG7" s="218" t="s">
        <v>79</v>
      </c>
      <c r="AH7" s="218" t="s">
        <v>77</v>
      </c>
      <c r="AI7" s="66" t="s">
        <v>78</v>
      </c>
      <c r="AJ7" s="218" t="s">
        <v>79</v>
      </c>
      <c r="AK7" s="218" t="s">
        <v>77</v>
      </c>
      <c r="AL7" s="66" t="s">
        <v>78</v>
      </c>
      <c r="AM7" s="218" t="s">
        <v>79</v>
      </c>
      <c r="AN7" s="262" t="s">
        <v>77</v>
      </c>
      <c r="AO7" s="66" t="s">
        <v>78</v>
      </c>
      <c r="AP7" s="262" t="s">
        <v>79</v>
      </c>
      <c r="AQ7" s="262" t="s">
        <v>77</v>
      </c>
      <c r="AR7" s="66" t="s">
        <v>78</v>
      </c>
      <c r="AS7" s="262" t="s">
        <v>79</v>
      </c>
      <c r="AT7" s="262" t="s">
        <v>77</v>
      </c>
      <c r="AU7" s="66" t="s">
        <v>78</v>
      </c>
      <c r="AV7" s="262" t="s">
        <v>79</v>
      </c>
      <c r="AW7" s="213" t="s">
        <v>64</v>
      </c>
      <c r="AX7" s="213" t="s">
        <v>80</v>
      </c>
      <c r="AY7" s="213" t="s">
        <v>81</v>
      </c>
      <c r="AZ7" s="213" t="s">
        <v>77</v>
      </c>
      <c r="BA7" s="214" t="s">
        <v>78</v>
      </c>
      <c r="BB7" s="213" t="s">
        <v>79</v>
      </c>
      <c r="BC7" s="213" t="s">
        <v>77</v>
      </c>
      <c r="BD7" s="214" t="s">
        <v>78</v>
      </c>
      <c r="BE7" s="213" t="s">
        <v>79</v>
      </c>
      <c r="BF7" s="213" t="s">
        <v>77</v>
      </c>
      <c r="BG7" s="214" t="s">
        <v>78</v>
      </c>
      <c r="BH7" s="213" t="s">
        <v>79</v>
      </c>
      <c r="BI7" s="213" t="s">
        <v>77</v>
      </c>
      <c r="BJ7" s="214" t="s">
        <v>78</v>
      </c>
      <c r="BK7" s="213" t="s">
        <v>79</v>
      </c>
      <c r="BL7" s="213" t="s">
        <v>77</v>
      </c>
      <c r="BM7" s="214" t="s">
        <v>78</v>
      </c>
      <c r="BN7" s="213" t="s">
        <v>79</v>
      </c>
      <c r="BO7" s="213" t="s">
        <v>77</v>
      </c>
      <c r="BP7" s="214" t="s">
        <v>78</v>
      </c>
      <c r="BQ7" s="213" t="s">
        <v>79</v>
      </c>
      <c r="BR7" s="221" t="s">
        <v>77</v>
      </c>
      <c r="BS7" s="214" t="s">
        <v>78</v>
      </c>
      <c r="BT7" s="221" t="s">
        <v>79</v>
      </c>
      <c r="BU7" s="221" t="s">
        <v>77</v>
      </c>
      <c r="BV7" s="214" t="s">
        <v>78</v>
      </c>
      <c r="BW7" s="221" t="s">
        <v>79</v>
      </c>
      <c r="BX7" s="221" t="s">
        <v>77</v>
      </c>
      <c r="BY7" s="214" t="s">
        <v>78</v>
      </c>
      <c r="BZ7" s="221" t="s">
        <v>79</v>
      </c>
      <c r="CA7" s="269" t="s">
        <v>77</v>
      </c>
      <c r="CB7" s="214" t="s">
        <v>78</v>
      </c>
      <c r="CC7" s="269" t="s">
        <v>79</v>
      </c>
      <c r="CD7" s="269" t="s">
        <v>77</v>
      </c>
      <c r="CE7" s="214" t="s">
        <v>78</v>
      </c>
      <c r="CF7" s="269" t="s">
        <v>79</v>
      </c>
      <c r="CG7" s="269" t="s">
        <v>77</v>
      </c>
      <c r="CH7" s="214" t="s">
        <v>78</v>
      </c>
      <c r="CI7" s="269" t="s">
        <v>79</v>
      </c>
      <c r="CJ7" s="123" t="s">
        <v>82</v>
      </c>
      <c r="CK7" s="123" t="s">
        <v>83</v>
      </c>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row>
    <row r="8" spans="1:174" s="4" customFormat="1" ht="33.75" customHeight="1" x14ac:dyDescent="0.2">
      <c r="A8" s="368" t="s">
        <v>84</v>
      </c>
      <c r="B8" s="368" t="s">
        <v>274</v>
      </c>
      <c r="C8" s="393" t="s">
        <v>2719</v>
      </c>
      <c r="D8" s="368" t="s">
        <v>41</v>
      </c>
      <c r="E8" s="373" t="s">
        <v>371</v>
      </c>
      <c r="F8" s="368" t="s">
        <v>88</v>
      </c>
      <c r="G8" s="368" t="s">
        <v>276</v>
      </c>
      <c r="H8" s="374">
        <v>39701515707</v>
      </c>
      <c r="I8" s="434">
        <v>5338797468</v>
      </c>
      <c r="J8" s="368" t="s">
        <v>372</v>
      </c>
      <c r="K8" s="368" t="s">
        <v>373</v>
      </c>
      <c r="L8" s="393">
        <v>254</v>
      </c>
      <c r="M8" s="462">
        <v>8</v>
      </c>
      <c r="N8" s="366">
        <f>+M8/L8</f>
        <v>3.1496062992125984E-2</v>
      </c>
      <c r="O8" s="378" t="s">
        <v>374</v>
      </c>
      <c r="P8" s="484">
        <v>13</v>
      </c>
      <c r="Q8" s="366">
        <f>+P8/L8</f>
        <v>5.1181102362204724E-2</v>
      </c>
      <c r="R8" s="378" t="s">
        <v>375</v>
      </c>
      <c r="S8" s="484">
        <v>34</v>
      </c>
      <c r="T8" s="366">
        <f>+S8/L8</f>
        <v>0.13385826771653545</v>
      </c>
      <c r="U8" s="378" t="s">
        <v>376</v>
      </c>
      <c r="V8" s="462">
        <v>55</v>
      </c>
      <c r="W8" s="366">
        <v>0.22448979591836735</v>
      </c>
      <c r="X8" s="378" t="s">
        <v>1081</v>
      </c>
      <c r="Y8" s="484">
        <v>77</v>
      </c>
      <c r="Z8" s="366">
        <v>0.31428571428571428</v>
      </c>
      <c r="AA8" s="378" t="s">
        <v>1118</v>
      </c>
      <c r="AB8" s="484">
        <v>95</v>
      </c>
      <c r="AC8" s="366">
        <v>0.38775510204081631</v>
      </c>
      <c r="AD8" s="378" t="s">
        <v>1154</v>
      </c>
      <c r="AE8" s="462">
        <v>115</v>
      </c>
      <c r="AF8" s="366">
        <v>0.46938775510204084</v>
      </c>
      <c r="AG8" s="378" t="s">
        <v>1334</v>
      </c>
      <c r="AH8" s="484">
        <v>128</v>
      </c>
      <c r="AI8" s="366">
        <v>0.52244897959183678</v>
      </c>
      <c r="AJ8" s="378" t="s">
        <v>1381</v>
      </c>
      <c r="AK8" s="484">
        <v>138</v>
      </c>
      <c r="AL8" s="366">
        <v>0.54330708661417326</v>
      </c>
      <c r="AM8" s="378" t="s">
        <v>1412</v>
      </c>
      <c r="AN8" s="462">
        <v>147</v>
      </c>
      <c r="AO8" s="366">
        <v>0.57999999999999996</v>
      </c>
      <c r="AP8" s="378" t="s">
        <v>1986</v>
      </c>
      <c r="AQ8" s="484">
        <v>169</v>
      </c>
      <c r="AR8" s="366">
        <v>0.67</v>
      </c>
      <c r="AS8" s="378" t="s">
        <v>2018</v>
      </c>
      <c r="AT8" s="484">
        <v>249</v>
      </c>
      <c r="AU8" s="366">
        <v>0.98</v>
      </c>
      <c r="AV8" s="378" t="s">
        <v>2060</v>
      </c>
      <c r="AW8" s="11" t="s">
        <v>377</v>
      </c>
      <c r="AX8" s="11" t="s">
        <v>378</v>
      </c>
      <c r="AY8" s="125">
        <v>183</v>
      </c>
      <c r="AZ8" s="121">
        <v>2</v>
      </c>
      <c r="BA8" s="129">
        <f>+AZ8/AY8</f>
        <v>1.092896174863388E-2</v>
      </c>
      <c r="BB8" s="60" t="s">
        <v>379</v>
      </c>
      <c r="BC8" s="121">
        <v>21</v>
      </c>
      <c r="BD8" s="129">
        <v>0.11475409836065574</v>
      </c>
      <c r="BE8" s="60" t="s">
        <v>380</v>
      </c>
      <c r="BF8" s="121">
        <v>38</v>
      </c>
      <c r="BG8" s="129">
        <v>0.20765027322404372</v>
      </c>
      <c r="BH8" s="60" t="s">
        <v>381</v>
      </c>
      <c r="BI8" s="121">
        <v>51</v>
      </c>
      <c r="BJ8" s="144">
        <v>0.27868852459016391</v>
      </c>
      <c r="BK8" s="60" t="s">
        <v>1093</v>
      </c>
      <c r="BL8" s="121">
        <v>64</v>
      </c>
      <c r="BM8" s="144">
        <v>0.34972677595628415</v>
      </c>
      <c r="BN8" s="60" t="s">
        <v>1130</v>
      </c>
      <c r="BO8" s="121">
        <v>79</v>
      </c>
      <c r="BP8" s="144">
        <v>0.43169398907103823</v>
      </c>
      <c r="BQ8" s="60" t="s">
        <v>1172</v>
      </c>
      <c r="BR8" s="121">
        <v>99</v>
      </c>
      <c r="BS8" s="223">
        <v>0.54098360655737709</v>
      </c>
      <c r="BT8" s="60" t="s">
        <v>1351</v>
      </c>
      <c r="BU8" s="121">
        <v>109</v>
      </c>
      <c r="BV8" s="223">
        <v>0.59562841530054644</v>
      </c>
      <c r="BW8" s="60" t="s">
        <v>1392</v>
      </c>
      <c r="BX8" s="121">
        <v>127</v>
      </c>
      <c r="BY8" s="223">
        <v>0.69398907103825136</v>
      </c>
      <c r="BZ8" s="60" t="s">
        <v>1429</v>
      </c>
      <c r="CA8" s="121">
        <v>138</v>
      </c>
      <c r="CB8" s="279">
        <v>0.75</v>
      </c>
      <c r="CC8" s="60" t="s">
        <v>1997</v>
      </c>
      <c r="CD8" s="121">
        <v>156</v>
      </c>
      <c r="CE8" s="279">
        <v>0.85</v>
      </c>
      <c r="CF8" s="60" t="s">
        <v>2034</v>
      </c>
      <c r="CG8" s="121">
        <v>173</v>
      </c>
      <c r="CH8" s="279">
        <v>0.95</v>
      </c>
      <c r="CI8" s="60" t="s">
        <v>2071</v>
      </c>
      <c r="CJ8" s="11" t="s">
        <v>106</v>
      </c>
      <c r="CK8" s="11" t="s">
        <v>107</v>
      </c>
    </row>
    <row r="9" spans="1:174" s="4" customFormat="1" ht="33.75" customHeight="1" x14ac:dyDescent="0.2">
      <c r="A9" s="368"/>
      <c r="B9" s="368"/>
      <c r="C9" s="393"/>
      <c r="D9" s="368"/>
      <c r="E9" s="373"/>
      <c r="F9" s="368"/>
      <c r="G9" s="368"/>
      <c r="H9" s="401"/>
      <c r="I9" s="434"/>
      <c r="J9" s="368" t="s">
        <v>372</v>
      </c>
      <c r="K9" s="368" t="s">
        <v>373</v>
      </c>
      <c r="L9" s="393">
        <v>245</v>
      </c>
      <c r="M9" s="487"/>
      <c r="N9" s="402"/>
      <c r="O9" s="379"/>
      <c r="P9" s="485"/>
      <c r="Q9" s="402"/>
      <c r="R9" s="379"/>
      <c r="S9" s="485"/>
      <c r="T9" s="402"/>
      <c r="U9" s="379"/>
      <c r="V9" s="487"/>
      <c r="W9" s="402"/>
      <c r="X9" s="379"/>
      <c r="Y9" s="485"/>
      <c r="Z9" s="402"/>
      <c r="AA9" s="379"/>
      <c r="AB9" s="485"/>
      <c r="AC9" s="402"/>
      <c r="AD9" s="379"/>
      <c r="AE9" s="487"/>
      <c r="AF9" s="402"/>
      <c r="AG9" s="379"/>
      <c r="AH9" s="485"/>
      <c r="AI9" s="402"/>
      <c r="AJ9" s="379"/>
      <c r="AK9" s="485"/>
      <c r="AL9" s="402"/>
      <c r="AM9" s="379"/>
      <c r="AN9" s="487"/>
      <c r="AO9" s="402"/>
      <c r="AP9" s="379"/>
      <c r="AQ9" s="485"/>
      <c r="AR9" s="402"/>
      <c r="AS9" s="379"/>
      <c r="AT9" s="485"/>
      <c r="AU9" s="402"/>
      <c r="AV9" s="379"/>
      <c r="AW9" s="11" t="s">
        <v>382</v>
      </c>
      <c r="AX9" s="11" t="s">
        <v>383</v>
      </c>
      <c r="AY9" s="125">
        <v>183</v>
      </c>
      <c r="AZ9" s="121">
        <v>0</v>
      </c>
      <c r="BA9" s="129">
        <f t="shared" ref="BA9:BA12" si="0">+AZ9/AY9</f>
        <v>0</v>
      </c>
      <c r="BB9" s="60" t="s">
        <v>384</v>
      </c>
      <c r="BC9" s="121">
        <v>10</v>
      </c>
      <c r="BD9" s="129">
        <v>5.4644808743169397E-2</v>
      </c>
      <c r="BE9" s="60" t="s">
        <v>385</v>
      </c>
      <c r="BF9" s="121">
        <v>26</v>
      </c>
      <c r="BG9" s="129">
        <v>0.14207650273224043</v>
      </c>
      <c r="BH9" s="60" t="s">
        <v>386</v>
      </c>
      <c r="BI9" s="121">
        <v>35</v>
      </c>
      <c r="BJ9" s="144">
        <v>0.19125683060109289</v>
      </c>
      <c r="BK9" s="60" t="s">
        <v>1094</v>
      </c>
      <c r="BL9" s="121">
        <v>51</v>
      </c>
      <c r="BM9" s="144">
        <v>0.27868852459016391</v>
      </c>
      <c r="BN9" s="60" t="s">
        <v>1131</v>
      </c>
      <c r="BO9" s="121">
        <v>64</v>
      </c>
      <c r="BP9" s="144">
        <v>0.34972677595628415</v>
      </c>
      <c r="BQ9" s="60" t="s">
        <v>1173</v>
      </c>
      <c r="BR9" s="121">
        <v>73</v>
      </c>
      <c r="BS9" s="223">
        <v>0.39890710382513661</v>
      </c>
      <c r="BT9" s="60" t="s">
        <v>1352</v>
      </c>
      <c r="BU9" s="121">
        <v>90</v>
      </c>
      <c r="BV9" s="223">
        <v>0.49180327868852458</v>
      </c>
      <c r="BW9" s="60" t="s">
        <v>1393</v>
      </c>
      <c r="BX9" s="121">
        <v>101</v>
      </c>
      <c r="BY9" s="223">
        <v>0.55191256830601088</v>
      </c>
      <c r="BZ9" s="60" t="s">
        <v>1430</v>
      </c>
      <c r="CA9" s="121">
        <v>115</v>
      </c>
      <c r="CB9" s="279">
        <v>0.63</v>
      </c>
      <c r="CC9" s="60" t="s">
        <v>1998</v>
      </c>
      <c r="CD9" s="121">
        <v>131</v>
      </c>
      <c r="CE9" s="279">
        <v>0.72</v>
      </c>
      <c r="CF9" s="60" t="s">
        <v>2035</v>
      </c>
      <c r="CG9" s="121">
        <v>173</v>
      </c>
      <c r="CH9" s="279">
        <v>0.95</v>
      </c>
      <c r="CI9" s="60" t="s">
        <v>2072</v>
      </c>
      <c r="CJ9" s="11" t="s">
        <v>106</v>
      </c>
      <c r="CK9" s="11" t="s">
        <v>107</v>
      </c>
    </row>
    <row r="10" spans="1:174" s="4" customFormat="1" ht="33.75" customHeight="1" x14ac:dyDescent="0.2">
      <c r="A10" s="368"/>
      <c r="B10" s="368"/>
      <c r="C10" s="393"/>
      <c r="D10" s="368"/>
      <c r="E10" s="373"/>
      <c r="F10" s="368"/>
      <c r="G10" s="368"/>
      <c r="H10" s="401"/>
      <c r="I10" s="434"/>
      <c r="J10" s="368" t="s">
        <v>372</v>
      </c>
      <c r="K10" s="368" t="s">
        <v>373</v>
      </c>
      <c r="L10" s="393">
        <v>245</v>
      </c>
      <c r="M10" s="487"/>
      <c r="N10" s="402"/>
      <c r="O10" s="379"/>
      <c r="P10" s="485"/>
      <c r="Q10" s="402"/>
      <c r="R10" s="379"/>
      <c r="S10" s="485"/>
      <c r="T10" s="402"/>
      <c r="U10" s="379"/>
      <c r="V10" s="487"/>
      <c r="W10" s="402"/>
      <c r="X10" s="379"/>
      <c r="Y10" s="485"/>
      <c r="Z10" s="402"/>
      <c r="AA10" s="379"/>
      <c r="AB10" s="485"/>
      <c r="AC10" s="402"/>
      <c r="AD10" s="379"/>
      <c r="AE10" s="487"/>
      <c r="AF10" s="402"/>
      <c r="AG10" s="379"/>
      <c r="AH10" s="485"/>
      <c r="AI10" s="402"/>
      <c r="AJ10" s="379"/>
      <c r="AK10" s="485"/>
      <c r="AL10" s="402"/>
      <c r="AM10" s="379"/>
      <c r="AN10" s="487"/>
      <c r="AO10" s="402"/>
      <c r="AP10" s="379"/>
      <c r="AQ10" s="485"/>
      <c r="AR10" s="402"/>
      <c r="AS10" s="379"/>
      <c r="AT10" s="485"/>
      <c r="AU10" s="402"/>
      <c r="AV10" s="379"/>
      <c r="AW10" s="11" t="s">
        <v>387</v>
      </c>
      <c r="AX10" s="11" t="s">
        <v>388</v>
      </c>
      <c r="AY10" s="125">
        <v>62</v>
      </c>
      <c r="AZ10" s="121">
        <v>2</v>
      </c>
      <c r="BA10" s="129">
        <f t="shared" si="0"/>
        <v>3.2258064516129031E-2</v>
      </c>
      <c r="BB10" s="60" t="s">
        <v>389</v>
      </c>
      <c r="BC10" s="121">
        <v>5</v>
      </c>
      <c r="BD10" s="129">
        <v>8.0645161290322578E-2</v>
      </c>
      <c r="BE10" s="60" t="s">
        <v>390</v>
      </c>
      <c r="BF10" s="121">
        <v>12</v>
      </c>
      <c r="BG10" s="129">
        <v>0.19354838709677419</v>
      </c>
      <c r="BH10" s="60" t="s">
        <v>391</v>
      </c>
      <c r="BI10" s="121">
        <v>21</v>
      </c>
      <c r="BJ10" s="144">
        <v>0.33870967741935482</v>
      </c>
      <c r="BK10" s="60" t="s">
        <v>1095</v>
      </c>
      <c r="BL10" s="121">
        <v>26</v>
      </c>
      <c r="BM10" s="144">
        <v>0.41935483870967744</v>
      </c>
      <c r="BN10" s="60" t="s">
        <v>1132</v>
      </c>
      <c r="BO10" s="121">
        <v>34</v>
      </c>
      <c r="BP10" s="144">
        <v>0.54838709677419351</v>
      </c>
      <c r="BQ10" s="60" t="s">
        <v>1174</v>
      </c>
      <c r="BR10" s="121">
        <v>39</v>
      </c>
      <c r="BS10" s="223">
        <v>0.62903225806451613</v>
      </c>
      <c r="BT10" s="60" t="s">
        <v>1353</v>
      </c>
      <c r="BU10" s="121">
        <v>45</v>
      </c>
      <c r="BV10" s="223">
        <v>0.72580645161290325</v>
      </c>
      <c r="BW10" s="60" t="s">
        <v>1394</v>
      </c>
      <c r="BX10" s="121">
        <v>50</v>
      </c>
      <c r="BY10" s="223">
        <v>0.80645161290322576</v>
      </c>
      <c r="BZ10" s="60" t="s">
        <v>1431</v>
      </c>
      <c r="CA10" s="121">
        <v>54</v>
      </c>
      <c r="CB10" s="279">
        <v>0.87</v>
      </c>
      <c r="CC10" s="60" t="s">
        <v>1999</v>
      </c>
      <c r="CD10" s="121">
        <v>64</v>
      </c>
      <c r="CE10" s="279">
        <v>1</v>
      </c>
      <c r="CF10" s="60" t="s">
        <v>2036</v>
      </c>
      <c r="CG10" s="121">
        <v>68</v>
      </c>
      <c r="CH10" s="279">
        <v>1</v>
      </c>
      <c r="CI10" s="60" t="s">
        <v>2073</v>
      </c>
      <c r="CJ10" s="11" t="s">
        <v>106</v>
      </c>
      <c r="CK10" s="11" t="s">
        <v>107</v>
      </c>
    </row>
    <row r="11" spans="1:174" s="4" customFormat="1" ht="45" customHeight="1" x14ac:dyDescent="0.2">
      <c r="A11" s="368"/>
      <c r="B11" s="368"/>
      <c r="C11" s="393"/>
      <c r="D11" s="368"/>
      <c r="E11" s="373"/>
      <c r="F11" s="368"/>
      <c r="G11" s="368"/>
      <c r="H11" s="401"/>
      <c r="I11" s="434"/>
      <c r="J11" s="368" t="s">
        <v>372</v>
      </c>
      <c r="K11" s="368" t="s">
        <v>373</v>
      </c>
      <c r="L11" s="393">
        <v>245</v>
      </c>
      <c r="M11" s="487"/>
      <c r="N11" s="402"/>
      <c r="O11" s="379"/>
      <c r="P11" s="485"/>
      <c r="Q11" s="402"/>
      <c r="R11" s="379"/>
      <c r="S11" s="485"/>
      <c r="T11" s="402"/>
      <c r="U11" s="379"/>
      <c r="V11" s="487"/>
      <c r="W11" s="402"/>
      <c r="X11" s="379"/>
      <c r="Y11" s="485"/>
      <c r="Z11" s="402"/>
      <c r="AA11" s="379"/>
      <c r="AB11" s="485"/>
      <c r="AC11" s="402"/>
      <c r="AD11" s="379"/>
      <c r="AE11" s="487"/>
      <c r="AF11" s="402"/>
      <c r="AG11" s="379"/>
      <c r="AH11" s="485"/>
      <c r="AI11" s="402"/>
      <c r="AJ11" s="379"/>
      <c r="AK11" s="485"/>
      <c r="AL11" s="402"/>
      <c r="AM11" s="379"/>
      <c r="AN11" s="487"/>
      <c r="AO11" s="402"/>
      <c r="AP11" s="379"/>
      <c r="AQ11" s="485"/>
      <c r="AR11" s="402"/>
      <c r="AS11" s="379"/>
      <c r="AT11" s="485"/>
      <c r="AU11" s="402"/>
      <c r="AV11" s="379"/>
      <c r="AW11" s="11" t="s">
        <v>392</v>
      </c>
      <c r="AX11" s="11" t="s">
        <v>393</v>
      </c>
      <c r="AY11" s="128">
        <v>0.54</v>
      </c>
      <c r="AZ11" s="60">
        <v>0.125</v>
      </c>
      <c r="BA11" s="129">
        <f t="shared" si="0"/>
        <v>0.23148148148148145</v>
      </c>
      <c r="BB11" s="60" t="s">
        <v>394</v>
      </c>
      <c r="BC11" s="60">
        <v>0.38461538461538464</v>
      </c>
      <c r="BD11" s="129">
        <v>0.71225071225071224</v>
      </c>
      <c r="BE11" s="60" t="s">
        <v>395</v>
      </c>
      <c r="BF11" s="121">
        <v>0.55882352941176472</v>
      </c>
      <c r="BG11" s="129">
        <v>1.0348583877995643</v>
      </c>
      <c r="BH11" s="60" t="s">
        <v>396</v>
      </c>
      <c r="BI11" s="60">
        <v>0.5636363636363636</v>
      </c>
      <c r="BJ11" s="144">
        <v>1.0437710437710437</v>
      </c>
      <c r="BK11" s="60" t="s">
        <v>1096</v>
      </c>
      <c r="BL11" s="60">
        <v>0.55844155844155841</v>
      </c>
      <c r="BM11" s="144">
        <v>1.034151034151034</v>
      </c>
      <c r="BN11" s="60" t="s">
        <v>1133</v>
      </c>
      <c r="BO11" s="121">
        <v>0.57894736842105265</v>
      </c>
      <c r="BP11" s="144">
        <v>1.0721247563352827</v>
      </c>
      <c r="BQ11" s="60" t="s">
        <v>1175</v>
      </c>
      <c r="BR11" s="60">
        <v>0.56521739130434778</v>
      </c>
      <c r="BS11" s="223">
        <v>1.0466988727858291</v>
      </c>
      <c r="BT11" s="60" t="s">
        <v>1354</v>
      </c>
      <c r="BU11" s="60">
        <v>0.6015625</v>
      </c>
      <c r="BV11" s="223">
        <v>1.1140046296296295</v>
      </c>
      <c r="BW11" s="60" t="s">
        <v>1395</v>
      </c>
      <c r="BX11" s="60">
        <v>0.61594202898550721</v>
      </c>
      <c r="BY11" s="223">
        <v>1.1406333870101986</v>
      </c>
      <c r="BZ11" s="60" t="s">
        <v>1432</v>
      </c>
      <c r="CA11" s="60">
        <v>0.59860000000000002</v>
      </c>
      <c r="CB11" s="279">
        <v>1</v>
      </c>
      <c r="CC11" s="60" t="s">
        <v>2000</v>
      </c>
      <c r="CD11" s="60">
        <v>0.60360000000000003</v>
      </c>
      <c r="CE11" s="279">
        <v>1</v>
      </c>
      <c r="CF11" s="60" t="s">
        <v>2037</v>
      </c>
      <c r="CG11" s="60">
        <v>0.53010000000000002</v>
      </c>
      <c r="CH11" s="279">
        <v>0.98</v>
      </c>
      <c r="CI11" s="60" t="s">
        <v>2074</v>
      </c>
      <c r="CJ11" s="11" t="s">
        <v>106</v>
      </c>
      <c r="CK11" s="11" t="s">
        <v>107</v>
      </c>
    </row>
    <row r="12" spans="1:174" s="4" customFormat="1" ht="45" customHeight="1" x14ac:dyDescent="0.2">
      <c r="A12" s="368"/>
      <c r="B12" s="368"/>
      <c r="C12" s="393"/>
      <c r="D12" s="368"/>
      <c r="E12" s="373"/>
      <c r="F12" s="368"/>
      <c r="G12" s="368"/>
      <c r="H12" s="401"/>
      <c r="I12" s="434"/>
      <c r="J12" s="368" t="s">
        <v>372</v>
      </c>
      <c r="K12" s="368" t="s">
        <v>373</v>
      </c>
      <c r="L12" s="393">
        <v>245</v>
      </c>
      <c r="M12" s="463"/>
      <c r="N12" s="367"/>
      <c r="O12" s="380"/>
      <c r="P12" s="486"/>
      <c r="Q12" s="367"/>
      <c r="R12" s="380"/>
      <c r="S12" s="486"/>
      <c r="T12" s="367"/>
      <c r="U12" s="380"/>
      <c r="V12" s="463"/>
      <c r="W12" s="367"/>
      <c r="X12" s="380"/>
      <c r="Y12" s="486"/>
      <c r="Z12" s="367"/>
      <c r="AA12" s="380"/>
      <c r="AB12" s="486"/>
      <c r="AC12" s="367"/>
      <c r="AD12" s="380"/>
      <c r="AE12" s="463"/>
      <c r="AF12" s="367"/>
      <c r="AG12" s="380"/>
      <c r="AH12" s="486"/>
      <c r="AI12" s="367"/>
      <c r="AJ12" s="380"/>
      <c r="AK12" s="486"/>
      <c r="AL12" s="367"/>
      <c r="AM12" s="380"/>
      <c r="AN12" s="463"/>
      <c r="AO12" s="367"/>
      <c r="AP12" s="380"/>
      <c r="AQ12" s="486"/>
      <c r="AR12" s="367"/>
      <c r="AS12" s="380"/>
      <c r="AT12" s="486"/>
      <c r="AU12" s="367"/>
      <c r="AV12" s="380"/>
      <c r="AW12" s="11" t="s">
        <v>397</v>
      </c>
      <c r="AX12" s="11" t="s">
        <v>398</v>
      </c>
      <c r="AY12" s="128">
        <v>0.05</v>
      </c>
      <c r="AZ12" s="129"/>
      <c r="BA12" s="129">
        <f t="shared" si="0"/>
        <v>0</v>
      </c>
      <c r="BB12" s="60" t="s">
        <v>399</v>
      </c>
      <c r="BC12" s="121"/>
      <c r="BD12" s="129">
        <v>0</v>
      </c>
      <c r="BE12" s="60" t="s">
        <v>399</v>
      </c>
      <c r="BF12" s="121">
        <v>0</v>
      </c>
      <c r="BG12" s="129">
        <v>0</v>
      </c>
      <c r="BH12" s="60" t="s">
        <v>400</v>
      </c>
      <c r="BI12" s="144">
        <v>0</v>
      </c>
      <c r="BJ12" s="144">
        <v>0</v>
      </c>
      <c r="BK12" s="60" t="s">
        <v>399</v>
      </c>
      <c r="BL12" s="121">
        <v>0</v>
      </c>
      <c r="BM12" s="144">
        <v>0</v>
      </c>
      <c r="BN12" s="60" t="s">
        <v>400</v>
      </c>
      <c r="BO12" s="121">
        <v>0</v>
      </c>
      <c r="BP12" s="144">
        <v>0</v>
      </c>
      <c r="BQ12" s="60" t="s">
        <v>1176</v>
      </c>
      <c r="BR12" s="223">
        <v>0</v>
      </c>
      <c r="BS12" s="223">
        <v>0</v>
      </c>
      <c r="BT12" s="60" t="s">
        <v>1355</v>
      </c>
      <c r="BU12" s="121">
        <v>0</v>
      </c>
      <c r="BV12" s="223">
        <v>0</v>
      </c>
      <c r="BW12" s="60" t="s">
        <v>1355</v>
      </c>
      <c r="BX12" s="60">
        <v>6.6000000000000003E-2</v>
      </c>
      <c r="BY12" s="223">
        <v>1.32</v>
      </c>
      <c r="BZ12" s="60" t="s">
        <v>1433</v>
      </c>
      <c r="CA12" s="279">
        <v>7.0000000000000007E-2</v>
      </c>
      <c r="CB12" s="279">
        <v>1</v>
      </c>
      <c r="CC12" s="60" t="s">
        <v>2001</v>
      </c>
      <c r="CD12" s="121">
        <v>7.0000000000000007E-2</v>
      </c>
      <c r="CE12" s="279">
        <v>1</v>
      </c>
      <c r="CF12" s="60" t="s">
        <v>2001</v>
      </c>
      <c r="CG12" s="60">
        <v>7.0000000000000007E-2</v>
      </c>
      <c r="CH12" s="279">
        <v>1</v>
      </c>
      <c r="CI12" s="60" t="s">
        <v>2075</v>
      </c>
      <c r="CJ12" s="11" t="s">
        <v>106</v>
      </c>
      <c r="CK12" s="11" t="s">
        <v>107</v>
      </c>
    </row>
    <row r="13" spans="1:174" ht="75" x14ac:dyDescent="0.25">
      <c r="H13" s="401"/>
      <c r="M13" s="56" t="s">
        <v>161</v>
      </c>
      <c r="N13" s="67">
        <f>AVERAGE(N8:N12)</f>
        <v>3.1496062992125984E-2</v>
      </c>
      <c r="P13" s="56" t="s">
        <v>161</v>
      </c>
      <c r="Q13" s="67">
        <f>AVERAGE(Q8:Q12)</f>
        <v>5.1181102362204724E-2</v>
      </c>
      <c r="S13" s="56" t="s">
        <v>161</v>
      </c>
      <c r="T13" s="74">
        <f>AVERAGE(T8:T12)</f>
        <v>0.13385826771653545</v>
      </c>
      <c r="V13" s="56" t="s">
        <v>161</v>
      </c>
      <c r="W13" s="67">
        <f>AVERAGE(W8:W12)</f>
        <v>0.22448979591836735</v>
      </c>
      <c r="Y13" s="56" t="s">
        <v>161</v>
      </c>
      <c r="Z13" s="67">
        <f>AVERAGE(Z8:Z12)</f>
        <v>0.31428571428571428</v>
      </c>
      <c r="AB13" s="56" t="s">
        <v>161</v>
      </c>
      <c r="AC13" s="74">
        <f>AVERAGE(AC8:AC12)</f>
        <v>0.38775510204081631</v>
      </c>
      <c r="AE13" s="56" t="s">
        <v>161</v>
      </c>
      <c r="AF13" s="67">
        <f>AVERAGE(AF8:AF12)</f>
        <v>0.46938775510204084</v>
      </c>
      <c r="AH13" s="56" t="s">
        <v>161</v>
      </c>
      <c r="AI13" s="67">
        <f>AVERAGE(AI8:AI12)</f>
        <v>0.52244897959183678</v>
      </c>
      <c r="AK13" s="56" t="s">
        <v>161</v>
      </c>
      <c r="AL13" s="74">
        <f>AVERAGE(AL8:AL12)</f>
        <v>0.54330708661417326</v>
      </c>
      <c r="AN13" s="56" t="s">
        <v>161</v>
      </c>
      <c r="AO13" s="67">
        <f>AVERAGE(AO8:AO12)</f>
        <v>0.57999999999999996</v>
      </c>
      <c r="AQ13" s="56" t="s">
        <v>161</v>
      </c>
      <c r="AR13" s="67">
        <f>AVERAGE(AR8:AR12)</f>
        <v>0.67</v>
      </c>
      <c r="AT13" s="56" t="s">
        <v>161</v>
      </c>
      <c r="AU13" s="74">
        <f>AVERAGE(AU8:AU12)</f>
        <v>0.98</v>
      </c>
      <c r="AZ13" s="56" t="s">
        <v>162</v>
      </c>
      <c r="BA13" s="74">
        <f>AVERAGE(BA8:BA11)</f>
        <v>6.8667126936561088E-2</v>
      </c>
      <c r="BC13" s="56" t="s">
        <v>162</v>
      </c>
      <c r="BD13" s="74">
        <f>AVERAGE(BD8:BD11)</f>
        <v>0.24057369516121499</v>
      </c>
      <c r="BF13" s="56" t="s">
        <v>162</v>
      </c>
      <c r="BG13" s="74">
        <f>AVERAGE(BG8:BG12)</f>
        <v>0.31562671017052452</v>
      </c>
      <c r="BH13" s="7"/>
      <c r="BI13" s="56" t="s">
        <v>162</v>
      </c>
      <c r="BJ13" s="74">
        <f>AVERAGE(BJ8:BJ12)</f>
        <v>0.37048521527633105</v>
      </c>
      <c r="BL13" s="56" t="s">
        <v>162</v>
      </c>
      <c r="BM13" s="74">
        <f>AVERAGE(BM8:BM12)</f>
        <v>0.41638423468143193</v>
      </c>
      <c r="BO13" s="56" t="s">
        <v>162</v>
      </c>
      <c r="BP13" s="74">
        <f>AVERAGE(BP8:BP12)</f>
        <v>0.48038652362735973</v>
      </c>
      <c r="BQ13" s="7"/>
      <c r="BR13" s="56" t="s">
        <v>162</v>
      </c>
      <c r="BS13" s="74">
        <f>AVERAGE(BS8:BS12)</f>
        <v>0.52312436824657182</v>
      </c>
      <c r="BU13" s="56" t="s">
        <v>162</v>
      </c>
      <c r="BV13" s="74">
        <f>AVERAGE(BV8:BV12)</f>
        <v>0.58544855504632076</v>
      </c>
      <c r="BX13" s="56" t="s">
        <v>162</v>
      </c>
      <c r="BY13" s="74">
        <f>AVERAGE(BY8:BY12)</f>
        <v>0.90259732785153735</v>
      </c>
      <c r="BZ13" s="7"/>
      <c r="CA13" s="56" t="s">
        <v>162</v>
      </c>
      <c r="CB13" s="74">
        <f>AVERAGE(CB8:CB12)</f>
        <v>0.85</v>
      </c>
      <c r="CD13" s="56" t="s">
        <v>162</v>
      </c>
      <c r="CE13" s="74">
        <f>AVERAGE(CE8:CE12)</f>
        <v>0.91400000000000003</v>
      </c>
      <c r="CG13" s="56" t="s">
        <v>162</v>
      </c>
      <c r="CH13" s="74">
        <f>AVERAGE(CH8:CH12)</f>
        <v>0.97599999999999998</v>
      </c>
      <c r="CI13" s="292"/>
      <c r="CJ13" s="7"/>
      <c r="CK13" s="7"/>
      <c r="FO13"/>
      <c r="FP13"/>
      <c r="FQ13"/>
      <c r="FR13"/>
    </row>
    <row r="14" spans="1:174" s="4" customFormat="1" ht="45" customHeight="1" x14ac:dyDescent="0.2">
      <c r="A14" s="368" t="s">
        <v>84</v>
      </c>
      <c r="B14" s="368" t="s">
        <v>274</v>
      </c>
      <c r="C14" s="393" t="s">
        <v>2719</v>
      </c>
      <c r="D14" s="368" t="s">
        <v>41</v>
      </c>
      <c r="E14" s="373" t="s">
        <v>401</v>
      </c>
      <c r="F14" s="368" t="s">
        <v>88</v>
      </c>
      <c r="G14" s="368" t="s">
        <v>276</v>
      </c>
      <c r="H14" s="401"/>
      <c r="I14" s="434">
        <v>9906188416</v>
      </c>
      <c r="J14" s="368" t="s">
        <v>372</v>
      </c>
      <c r="K14" s="368" t="s">
        <v>373</v>
      </c>
      <c r="L14" s="393">
        <v>419</v>
      </c>
      <c r="M14" s="462">
        <v>9</v>
      </c>
      <c r="N14" s="366">
        <f>+M14/L14</f>
        <v>2.1479713603818614E-2</v>
      </c>
      <c r="O14" s="378" t="s">
        <v>402</v>
      </c>
      <c r="P14" s="484">
        <v>20</v>
      </c>
      <c r="Q14" s="366">
        <f>+P14/L14</f>
        <v>4.77326968973747E-2</v>
      </c>
      <c r="R14" s="378" t="s">
        <v>403</v>
      </c>
      <c r="S14" s="484">
        <v>48</v>
      </c>
      <c r="T14" s="366">
        <f>+S14/L14</f>
        <v>0.11455847255369929</v>
      </c>
      <c r="U14" s="378" t="s">
        <v>404</v>
      </c>
      <c r="V14" s="462">
        <v>85</v>
      </c>
      <c r="W14" s="366">
        <v>0.20631067961165048</v>
      </c>
      <c r="X14" s="378" t="s">
        <v>1082</v>
      </c>
      <c r="Y14" s="484">
        <v>121</v>
      </c>
      <c r="Z14" s="366">
        <v>0.2936893203883495</v>
      </c>
      <c r="AA14" s="378" t="s">
        <v>1119</v>
      </c>
      <c r="AB14" s="484">
        <v>152</v>
      </c>
      <c r="AC14" s="366">
        <v>0.36893203883495146</v>
      </c>
      <c r="AD14" s="378" t="s">
        <v>1155</v>
      </c>
      <c r="AE14" s="462">
        <v>180</v>
      </c>
      <c r="AF14" s="366">
        <v>0.43689320388349512</v>
      </c>
      <c r="AG14" s="378" t="s">
        <v>1335</v>
      </c>
      <c r="AH14" s="484">
        <v>209</v>
      </c>
      <c r="AI14" s="366">
        <v>0.50728155339805825</v>
      </c>
      <c r="AJ14" s="378" t="s">
        <v>1382</v>
      </c>
      <c r="AK14" s="484">
        <v>243</v>
      </c>
      <c r="AL14" s="366">
        <v>0.57995226730310268</v>
      </c>
      <c r="AM14" s="378" t="s">
        <v>1413</v>
      </c>
      <c r="AN14" s="462">
        <v>282</v>
      </c>
      <c r="AO14" s="366">
        <v>0.67300000000000004</v>
      </c>
      <c r="AP14" s="378" t="s">
        <v>1987</v>
      </c>
      <c r="AQ14" s="484">
        <v>322</v>
      </c>
      <c r="AR14" s="366">
        <v>0.76849999999999996</v>
      </c>
      <c r="AS14" s="378" t="s">
        <v>2019</v>
      </c>
      <c r="AT14" s="484">
        <v>416</v>
      </c>
      <c r="AU14" s="366">
        <v>0.99280000000000002</v>
      </c>
      <c r="AV14" s="378" t="s">
        <v>2061</v>
      </c>
      <c r="AW14" s="11" t="s">
        <v>405</v>
      </c>
      <c r="AX14" s="11" t="s">
        <v>378</v>
      </c>
      <c r="AY14" s="125">
        <v>364</v>
      </c>
      <c r="AZ14" s="121">
        <v>2</v>
      </c>
      <c r="BA14" s="129">
        <v>5.4945054945054949E-3</v>
      </c>
      <c r="BB14" s="60" t="s">
        <v>406</v>
      </c>
      <c r="BC14" s="121">
        <v>34</v>
      </c>
      <c r="BD14" s="129">
        <v>9.3406593406593408E-2</v>
      </c>
      <c r="BE14" s="60" t="s">
        <v>407</v>
      </c>
      <c r="BF14" s="121">
        <v>60</v>
      </c>
      <c r="BG14" s="129">
        <v>0.16483516483516483</v>
      </c>
      <c r="BH14" s="60" t="s">
        <v>408</v>
      </c>
      <c r="BI14" s="121">
        <v>87</v>
      </c>
      <c r="BJ14" s="144">
        <v>0.23901098901098902</v>
      </c>
      <c r="BK14" s="60" t="s">
        <v>1097</v>
      </c>
      <c r="BL14" s="121">
        <v>108</v>
      </c>
      <c r="BM14" s="144">
        <v>0.2967032967032967</v>
      </c>
      <c r="BN14" s="60" t="s">
        <v>1134</v>
      </c>
      <c r="BO14" s="121">
        <v>137</v>
      </c>
      <c r="BP14" s="144">
        <v>0.37637362637362637</v>
      </c>
      <c r="BQ14" s="60" t="s">
        <v>1177</v>
      </c>
      <c r="BR14" s="121">
        <v>162</v>
      </c>
      <c r="BS14" s="223">
        <v>0.44505494505494503</v>
      </c>
      <c r="BT14" s="60" t="s">
        <v>1356</v>
      </c>
      <c r="BU14" s="121">
        <v>206</v>
      </c>
      <c r="BV14" s="223">
        <v>0.56593406593406592</v>
      </c>
      <c r="BW14" s="60" t="s">
        <v>1396</v>
      </c>
      <c r="BX14" s="121">
        <v>253</v>
      </c>
      <c r="BY14" s="223">
        <v>0.69505494505494503</v>
      </c>
      <c r="BZ14" s="60" t="s">
        <v>1434</v>
      </c>
      <c r="CA14" s="121">
        <v>285</v>
      </c>
      <c r="CB14" s="279">
        <v>0.78</v>
      </c>
      <c r="CC14" s="60" t="s">
        <v>2002</v>
      </c>
      <c r="CD14" s="121">
        <v>337</v>
      </c>
      <c r="CE14" s="279">
        <v>0.93</v>
      </c>
      <c r="CF14" s="60" t="s">
        <v>2038</v>
      </c>
      <c r="CG14" s="121">
        <v>350</v>
      </c>
      <c r="CH14" s="279">
        <v>0.96</v>
      </c>
      <c r="CI14" s="60" t="s">
        <v>2076</v>
      </c>
      <c r="CJ14" s="11" t="s">
        <v>106</v>
      </c>
      <c r="CK14" s="11" t="s">
        <v>107</v>
      </c>
    </row>
    <row r="15" spans="1:174" s="4" customFormat="1" ht="45" customHeight="1" x14ac:dyDescent="0.2">
      <c r="A15" s="368"/>
      <c r="B15" s="368"/>
      <c r="C15" s="393"/>
      <c r="D15" s="368"/>
      <c r="E15" s="373"/>
      <c r="F15" s="368"/>
      <c r="G15" s="368"/>
      <c r="H15" s="401"/>
      <c r="I15" s="434"/>
      <c r="J15" s="368"/>
      <c r="K15" s="368"/>
      <c r="L15" s="393"/>
      <c r="M15" s="487"/>
      <c r="N15" s="402"/>
      <c r="O15" s="379"/>
      <c r="P15" s="485"/>
      <c r="Q15" s="402"/>
      <c r="R15" s="379"/>
      <c r="S15" s="485"/>
      <c r="T15" s="402"/>
      <c r="U15" s="379"/>
      <c r="V15" s="487"/>
      <c r="W15" s="402"/>
      <c r="X15" s="379"/>
      <c r="Y15" s="485"/>
      <c r="Z15" s="402"/>
      <c r="AA15" s="379"/>
      <c r="AB15" s="485"/>
      <c r="AC15" s="402"/>
      <c r="AD15" s="379"/>
      <c r="AE15" s="487"/>
      <c r="AF15" s="402"/>
      <c r="AG15" s="379"/>
      <c r="AH15" s="485"/>
      <c r="AI15" s="402"/>
      <c r="AJ15" s="379"/>
      <c r="AK15" s="485"/>
      <c r="AL15" s="402"/>
      <c r="AM15" s="379"/>
      <c r="AN15" s="487"/>
      <c r="AO15" s="402"/>
      <c r="AP15" s="379"/>
      <c r="AQ15" s="485"/>
      <c r="AR15" s="402"/>
      <c r="AS15" s="379"/>
      <c r="AT15" s="485"/>
      <c r="AU15" s="402"/>
      <c r="AV15" s="379"/>
      <c r="AW15" s="11" t="s">
        <v>409</v>
      </c>
      <c r="AX15" s="11" t="s">
        <v>383</v>
      </c>
      <c r="AY15" s="125">
        <v>364</v>
      </c>
      <c r="AZ15" s="121">
        <v>0</v>
      </c>
      <c r="BA15" s="129">
        <v>0</v>
      </c>
      <c r="BB15" s="60" t="s">
        <v>384</v>
      </c>
      <c r="BC15" s="121">
        <v>6</v>
      </c>
      <c r="BD15" s="129">
        <v>1.6483516483516484E-2</v>
      </c>
      <c r="BE15" s="60" t="s">
        <v>410</v>
      </c>
      <c r="BF15" s="121">
        <v>31</v>
      </c>
      <c r="BG15" s="129">
        <v>8.5164835164835168E-2</v>
      </c>
      <c r="BH15" s="60" t="s">
        <v>411</v>
      </c>
      <c r="BI15" s="121">
        <v>60</v>
      </c>
      <c r="BJ15" s="144">
        <v>0.16483516483516483</v>
      </c>
      <c r="BK15" s="60" t="s">
        <v>1098</v>
      </c>
      <c r="BL15" s="121">
        <v>86</v>
      </c>
      <c r="BM15" s="144">
        <v>0.23626373626373626</v>
      </c>
      <c r="BN15" s="60" t="s">
        <v>1135</v>
      </c>
      <c r="BO15" s="121">
        <v>111</v>
      </c>
      <c r="BP15" s="144">
        <v>0.30494505494505497</v>
      </c>
      <c r="BQ15" s="60" t="s">
        <v>1178</v>
      </c>
      <c r="BR15" s="121">
        <v>135</v>
      </c>
      <c r="BS15" s="223">
        <v>0.37087912087912089</v>
      </c>
      <c r="BT15" s="60" t="s">
        <v>1357</v>
      </c>
      <c r="BU15" s="121">
        <v>161</v>
      </c>
      <c r="BV15" s="223">
        <v>0.44230769230769229</v>
      </c>
      <c r="BW15" s="60" t="s">
        <v>1397</v>
      </c>
      <c r="BX15" s="121">
        <v>202</v>
      </c>
      <c r="BY15" s="223">
        <v>0.55494505494505497</v>
      </c>
      <c r="BZ15" s="60" t="s">
        <v>1435</v>
      </c>
      <c r="CA15" s="121">
        <v>254</v>
      </c>
      <c r="CB15" s="279">
        <v>0.7</v>
      </c>
      <c r="CC15" s="60" t="s">
        <v>2003</v>
      </c>
      <c r="CD15" s="121">
        <v>280</v>
      </c>
      <c r="CE15" s="279">
        <v>0.77</v>
      </c>
      <c r="CF15" s="60" t="s">
        <v>2039</v>
      </c>
      <c r="CG15" s="121">
        <v>353</v>
      </c>
      <c r="CH15" s="279">
        <v>0.97</v>
      </c>
      <c r="CI15" s="60" t="s">
        <v>2077</v>
      </c>
      <c r="CJ15" s="11" t="s">
        <v>106</v>
      </c>
      <c r="CK15" s="11" t="s">
        <v>107</v>
      </c>
    </row>
    <row r="16" spans="1:174" s="4" customFormat="1" ht="132" x14ac:dyDescent="0.2">
      <c r="A16" s="368"/>
      <c r="B16" s="368"/>
      <c r="C16" s="393"/>
      <c r="D16" s="368"/>
      <c r="E16" s="373"/>
      <c r="F16" s="368"/>
      <c r="G16" s="368"/>
      <c r="H16" s="401"/>
      <c r="I16" s="434"/>
      <c r="J16" s="368"/>
      <c r="K16" s="368"/>
      <c r="L16" s="393"/>
      <c r="M16" s="487"/>
      <c r="N16" s="402"/>
      <c r="O16" s="379"/>
      <c r="P16" s="485"/>
      <c r="Q16" s="402"/>
      <c r="R16" s="379"/>
      <c r="S16" s="485"/>
      <c r="T16" s="402"/>
      <c r="U16" s="379"/>
      <c r="V16" s="487"/>
      <c r="W16" s="402"/>
      <c r="X16" s="379"/>
      <c r="Y16" s="485"/>
      <c r="Z16" s="402"/>
      <c r="AA16" s="379"/>
      <c r="AB16" s="485"/>
      <c r="AC16" s="402"/>
      <c r="AD16" s="379"/>
      <c r="AE16" s="487"/>
      <c r="AF16" s="402"/>
      <c r="AG16" s="379"/>
      <c r="AH16" s="485"/>
      <c r="AI16" s="402"/>
      <c r="AJ16" s="379"/>
      <c r="AK16" s="485"/>
      <c r="AL16" s="402"/>
      <c r="AM16" s="379"/>
      <c r="AN16" s="487"/>
      <c r="AO16" s="402"/>
      <c r="AP16" s="379"/>
      <c r="AQ16" s="485"/>
      <c r="AR16" s="402"/>
      <c r="AS16" s="379"/>
      <c r="AT16" s="485"/>
      <c r="AU16" s="402"/>
      <c r="AV16" s="379"/>
      <c r="AW16" s="11" t="s">
        <v>412</v>
      </c>
      <c r="AX16" s="11" t="s">
        <v>388</v>
      </c>
      <c r="AY16" s="125">
        <v>55</v>
      </c>
      <c r="AZ16" s="121">
        <v>9</v>
      </c>
      <c r="BA16" s="129">
        <v>0.1875</v>
      </c>
      <c r="BB16" s="60" t="s">
        <v>413</v>
      </c>
      <c r="BC16" s="121">
        <v>24</v>
      </c>
      <c r="BD16" s="129">
        <v>0.5</v>
      </c>
      <c r="BE16" s="60" t="s">
        <v>414</v>
      </c>
      <c r="BF16" s="121">
        <v>28</v>
      </c>
      <c r="BG16" s="129">
        <v>0.58333333333333337</v>
      </c>
      <c r="BH16" s="60" t="s">
        <v>415</v>
      </c>
      <c r="BI16" s="121">
        <v>34</v>
      </c>
      <c r="BJ16" s="144">
        <v>0.70833333333333337</v>
      </c>
      <c r="BK16" s="60" t="s">
        <v>1099</v>
      </c>
      <c r="BL16" s="121">
        <v>41</v>
      </c>
      <c r="BM16" s="144">
        <v>0.85416666666666663</v>
      </c>
      <c r="BN16" s="60" t="s">
        <v>1136</v>
      </c>
      <c r="BO16" s="121">
        <v>48</v>
      </c>
      <c r="BP16" s="144">
        <v>1</v>
      </c>
      <c r="BQ16" s="60" t="s">
        <v>1179</v>
      </c>
      <c r="BR16" s="121">
        <v>52</v>
      </c>
      <c r="BS16" s="223">
        <v>1.0833333333333333</v>
      </c>
      <c r="BT16" s="60" t="s">
        <v>1358</v>
      </c>
      <c r="BU16" s="121">
        <v>54</v>
      </c>
      <c r="BV16" s="223">
        <v>1.125</v>
      </c>
      <c r="BW16" s="60" t="s">
        <v>1398</v>
      </c>
      <c r="BX16" s="121">
        <v>54</v>
      </c>
      <c r="BY16" s="223">
        <v>0.98181818181818181</v>
      </c>
      <c r="BZ16" s="60" t="s">
        <v>1436</v>
      </c>
      <c r="CA16" s="121">
        <v>54</v>
      </c>
      <c r="CB16" s="279">
        <v>0.98</v>
      </c>
      <c r="CC16" s="60" t="s">
        <v>2004</v>
      </c>
      <c r="CD16" s="121">
        <v>55</v>
      </c>
      <c r="CE16" s="279">
        <v>1</v>
      </c>
      <c r="CF16" s="60" t="s">
        <v>2040</v>
      </c>
      <c r="CG16" s="121">
        <v>56</v>
      </c>
      <c r="CH16" s="279">
        <v>1</v>
      </c>
      <c r="CI16" s="60" t="s">
        <v>2078</v>
      </c>
      <c r="CJ16" s="11" t="s">
        <v>106</v>
      </c>
      <c r="CK16" s="11" t="s">
        <v>107</v>
      </c>
    </row>
    <row r="17" spans="1:174" s="4" customFormat="1" ht="45" customHeight="1" x14ac:dyDescent="0.2">
      <c r="A17" s="368"/>
      <c r="B17" s="368"/>
      <c r="C17" s="393"/>
      <c r="D17" s="368"/>
      <c r="E17" s="373"/>
      <c r="F17" s="368"/>
      <c r="G17" s="368"/>
      <c r="H17" s="401"/>
      <c r="I17" s="434"/>
      <c r="J17" s="368"/>
      <c r="K17" s="368"/>
      <c r="L17" s="393"/>
      <c r="M17" s="487"/>
      <c r="N17" s="402"/>
      <c r="O17" s="379"/>
      <c r="P17" s="485"/>
      <c r="Q17" s="402"/>
      <c r="R17" s="379"/>
      <c r="S17" s="485"/>
      <c r="T17" s="402"/>
      <c r="U17" s="379"/>
      <c r="V17" s="487"/>
      <c r="W17" s="402"/>
      <c r="X17" s="379"/>
      <c r="Y17" s="485"/>
      <c r="Z17" s="402"/>
      <c r="AA17" s="379"/>
      <c r="AB17" s="485"/>
      <c r="AC17" s="402"/>
      <c r="AD17" s="379"/>
      <c r="AE17" s="487"/>
      <c r="AF17" s="402"/>
      <c r="AG17" s="379"/>
      <c r="AH17" s="485"/>
      <c r="AI17" s="402"/>
      <c r="AJ17" s="379"/>
      <c r="AK17" s="485"/>
      <c r="AL17" s="402"/>
      <c r="AM17" s="379"/>
      <c r="AN17" s="487"/>
      <c r="AO17" s="402"/>
      <c r="AP17" s="379"/>
      <c r="AQ17" s="485"/>
      <c r="AR17" s="402"/>
      <c r="AS17" s="379"/>
      <c r="AT17" s="485"/>
      <c r="AU17" s="402"/>
      <c r="AV17" s="379"/>
      <c r="AW17" s="11" t="s">
        <v>416</v>
      </c>
      <c r="AX17" s="11" t="s">
        <v>393</v>
      </c>
      <c r="AY17" s="128">
        <v>0.54</v>
      </c>
      <c r="AZ17" s="60">
        <v>0.33333333333333331</v>
      </c>
      <c r="BA17" s="129">
        <v>0.61728395061728392</v>
      </c>
      <c r="BB17" s="60" t="s">
        <v>417</v>
      </c>
      <c r="BC17" s="60">
        <v>0.6</v>
      </c>
      <c r="BD17" s="129">
        <v>1.1111111111111109</v>
      </c>
      <c r="BE17" s="60" t="s">
        <v>418</v>
      </c>
      <c r="BF17" s="60">
        <v>0.72916666666666663</v>
      </c>
      <c r="BG17" s="129">
        <v>1.3503086419753085</v>
      </c>
      <c r="BH17" s="60" t="s">
        <v>419</v>
      </c>
      <c r="BI17" s="60">
        <v>0.70588235294117652</v>
      </c>
      <c r="BJ17" s="144">
        <v>1.3071895424836601</v>
      </c>
      <c r="BK17" s="60" t="s">
        <v>1100</v>
      </c>
      <c r="BL17" s="60">
        <v>0.6776859504132231</v>
      </c>
      <c r="BM17" s="144">
        <v>1.2549739822467094</v>
      </c>
      <c r="BN17" s="60" t="s">
        <v>1137</v>
      </c>
      <c r="BO17" s="60">
        <v>0.70394736842105265</v>
      </c>
      <c r="BP17" s="144">
        <v>1.3036062378167641</v>
      </c>
      <c r="BQ17" s="60" t="s">
        <v>1180</v>
      </c>
      <c r="BR17" s="60">
        <v>0.72222222222222221</v>
      </c>
      <c r="BS17" s="223">
        <v>1.3374485596707817</v>
      </c>
      <c r="BT17" s="60" t="s">
        <v>1359</v>
      </c>
      <c r="BU17" s="60">
        <v>0.72248803827751196</v>
      </c>
      <c r="BV17" s="223">
        <v>1.337940811625022</v>
      </c>
      <c r="BW17" s="60" t="s">
        <v>1399</v>
      </c>
      <c r="BX17" s="60">
        <v>0.73251028806584362</v>
      </c>
      <c r="BY17" s="223">
        <v>1.3565005334552658</v>
      </c>
      <c r="BZ17" s="60" t="s">
        <v>1437</v>
      </c>
      <c r="CA17" s="60">
        <v>0.71</v>
      </c>
      <c r="CB17" s="279">
        <v>1</v>
      </c>
      <c r="CC17" s="60" t="s">
        <v>2005</v>
      </c>
      <c r="CD17" s="60">
        <v>0.7</v>
      </c>
      <c r="CE17" s="279">
        <v>1</v>
      </c>
      <c r="CF17" s="60" t="s">
        <v>2041</v>
      </c>
      <c r="CG17" s="60">
        <v>0.64</v>
      </c>
      <c r="CH17" s="279">
        <v>1</v>
      </c>
      <c r="CI17" s="60" t="s">
        <v>2079</v>
      </c>
      <c r="CJ17" s="11" t="s">
        <v>106</v>
      </c>
      <c r="CK17" s="11" t="s">
        <v>107</v>
      </c>
    </row>
    <row r="18" spans="1:174" s="4" customFormat="1" ht="45" customHeight="1" x14ac:dyDescent="0.2">
      <c r="A18" s="368"/>
      <c r="B18" s="368"/>
      <c r="C18" s="393"/>
      <c r="D18" s="368"/>
      <c r="E18" s="373"/>
      <c r="F18" s="368"/>
      <c r="G18" s="368"/>
      <c r="H18" s="401"/>
      <c r="I18" s="434"/>
      <c r="J18" s="368"/>
      <c r="K18" s="368"/>
      <c r="L18" s="393"/>
      <c r="M18" s="463"/>
      <c r="N18" s="367"/>
      <c r="O18" s="380"/>
      <c r="P18" s="486"/>
      <c r="Q18" s="367"/>
      <c r="R18" s="380"/>
      <c r="S18" s="486"/>
      <c r="T18" s="367"/>
      <c r="U18" s="380"/>
      <c r="V18" s="463"/>
      <c r="W18" s="367"/>
      <c r="X18" s="380"/>
      <c r="Y18" s="486"/>
      <c r="Z18" s="367"/>
      <c r="AA18" s="380"/>
      <c r="AB18" s="486"/>
      <c r="AC18" s="367"/>
      <c r="AD18" s="380"/>
      <c r="AE18" s="463"/>
      <c r="AF18" s="367"/>
      <c r="AG18" s="380"/>
      <c r="AH18" s="486"/>
      <c r="AI18" s="367"/>
      <c r="AJ18" s="380"/>
      <c r="AK18" s="486"/>
      <c r="AL18" s="367"/>
      <c r="AM18" s="380"/>
      <c r="AN18" s="463"/>
      <c r="AO18" s="367"/>
      <c r="AP18" s="380"/>
      <c r="AQ18" s="486"/>
      <c r="AR18" s="367"/>
      <c r="AS18" s="380"/>
      <c r="AT18" s="486"/>
      <c r="AU18" s="367"/>
      <c r="AV18" s="380"/>
      <c r="AW18" s="11" t="s">
        <v>420</v>
      </c>
      <c r="AX18" s="11" t="s">
        <v>398</v>
      </c>
      <c r="AY18" s="128">
        <v>0.05</v>
      </c>
      <c r="AZ18" s="129"/>
      <c r="BA18" s="129">
        <v>0</v>
      </c>
      <c r="BB18" s="60" t="s">
        <v>399</v>
      </c>
      <c r="BC18" s="129"/>
      <c r="BD18" s="129">
        <v>0</v>
      </c>
      <c r="BE18" s="60" t="s">
        <v>399</v>
      </c>
      <c r="BF18" s="60">
        <v>0</v>
      </c>
      <c r="BG18" s="129">
        <v>0</v>
      </c>
      <c r="BH18" s="60" t="s">
        <v>421</v>
      </c>
      <c r="BI18" s="144">
        <v>0</v>
      </c>
      <c r="BJ18" s="144">
        <v>0</v>
      </c>
      <c r="BK18" s="60" t="s">
        <v>399</v>
      </c>
      <c r="BL18" s="144">
        <v>0</v>
      </c>
      <c r="BM18" s="144">
        <v>0</v>
      </c>
      <c r="BN18" s="60" t="s">
        <v>421</v>
      </c>
      <c r="BO18" s="60">
        <v>3.1446540880503145E-2</v>
      </c>
      <c r="BP18" s="144">
        <v>0.15723270440251572</v>
      </c>
      <c r="BQ18" s="60" t="s">
        <v>1181</v>
      </c>
      <c r="BR18" s="223">
        <v>3.1446540880503145E-2</v>
      </c>
      <c r="BS18" s="223">
        <v>0.15723270440251572</v>
      </c>
      <c r="BT18" s="60" t="s">
        <v>1360</v>
      </c>
      <c r="BU18" s="223">
        <v>3.1446540880503145E-2</v>
      </c>
      <c r="BV18" s="223">
        <v>0.15723270440251572</v>
      </c>
      <c r="BW18" s="60" t="s">
        <v>1360</v>
      </c>
      <c r="BX18" s="60">
        <v>2.734375E-2</v>
      </c>
      <c r="BY18" s="223">
        <v>0.546875</v>
      </c>
      <c r="BZ18" s="60" t="s">
        <v>1438</v>
      </c>
      <c r="CA18" s="279">
        <v>0.03</v>
      </c>
      <c r="CB18" s="279">
        <v>0.55000000000000004</v>
      </c>
      <c r="CC18" s="60" t="s">
        <v>1438</v>
      </c>
      <c r="CD18" s="279">
        <v>0.03</v>
      </c>
      <c r="CE18" s="279">
        <v>0.55000000000000004</v>
      </c>
      <c r="CF18" s="60" t="s">
        <v>1438</v>
      </c>
      <c r="CG18" s="60">
        <v>0.05</v>
      </c>
      <c r="CH18" s="279">
        <v>1</v>
      </c>
      <c r="CI18" s="60" t="s">
        <v>2080</v>
      </c>
      <c r="CJ18" s="11" t="s">
        <v>106</v>
      </c>
      <c r="CK18" s="11" t="s">
        <v>107</v>
      </c>
    </row>
    <row r="19" spans="1:174" ht="75" x14ac:dyDescent="0.25">
      <c r="H19" s="401"/>
      <c r="M19" s="56" t="s">
        <v>161</v>
      </c>
      <c r="N19" s="67">
        <f>AVERAGE(N14:N18)</f>
        <v>2.1479713603818614E-2</v>
      </c>
      <c r="P19" s="56" t="s">
        <v>161</v>
      </c>
      <c r="Q19" s="67">
        <f>AVERAGE(Q14:Q18)</f>
        <v>4.77326968973747E-2</v>
      </c>
      <c r="S19" s="56" t="s">
        <v>161</v>
      </c>
      <c r="T19" s="74">
        <f>AVERAGE(T14:T18)</f>
        <v>0.11455847255369929</v>
      </c>
      <c r="V19" s="56" t="s">
        <v>161</v>
      </c>
      <c r="W19" s="67">
        <f>AVERAGE(W14:W18)</f>
        <v>0.20631067961165048</v>
      </c>
      <c r="Y19" s="56" t="s">
        <v>161</v>
      </c>
      <c r="Z19" s="67">
        <f>AVERAGE(Z14:Z18)</f>
        <v>0.2936893203883495</v>
      </c>
      <c r="AB19" s="56" t="s">
        <v>161</v>
      </c>
      <c r="AC19" s="74">
        <f>AVERAGE(AC14:AC18)</f>
        <v>0.36893203883495146</v>
      </c>
      <c r="AE19" s="56" t="s">
        <v>161</v>
      </c>
      <c r="AF19" s="67">
        <f>AVERAGE(AF14:AF18)</f>
        <v>0.43689320388349512</v>
      </c>
      <c r="AH19" s="56" t="s">
        <v>161</v>
      </c>
      <c r="AI19" s="67">
        <f>AVERAGE(AI14:AI18)</f>
        <v>0.50728155339805825</v>
      </c>
      <c r="AK19" s="56" t="s">
        <v>161</v>
      </c>
      <c r="AL19" s="74">
        <f>AVERAGE(AL14:AL18)</f>
        <v>0.57995226730310268</v>
      </c>
      <c r="AN19" s="56" t="s">
        <v>161</v>
      </c>
      <c r="AO19" s="67">
        <f>AVERAGE(AO14:AO18)</f>
        <v>0.67300000000000004</v>
      </c>
      <c r="AQ19" s="56" t="s">
        <v>161</v>
      </c>
      <c r="AR19" s="67">
        <f>AVERAGE(AR14:AR18)</f>
        <v>0.76849999999999996</v>
      </c>
      <c r="AT19" s="56" t="s">
        <v>161</v>
      </c>
      <c r="AU19" s="74">
        <f>AVERAGE(AU14:AU18)</f>
        <v>0.99280000000000002</v>
      </c>
      <c r="AZ19" s="56" t="s">
        <v>162</v>
      </c>
      <c r="BA19" s="74">
        <f>AVERAGE(BA14:BA17)</f>
        <v>0.20256961402794735</v>
      </c>
      <c r="BC19" s="56" t="s">
        <v>162</v>
      </c>
      <c r="BD19" s="74">
        <f>AVERAGE(BD14:BD17)</f>
        <v>0.43025030525030522</v>
      </c>
      <c r="BF19" s="56" t="s">
        <v>162</v>
      </c>
      <c r="BG19" s="67">
        <f>AVERAGE(BG14:BG18)</f>
        <v>0.43672839506172839</v>
      </c>
      <c r="BH19" s="7"/>
      <c r="BI19" s="56" t="s">
        <v>162</v>
      </c>
      <c r="BJ19" s="74">
        <f>AVERAGE(BJ14:BJ18)</f>
        <v>0.48387380593262941</v>
      </c>
      <c r="BL19" s="56" t="s">
        <v>162</v>
      </c>
      <c r="BM19" s="74">
        <f>AVERAGE(BM14:BM18)</f>
        <v>0.5284215363760818</v>
      </c>
      <c r="BO19" s="56" t="s">
        <v>162</v>
      </c>
      <c r="BP19" s="67">
        <f>AVERAGE(BP14:BP18)</f>
        <v>0.62843152470759223</v>
      </c>
      <c r="BQ19" s="7"/>
      <c r="BR19" s="56" t="s">
        <v>162</v>
      </c>
      <c r="BS19" s="74">
        <f>AVERAGE(BS14:BS18)</f>
        <v>0.67878973266813936</v>
      </c>
      <c r="BU19" s="56" t="s">
        <v>162</v>
      </c>
      <c r="BV19" s="74">
        <f>AVERAGE(BV14:BV18)</f>
        <v>0.7256830548538592</v>
      </c>
      <c r="BX19" s="56" t="s">
        <v>162</v>
      </c>
      <c r="BY19" s="67">
        <f>AVERAGE(BY14:BY18)</f>
        <v>0.8270387430546895</v>
      </c>
      <c r="BZ19" s="7"/>
      <c r="CA19" s="56" t="s">
        <v>162</v>
      </c>
      <c r="CB19" s="74">
        <f>AVERAGE(CB14:CB18)</f>
        <v>0.80199999999999994</v>
      </c>
      <c r="CD19" s="56" t="s">
        <v>162</v>
      </c>
      <c r="CE19" s="74">
        <f>AVERAGE(CE14:CE18)</f>
        <v>0.85</v>
      </c>
      <c r="CG19" s="56" t="s">
        <v>162</v>
      </c>
      <c r="CH19" s="67">
        <f>AVERAGE(CH14:CH18)</f>
        <v>0.98599999999999999</v>
      </c>
      <c r="CI19" s="292"/>
      <c r="CJ19" s="7"/>
      <c r="CK19" s="7"/>
      <c r="FO19"/>
      <c r="FP19"/>
      <c r="FQ19"/>
      <c r="FR19"/>
    </row>
    <row r="20" spans="1:174" s="4" customFormat="1" ht="45" customHeight="1" x14ac:dyDescent="0.2">
      <c r="A20" s="368" t="s">
        <v>84</v>
      </c>
      <c r="B20" s="368" t="s">
        <v>274</v>
      </c>
      <c r="C20" s="393" t="s">
        <v>2719</v>
      </c>
      <c r="D20" s="368" t="s">
        <v>41</v>
      </c>
      <c r="E20" s="373" t="s">
        <v>422</v>
      </c>
      <c r="F20" s="368" t="s">
        <v>88</v>
      </c>
      <c r="G20" s="368" t="s">
        <v>276</v>
      </c>
      <c r="H20" s="401"/>
      <c r="I20" s="434">
        <v>6133471696</v>
      </c>
      <c r="J20" s="368" t="s">
        <v>372</v>
      </c>
      <c r="K20" s="368" t="s">
        <v>373</v>
      </c>
      <c r="L20" s="393">
        <v>298</v>
      </c>
      <c r="M20" s="462">
        <v>0</v>
      </c>
      <c r="N20" s="366">
        <f>+M20/L20</f>
        <v>0</v>
      </c>
      <c r="O20" s="378" t="s">
        <v>423</v>
      </c>
      <c r="P20" s="484">
        <v>1</v>
      </c>
      <c r="Q20" s="366">
        <f>+P20/L20</f>
        <v>3.3557046979865771E-3</v>
      </c>
      <c r="R20" s="378" t="s">
        <v>424</v>
      </c>
      <c r="S20" s="484">
        <v>18</v>
      </c>
      <c r="T20" s="366">
        <f>+S20/L20</f>
        <v>6.0402684563758392E-2</v>
      </c>
      <c r="U20" s="378" t="s">
        <v>425</v>
      </c>
      <c r="V20" s="462">
        <v>39</v>
      </c>
      <c r="W20" s="366">
        <v>0.13087248322147652</v>
      </c>
      <c r="X20" s="378" t="s">
        <v>1083</v>
      </c>
      <c r="Y20" s="484">
        <v>57</v>
      </c>
      <c r="Z20" s="366">
        <v>0.1912751677852349</v>
      </c>
      <c r="AA20" s="378" t="s">
        <v>1120</v>
      </c>
      <c r="AB20" s="484">
        <v>76</v>
      </c>
      <c r="AC20" s="366">
        <v>0.25503355704697989</v>
      </c>
      <c r="AD20" s="378" t="s">
        <v>1156</v>
      </c>
      <c r="AE20" s="462">
        <v>107</v>
      </c>
      <c r="AF20" s="366">
        <v>0.35906040268456374</v>
      </c>
      <c r="AG20" s="378" t="s">
        <v>1336</v>
      </c>
      <c r="AH20" s="484">
        <v>134</v>
      </c>
      <c r="AI20" s="366">
        <v>0.44966442953020136</v>
      </c>
      <c r="AJ20" s="378" t="s">
        <v>1383</v>
      </c>
      <c r="AK20" s="484">
        <v>162</v>
      </c>
      <c r="AL20" s="366">
        <v>0.5436241610738255</v>
      </c>
      <c r="AM20" s="378" t="s">
        <v>1414</v>
      </c>
      <c r="AN20" s="462">
        <v>192</v>
      </c>
      <c r="AO20" s="366">
        <v>0.64</v>
      </c>
      <c r="AP20" s="378" t="s">
        <v>1988</v>
      </c>
      <c r="AQ20" s="484">
        <v>227</v>
      </c>
      <c r="AR20" s="366">
        <v>0.76</v>
      </c>
      <c r="AS20" s="378" t="s">
        <v>2020</v>
      </c>
      <c r="AT20" s="484">
        <v>307</v>
      </c>
      <c r="AU20" s="366">
        <v>1</v>
      </c>
      <c r="AV20" s="378" t="s">
        <v>2062</v>
      </c>
      <c r="AW20" s="11" t="s">
        <v>377</v>
      </c>
      <c r="AX20" s="11" t="s">
        <v>378</v>
      </c>
      <c r="AY20" s="125">
        <v>212</v>
      </c>
      <c r="AZ20" s="121">
        <v>2</v>
      </c>
      <c r="BA20" s="129">
        <v>9.433962264150943E-3</v>
      </c>
      <c r="BB20" s="60" t="s">
        <v>426</v>
      </c>
      <c r="BC20" s="121">
        <v>20</v>
      </c>
      <c r="BD20" s="129">
        <v>9.4339622641509441E-2</v>
      </c>
      <c r="BE20" s="60" t="s">
        <v>427</v>
      </c>
      <c r="BF20" s="121">
        <v>39</v>
      </c>
      <c r="BG20" s="129">
        <v>0.18396226415094338</v>
      </c>
      <c r="BH20" s="60" t="s">
        <v>428</v>
      </c>
      <c r="BI20" s="121">
        <v>63</v>
      </c>
      <c r="BJ20" s="144">
        <v>0.29716981132075471</v>
      </c>
      <c r="BK20" s="60" t="s">
        <v>1101</v>
      </c>
      <c r="BL20" s="121">
        <v>78</v>
      </c>
      <c r="BM20" s="144">
        <v>0.36792452830188677</v>
      </c>
      <c r="BN20" s="60" t="s">
        <v>1138</v>
      </c>
      <c r="BO20" s="121">
        <v>101</v>
      </c>
      <c r="BP20" s="144">
        <v>0.47641509433962265</v>
      </c>
      <c r="BQ20" s="60" t="s">
        <v>1182</v>
      </c>
      <c r="BR20" s="121">
        <v>127</v>
      </c>
      <c r="BS20" s="223">
        <v>0.59905660377358494</v>
      </c>
      <c r="BT20" s="60" t="s">
        <v>1361</v>
      </c>
      <c r="BU20" s="121">
        <v>148</v>
      </c>
      <c r="BV20" s="223">
        <v>0.69811320754716977</v>
      </c>
      <c r="BW20" s="60" t="s">
        <v>1400</v>
      </c>
      <c r="BX20" s="121">
        <v>174</v>
      </c>
      <c r="BY20" s="223">
        <v>0.82075471698113212</v>
      </c>
      <c r="BZ20" s="60" t="s">
        <v>1439</v>
      </c>
      <c r="CA20" s="121">
        <v>206</v>
      </c>
      <c r="CB20" s="279">
        <v>0.97</v>
      </c>
      <c r="CC20" s="60" t="s">
        <v>2006</v>
      </c>
      <c r="CD20" s="121">
        <v>218</v>
      </c>
      <c r="CE20" s="279">
        <v>1</v>
      </c>
      <c r="CF20" s="60" t="s">
        <v>2042</v>
      </c>
      <c r="CG20" s="121">
        <v>219</v>
      </c>
      <c r="CH20" s="279">
        <v>1</v>
      </c>
      <c r="CI20" s="60" t="s">
        <v>2081</v>
      </c>
      <c r="CJ20" s="11" t="s">
        <v>106</v>
      </c>
      <c r="CK20" s="11" t="s">
        <v>107</v>
      </c>
    </row>
    <row r="21" spans="1:174" s="4" customFormat="1" ht="45" customHeight="1" x14ac:dyDescent="0.2">
      <c r="A21" s="368"/>
      <c r="B21" s="368"/>
      <c r="C21" s="393"/>
      <c r="D21" s="368" t="s">
        <v>41</v>
      </c>
      <c r="E21" s="368" t="s">
        <v>422</v>
      </c>
      <c r="F21" s="368"/>
      <c r="G21" s="368"/>
      <c r="H21" s="401"/>
      <c r="I21" s="434"/>
      <c r="J21" s="368" t="s">
        <v>372</v>
      </c>
      <c r="K21" s="368" t="s">
        <v>373</v>
      </c>
      <c r="L21" s="393">
        <v>298</v>
      </c>
      <c r="M21" s="487"/>
      <c r="N21" s="402"/>
      <c r="O21" s="379"/>
      <c r="P21" s="485"/>
      <c r="Q21" s="402"/>
      <c r="R21" s="379"/>
      <c r="S21" s="485"/>
      <c r="T21" s="402"/>
      <c r="U21" s="379"/>
      <c r="V21" s="487"/>
      <c r="W21" s="402"/>
      <c r="X21" s="379"/>
      <c r="Y21" s="485"/>
      <c r="Z21" s="402"/>
      <c r="AA21" s="379"/>
      <c r="AB21" s="485"/>
      <c r="AC21" s="402"/>
      <c r="AD21" s="379"/>
      <c r="AE21" s="487"/>
      <c r="AF21" s="402"/>
      <c r="AG21" s="379"/>
      <c r="AH21" s="485"/>
      <c r="AI21" s="402"/>
      <c r="AJ21" s="379"/>
      <c r="AK21" s="485"/>
      <c r="AL21" s="402"/>
      <c r="AM21" s="379"/>
      <c r="AN21" s="487"/>
      <c r="AO21" s="402"/>
      <c r="AP21" s="379"/>
      <c r="AQ21" s="485"/>
      <c r="AR21" s="402"/>
      <c r="AS21" s="379"/>
      <c r="AT21" s="485"/>
      <c r="AU21" s="402"/>
      <c r="AV21" s="379"/>
      <c r="AW21" s="11" t="s">
        <v>382</v>
      </c>
      <c r="AX21" s="11" t="s">
        <v>383</v>
      </c>
      <c r="AY21" s="125">
        <v>212</v>
      </c>
      <c r="AZ21" s="121">
        <v>0</v>
      </c>
      <c r="BA21" s="129">
        <v>0</v>
      </c>
      <c r="BB21" s="60" t="s">
        <v>429</v>
      </c>
      <c r="BC21" s="121">
        <v>1</v>
      </c>
      <c r="BD21" s="129">
        <v>4.7169811320754715E-3</v>
      </c>
      <c r="BE21" s="60" t="s">
        <v>430</v>
      </c>
      <c r="BF21" s="121">
        <v>18</v>
      </c>
      <c r="BG21" s="129">
        <v>8.4905660377358486E-2</v>
      </c>
      <c r="BH21" s="60" t="s">
        <v>431</v>
      </c>
      <c r="BI21" s="121">
        <v>32</v>
      </c>
      <c r="BJ21" s="144">
        <v>0.15094339622641509</v>
      </c>
      <c r="BK21" s="60" t="s">
        <v>1102</v>
      </c>
      <c r="BL21" s="121">
        <v>46</v>
      </c>
      <c r="BM21" s="144">
        <v>0.21698113207547171</v>
      </c>
      <c r="BN21" s="60" t="s">
        <v>1139</v>
      </c>
      <c r="BO21" s="121">
        <v>65</v>
      </c>
      <c r="BP21" s="144">
        <v>0.30660377358490565</v>
      </c>
      <c r="BQ21" s="60" t="s">
        <v>1183</v>
      </c>
      <c r="BR21" s="121">
        <v>84</v>
      </c>
      <c r="BS21" s="223">
        <v>0.39622641509433965</v>
      </c>
      <c r="BT21" s="60" t="s">
        <v>1362</v>
      </c>
      <c r="BU21" s="121">
        <v>103</v>
      </c>
      <c r="BV21" s="223">
        <v>0.48584905660377359</v>
      </c>
      <c r="BW21" s="60" t="s">
        <v>1401</v>
      </c>
      <c r="BX21" s="121">
        <v>119</v>
      </c>
      <c r="BY21" s="223">
        <v>0.56132075471698117</v>
      </c>
      <c r="BZ21" s="60" t="s">
        <v>1440</v>
      </c>
      <c r="CA21" s="121">
        <v>137</v>
      </c>
      <c r="CB21" s="279">
        <v>0.65</v>
      </c>
      <c r="CC21" s="60" t="s">
        <v>2007</v>
      </c>
      <c r="CD21" s="121">
        <v>161</v>
      </c>
      <c r="CE21" s="279">
        <v>0.76</v>
      </c>
      <c r="CF21" s="60" t="s">
        <v>2043</v>
      </c>
      <c r="CG21" s="121">
        <v>213</v>
      </c>
      <c r="CH21" s="279">
        <v>1</v>
      </c>
      <c r="CI21" s="60" t="s">
        <v>2082</v>
      </c>
      <c r="CJ21" s="11" t="s">
        <v>106</v>
      </c>
      <c r="CK21" s="11" t="s">
        <v>107</v>
      </c>
    </row>
    <row r="22" spans="1:174" s="4" customFormat="1" ht="132" x14ac:dyDescent="0.2">
      <c r="A22" s="368"/>
      <c r="B22" s="368"/>
      <c r="C22" s="393"/>
      <c r="D22" s="368" t="s">
        <v>41</v>
      </c>
      <c r="E22" s="368" t="s">
        <v>422</v>
      </c>
      <c r="F22" s="368"/>
      <c r="G22" s="368"/>
      <c r="H22" s="401"/>
      <c r="I22" s="434"/>
      <c r="J22" s="368" t="s">
        <v>372</v>
      </c>
      <c r="K22" s="368" t="s">
        <v>373</v>
      </c>
      <c r="L22" s="393">
        <v>298</v>
      </c>
      <c r="M22" s="487"/>
      <c r="N22" s="402"/>
      <c r="O22" s="379"/>
      <c r="P22" s="485"/>
      <c r="Q22" s="402"/>
      <c r="R22" s="379"/>
      <c r="S22" s="485"/>
      <c r="T22" s="402"/>
      <c r="U22" s="379"/>
      <c r="V22" s="487"/>
      <c r="W22" s="402"/>
      <c r="X22" s="379"/>
      <c r="Y22" s="485"/>
      <c r="Z22" s="402"/>
      <c r="AA22" s="379"/>
      <c r="AB22" s="485"/>
      <c r="AC22" s="402"/>
      <c r="AD22" s="379"/>
      <c r="AE22" s="487"/>
      <c r="AF22" s="402"/>
      <c r="AG22" s="379"/>
      <c r="AH22" s="485"/>
      <c r="AI22" s="402"/>
      <c r="AJ22" s="379"/>
      <c r="AK22" s="485"/>
      <c r="AL22" s="402"/>
      <c r="AM22" s="379"/>
      <c r="AN22" s="487"/>
      <c r="AO22" s="402"/>
      <c r="AP22" s="379"/>
      <c r="AQ22" s="485"/>
      <c r="AR22" s="402"/>
      <c r="AS22" s="379"/>
      <c r="AT22" s="485"/>
      <c r="AU22" s="402"/>
      <c r="AV22" s="379"/>
      <c r="AW22" s="11" t="s">
        <v>387</v>
      </c>
      <c r="AX22" s="11" t="s">
        <v>388</v>
      </c>
      <c r="AY22" s="125">
        <v>86</v>
      </c>
      <c r="AZ22" s="121">
        <v>0</v>
      </c>
      <c r="BA22" s="129">
        <v>0</v>
      </c>
      <c r="BB22" s="60" t="s">
        <v>432</v>
      </c>
      <c r="BC22" s="121">
        <v>5</v>
      </c>
      <c r="BD22" s="129">
        <v>5.8139534883720929E-2</v>
      </c>
      <c r="BE22" s="60" t="s">
        <v>433</v>
      </c>
      <c r="BF22" s="121">
        <v>12</v>
      </c>
      <c r="BG22" s="129">
        <v>0.13953488372093023</v>
      </c>
      <c r="BH22" s="60" t="s">
        <v>434</v>
      </c>
      <c r="BI22" s="121">
        <v>16</v>
      </c>
      <c r="BJ22" s="144">
        <v>0.18604651162790697</v>
      </c>
      <c r="BK22" s="60" t="s">
        <v>1103</v>
      </c>
      <c r="BL22" s="121">
        <v>22</v>
      </c>
      <c r="BM22" s="144">
        <v>0.2558139534883721</v>
      </c>
      <c r="BN22" s="60" t="s">
        <v>1140</v>
      </c>
      <c r="BO22" s="121">
        <v>29</v>
      </c>
      <c r="BP22" s="144">
        <v>0.33720930232558138</v>
      </c>
      <c r="BQ22" s="60" t="s">
        <v>1184</v>
      </c>
      <c r="BR22" s="121">
        <v>41</v>
      </c>
      <c r="BS22" s="223">
        <v>0.47674418604651164</v>
      </c>
      <c r="BT22" s="60" t="s">
        <v>1363</v>
      </c>
      <c r="BU22" s="121">
        <v>50</v>
      </c>
      <c r="BV22" s="223">
        <v>0.58139534883720934</v>
      </c>
      <c r="BW22" s="60" t="s">
        <v>1402</v>
      </c>
      <c r="BX22" s="121">
        <v>59</v>
      </c>
      <c r="BY22" s="223">
        <v>0.68604651162790697</v>
      </c>
      <c r="BZ22" s="60" t="s">
        <v>1441</v>
      </c>
      <c r="CA22" s="121">
        <v>65</v>
      </c>
      <c r="CB22" s="279">
        <v>0.76</v>
      </c>
      <c r="CC22" s="60" t="s">
        <v>2008</v>
      </c>
      <c r="CD22" s="121">
        <v>74</v>
      </c>
      <c r="CE22" s="279">
        <v>0.86</v>
      </c>
      <c r="CF22" s="60" t="s">
        <v>2044</v>
      </c>
      <c r="CG22" s="121">
        <v>92</v>
      </c>
      <c r="CH22" s="279">
        <v>1</v>
      </c>
      <c r="CI22" s="60" t="s">
        <v>2083</v>
      </c>
      <c r="CJ22" s="11" t="s">
        <v>106</v>
      </c>
      <c r="CK22" s="11" t="s">
        <v>107</v>
      </c>
    </row>
    <row r="23" spans="1:174" s="4" customFormat="1" ht="45" customHeight="1" x14ac:dyDescent="0.2">
      <c r="A23" s="368"/>
      <c r="B23" s="368"/>
      <c r="C23" s="393"/>
      <c r="D23" s="368" t="s">
        <v>41</v>
      </c>
      <c r="E23" s="368" t="s">
        <v>422</v>
      </c>
      <c r="F23" s="368"/>
      <c r="G23" s="368"/>
      <c r="H23" s="401"/>
      <c r="I23" s="434"/>
      <c r="J23" s="368" t="s">
        <v>372</v>
      </c>
      <c r="K23" s="368" t="s">
        <v>373</v>
      </c>
      <c r="L23" s="393">
        <v>298</v>
      </c>
      <c r="M23" s="487"/>
      <c r="N23" s="402"/>
      <c r="O23" s="379"/>
      <c r="P23" s="485"/>
      <c r="Q23" s="402"/>
      <c r="R23" s="379"/>
      <c r="S23" s="485"/>
      <c r="T23" s="402"/>
      <c r="U23" s="379"/>
      <c r="V23" s="487"/>
      <c r="W23" s="402"/>
      <c r="X23" s="379"/>
      <c r="Y23" s="485"/>
      <c r="Z23" s="402"/>
      <c r="AA23" s="379"/>
      <c r="AB23" s="485"/>
      <c r="AC23" s="402"/>
      <c r="AD23" s="379"/>
      <c r="AE23" s="487"/>
      <c r="AF23" s="402"/>
      <c r="AG23" s="379"/>
      <c r="AH23" s="485"/>
      <c r="AI23" s="402"/>
      <c r="AJ23" s="379"/>
      <c r="AK23" s="485"/>
      <c r="AL23" s="402"/>
      <c r="AM23" s="379"/>
      <c r="AN23" s="487"/>
      <c r="AO23" s="402"/>
      <c r="AP23" s="379"/>
      <c r="AQ23" s="485"/>
      <c r="AR23" s="402"/>
      <c r="AS23" s="379"/>
      <c r="AT23" s="485"/>
      <c r="AU23" s="402"/>
      <c r="AV23" s="379"/>
      <c r="AW23" s="11" t="s">
        <v>392</v>
      </c>
      <c r="AX23" s="11" t="s">
        <v>393</v>
      </c>
      <c r="AY23" s="128">
        <v>0.54</v>
      </c>
      <c r="AZ23" s="60">
        <v>0</v>
      </c>
      <c r="BA23" s="129">
        <v>0</v>
      </c>
      <c r="BB23" s="60" t="s">
        <v>435</v>
      </c>
      <c r="BC23" s="60">
        <v>1</v>
      </c>
      <c r="BD23" s="129">
        <v>1.8518518518518516</v>
      </c>
      <c r="BE23" s="60" t="s">
        <v>436</v>
      </c>
      <c r="BF23" s="60">
        <v>0.66666666666666663</v>
      </c>
      <c r="BG23" s="129">
        <v>1.2345679012345678</v>
      </c>
      <c r="BH23" s="60" t="s">
        <v>437</v>
      </c>
      <c r="BI23" s="60">
        <v>0.64102564102564108</v>
      </c>
      <c r="BJ23" s="144">
        <v>1.1870845204178537</v>
      </c>
      <c r="BK23" s="60" t="s">
        <v>1104</v>
      </c>
      <c r="BL23" s="60">
        <v>0.59649122807017541</v>
      </c>
      <c r="BM23" s="144">
        <v>1.1046133853151396</v>
      </c>
      <c r="BN23" s="60" t="s">
        <v>1141</v>
      </c>
      <c r="BO23" s="60">
        <v>0.64473684210526316</v>
      </c>
      <c r="BP23" s="144">
        <v>1.1939571150097466</v>
      </c>
      <c r="BQ23" s="60" t="s">
        <v>1185</v>
      </c>
      <c r="BR23" s="60">
        <v>0.66355140186915884</v>
      </c>
      <c r="BS23" s="223">
        <v>1.2287988923502942</v>
      </c>
      <c r="BT23" s="60" t="s">
        <v>1364</v>
      </c>
      <c r="BU23" s="60">
        <v>0.61940298507462688</v>
      </c>
      <c r="BV23" s="223">
        <v>1.1470425649530127</v>
      </c>
      <c r="BW23" s="60" t="s">
        <v>1403</v>
      </c>
      <c r="BX23" s="60">
        <v>0.61111111111111116</v>
      </c>
      <c r="BY23" s="223">
        <v>1.131687242798354</v>
      </c>
      <c r="BZ23" s="60" t="s">
        <v>1442</v>
      </c>
      <c r="CA23" s="60">
        <v>0.6</v>
      </c>
      <c r="CB23" s="279">
        <v>1</v>
      </c>
      <c r="CC23" s="60" t="s">
        <v>2009</v>
      </c>
      <c r="CD23" s="60">
        <v>0.56999999999999995</v>
      </c>
      <c r="CE23" s="279">
        <v>1</v>
      </c>
      <c r="CF23" s="60" t="s">
        <v>2045</v>
      </c>
      <c r="CG23" s="60">
        <v>0.54</v>
      </c>
      <c r="CH23" s="279">
        <v>1</v>
      </c>
      <c r="CI23" s="60" t="s">
        <v>2084</v>
      </c>
      <c r="CJ23" s="11" t="s">
        <v>106</v>
      </c>
      <c r="CK23" s="11" t="s">
        <v>107</v>
      </c>
    </row>
    <row r="24" spans="1:174" s="4" customFormat="1" ht="45" customHeight="1" x14ac:dyDescent="0.2">
      <c r="A24" s="368"/>
      <c r="B24" s="368"/>
      <c r="C24" s="393"/>
      <c r="D24" s="368" t="s">
        <v>41</v>
      </c>
      <c r="E24" s="368" t="s">
        <v>422</v>
      </c>
      <c r="F24" s="368"/>
      <c r="G24" s="368"/>
      <c r="H24" s="401"/>
      <c r="I24" s="434"/>
      <c r="J24" s="368" t="s">
        <v>372</v>
      </c>
      <c r="K24" s="368" t="s">
        <v>373</v>
      </c>
      <c r="L24" s="393">
        <v>298</v>
      </c>
      <c r="M24" s="463"/>
      <c r="N24" s="367"/>
      <c r="O24" s="380"/>
      <c r="P24" s="486"/>
      <c r="Q24" s="367"/>
      <c r="R24" s="380"/>
      <c r="S24" s="486"/>
      <c r="T24" s="367"/>
      <c r="U24" s="380"/>
      <c r="V24" s="463"/>
      <c r="W24" s="367"/>
      <c r="X24" s="380"/>
      <c r="Y24" s="486"/>
      <c r="Z24" s="367"/>
      <c r="AA24" s="380"/>
      <c r="AB24" s="486"/>
      <c r="AC24" s="367"/>
      <c r="AD24" s="380"/>
      <c r="AE24" s="463"/>
      <c r="AF24" s="367"/>
      <c r="AG24" s="380"/>
      <c r="AH24" s="486"/>
      <c r="AI24" s="367"/>
      <c r="AJ24" s="380"/>
      <c r="AK24" s="486"/>
      <c r="AL24" s="367"/>
      <c r="AM24" s="380"/>
      <c r="AN24" s="463"/>
      <c r="AO24" s="367"/>
      <c r="AP24" s="380"/>
      <c r="AQ24" s="486"/>
      <c r="AR24" s="367"/>
      <c r="AS24" s="380"/>
      <c r="AT24" s="486"/>
      <c r="AU24" s="367"/>
      <c r="AV24" s="380"/>
      <c r="AW24" s="11" t="s">
        <v>397</v>
      </c>
      <c r="AX24" s="11" t="s">
        <v>398</v>
      </c>
      <c r="AY24" s="128">
        <v>0.05</v>
      </c>
      <c r="AZ24" s="60"/>
      <c r="BA24" s="129">
        <v>0</v>
      </c>
      <c r="BB24" s="60" t="s">
        <v>399</v>
      </c>
      <c r="BC24" s="60"/>
      <c r="BD24" s="129">
        <v>0</v>
      </c>
      <c r="BE24" s="60" t="s">
        <v>399</v>
      </c>
      <c r="BF24" s="60">
        <v>0</v>
      </c>
      <c r="BG24" s="129">
        <v>0</v>
      </c>
      <c r="BH24" s="60" t="s">
        <v>438</v>
      </c>
      <c r="BI24" s="60">
        <v>0</v>
      </c>
      <c r="BJ24" s="144">
        <v>0</v>
      </c>
      <c r="BK24" s="60" t="s">
        <v>399</v>
      </c>
      <c r="BL24" s="60">
        <v>0</v>
      </c>
      <c r="BM24" s="144">
        <v>0</v>
      </c>
      <c r="BN24" s="60" t="s">
        <v>438</v>
      </c>
      <c r="BO24" s="60">
        <v>0</v>
      </c>
      <c r="BP24" s="144">
        <v>0</v>
      </c>
      <c r="BQ24" s="60" t="s">
        <v>1186</v>
      </c>
      <c r="BR24" s="60">
        <v>0</v>
      </c>
      <c r="BS24" s="223">
        <v>0</v>
      </c>
      <c r="BT24" s="60" t="s">
        <v>1365</v>
      </c>
      <c r="BU24" s="60">
        <v>0</v>
      </c>
      <c r="BV24" s="223">
        <v>0</v>
      </c>
      <c r="BW24" s="60" t="s">
        <v>1365</v>
      </c>
      <c r="BX24" s="60">
        <v>4.49438202247191E-2</v>
      </c>
      <c r="BY24" s="223">
        <v>0.898876404494382</v>
      </c>
      <c r="BZ24" s="60" t="s">
        <v>1443</v>
      </c>
      <c r="CA24" s="60">
        <v>4.4999999999999998E-2</v>
      </c>
      <c r="CB24" s="279">
        <v>0.9</v>
      </c>
      <c r="CC24" s="60" t="s">
        <v>1443</v>
      </c>
      <c r="CD24" s="60">
        <v>4.4999999999999998E-2</v>
      </c>
      <c r="CE24" s="279">
        <v>0.9</v>
      </c>
      <c r="CF24" s="60" t="s">
        <v>1443</v>
      </c>
      <c r="CG24" s="60">
        <v>5.1999999999999998E-2</v>
      </c>
      <c r="CH24" s="279">
        <v>1</v>
      </c>
      <c r="CI24" s="60" t="s">
        <v>2085</v>
      </c>
      <c r="CJ24" s="11" t="s">
        <v>106</v>
      </c>
      <c r="CK24" s="11" t="s">
        <v>107</v>
      </c>
    </row>
    <row r="25" spans="1:174" ht="75" x14ac:dyDescent="0.25">
      <c r="H25" s="401"/>
      <c r="M25" s="56" t="s">
        <v>161</v>
      </c>
      <c r="N25" s="67">
        <f>AVERAGE(N20:N24)</f>
        <v>0</v>
      </c>
      <c r="P25" s="56" t="s">
        <v>161</v>
      </c>
      <c r="Q25" s="67">
        <f>AVERAGE(Q20:Q24)</f>
        <v>3.3557046979865771E-3</v>
      </c>
      <c r="S25" s="56" t="s">
        <v>161</v>
      </c>
      <c r="T25" s="74">
        <f>AVERAGE(T20:T24)</f>
        <v>6.0402684563758392E-2</v>
      </c>
      <c r="V25" s="56" t="s">
        <v>161</v>
      </c>
      <c r="W25" s="67">
        <f>AVERAGE(W20:W24)</f>
        <v>0.13087248322147652</v>
      </c>
      <c r="Y25" s="56" t="s">
        <v>161</v>
      </c>
      <c r="Z25" s="67">
        <f>AVERAGE(Z20:Z24)</f>
        <v>0.1912751677852349</v>
      </c>
      <c r="AB25" s="56" t="s">
        <v>161</v>
      </c>
      <c r="AC25" s="74">
        <f>AVERAGE(AC20:AC24)</f>
        <v>0.25503355704697989</v>
      </c>
      <c r="AE25" s="56" t="s">
        <v>161</v>
      </c>
      <c r="AF25" s="67">
        <f>AVERAGE(AF20:AF24)</f>
        <v>0.35906040268456374</v>
      </c>
      <c r="AH25" s="56" t="s">
        <v>161</v>
      </c>
      <c r="AI25" s="67">
        <f>AVERAGE(AI20:AI24)</f>
        <v>0.44966442953020136</v>
      </c>
      <c r="AK25" s="56" t="s">
        <v>161</v>
      </c>
      <c r="AL25" s="74">
        <f>AVERAGE(AL20:AL24)</f>
        <v>0.5436241610738255</v>
      </c>
      <c r="AN25" s="56" t="s">
        <v>161</v>
      </c>
      <c r="AO25" s="67">
        <f>AVERAGE(AO20:AO24)</f>
        <v>0.64</v>
      </c>
      <c r="AQ25" s="56" t="s">
        <v>161</v>
      </c>
      <c r="AR25" s="67">
        <f>AVERAGE(AR20:AR24)</f>
        <v>0.76</v>
      </c>
      <c r="AT25" s="56" t="s">
        <v>161</v>
      </c>
      <c r="AU25" s="74">
        <f>AVERAGE(AU20:AU24)</f>
        <v>1</v>
      </c>
      <c r="AZ25" s="56" t="s">
        <v>162</v>
      </c>
      <c r="BA25" s="74">
        <f>AVERAGE(BA20:BA23)</f>
        <v>2.3584905660377358E-3</v>
      </c>
      <c r="BC25" s="56" t="s">
        <v>162</v>
      </c>
      <c r="BD25" s="74">
        <f>AVERAGE(BD20:BD23)</f>
        <v>0.5022619976272894</v>
      </c>
      <c r="BF25" s="56" t="s">
        <v>162</v>
      </c>
      <c r="BG25" s="74">
        <f>AVERAGE(BG20:BG24)</f>
        <v>0.32859414189676001</v>
      </c>
      <c r="BH25" s="7"/>
      <c r="BI25" s="56" t="s">
        <v>162</v>
      </c>
      <c r="BJ25" s="74">
        <f>AVERAGE(BJ20:BJ24)</f>
        <v>0.36424884791858608</v>
      </c>
      <c r="BL25" s="56" t="s">
        <v>162</v>
      </c>
      <c r="BM25" s="74">
        <f>AVERAGE(BM20:BM24)</f>
        <v>0.38906659983617403</v>
      </c>
      <c r="BO25" s="56" t="s">
        <v>162</v>
      </c>
      <c r="BP25" s="74">
        <f>AVERAGE(BP20:BP24)</f>
        <v>0.4628370570519712</v>
      </c>
      <c r="BQ25" s="7"/>
      <c r="BR25" s="56" t="s">
        <v>162</v>
      </c>
      <c r="BS25" s="74">
        <f>AVERAGE(BS20:BS24)</f>
        <v>0.54016521945294615</v>
      </c>
      <c r="BU25" s="56" t="s">
        <v>162</v>
      </c>
      <c r="BV25" s="74">
        <f>AVERAGE(BV20:BV24)</f>
        <v>0.58248003558823302</v>
      </c>
      <c r="BX25" s="56" t="s">
        <v>162</v>
      </c>
      <c r="BY25" s="74">
        <f>AVERAGE(BY20:BY24)</f>
        <v>0.81973712612375138</v>
      </c>
      <c r="BZ25" s="7"/>
      <c r="CA25" s="56" t="s">
        <v>162</v>
      </c>
      <c r="CB25" s="74">
        <f>AVERAGE(CB20:CB24)</f>
        <v>0.85600000000000009</v>
      </c>
      <c r="CD25" s="56" t="s">
        <v>162</v>
      </c>
      <c r="CE25" s="74">
        <f>AVERAGE(CE20:CE24)</f>
        <v>0.90400000000000014</v>
      </c>
      <c r="CG25" s="56" t="s">
        <v>162</v>
      </c>
      <c r="CH25" s="74">
        <f>AVERAGE(CH20:CH24)</f>
        <v>1</v>
      </c>
      <c r="CI25" s="292"/>
      <c r="CJ25" s="7"/>
      <c r="CK25" s="7"/>
      <c r="FO25"/>
      <c r="FP25"/>
      <c r="FQ25"/>
      <c r="FR25"/>
    </row>
    <row r="26" spans="1:174" s="4" customFormat="1" ht="45" customHeight="1" x14ac:dyDescent="0.2">
      <c r="A26" s="368" t="s">
        <v>84</v>
      </c>
      <c r="B26" s="368" t="s">
        <v>274</v>
      </c>
      <c r="C26" s="393" t="s">
        <v>2719</v>
      </c>
      <c r="D26" s="368" t="s">
        <v>41</v>
      </c>
      <c r="E26" s="393" t="s">
        <v>439</v>
      </c>
      <c r="F26" s="368" t="s">
        <v>88</v>
      </c>
      <c r="G26" s="368" t="s">
        <v>276</v>
      </c>
      <c r="H26" s="401"/>
      <c r="I26" s="434">
        <v>7235283979</v>
      </c>
      <c r="J26" s="368" t="s">
        <v>372</v>
      </c>
      <c r="K26" s="368" t="s">
        <v>373</v>
      </c>
      <c r="L26" s="393">
        <v>350</v>
      </c>
      <c r="M26" s="462">
        <v>17</v>
      </c>
      <c r="N26" s="366">
        <f>+M26/L26</f>
        <v>4.8571428571428571E-2</v>
      </c>
      <c r="O26" s="378" t="s">
        <v>440</v>
      </c>
      <c r="P26" s="462">
        <v>24</v>
      </c>
      <c r="Q26" s="366">
        <f>+P26/L26</f>
        <v>6.8571428571428575E-2</v>
      </c>
      <c r="R26" s="378" t="s">
        <v>441</v>
      </c>
      <c r="S26" s="484">
        <v>43</v>
      </c>
      <c r="T26" s="366">
        <f>+S26/L26</f>
        <v>0.12285714285714286</v>
      </c>
      <c r="U26" s="378" t="s">
        <v>442</v>
      </c>
      <c r="V26" s="462">
        <v>62</v>
      </c>
      <c r="W26" s="366">
        <v>0.18674698795180722</v>
      </c>
      <c r="X26" s="378" t="s">
        <v>1084</v>
      </c>
      <c r="Y26" s="484">
        <v>92</v>
      </c>
      <c r="Z26" s="366">
        <v>0.27710843373493976</v>
      </c>
      <c r="AA26" s="378" t="s">
        <v>1121</v>
      </c>
      <c r="AB26" s="484">
        <v>123</v>
      </c>
      <c r="AC26" s="366">
        <v>0.37048192771084337</v>
      </c>
      <c r="AD26" s="378" t="s">
        <v>1157</v>
      </c>
      <c r="AE26" s="462">
        <v>151</v>
      </c>
      <c r="AF26" s="366">
        <v>0.45481927710843373</v>
      </c>
      <c r="AG26" s="378" t="s">
        <v>1337</v>
      </c>
      <c r="AH26" s="484">
        <v>174</v>
      </c>
      <c r="AI26" s="366">
        <v>0.52409638554216864</v>
      </c>
      <c r="AJ26" s="378" t="s">
        <v>1384</v>
      </c>
      <c r="AK26" s="484">
        <v>204</v>
      </c>
      <c r="AL26" s="366">
        <v>0.58285714285714285</v>
      </c>
      <c r="AM26" s="378" t="s">
        <v>1415</v>
      </c>
      <c r="AN26" s="462">
        <v>233</v>
      </c>
      <c r="AO26" s="366">
        <v>0.67</v>
      </c>
      <c r="AP26" s="378" t="s">
        <v>1989</v>
      </c>
      <c r="AQ26" s="484">
        <v>271</v>
      </c>
      <c r="AR26" s="366">
        <v>0.77</v>
      </c>
      <c r="AS26" s="378" t="s">
        <v>2021</v>
      </c>
      <c r="AT26" s="484">
        <v>335</v>
      </c>
      <c r="AU26" s="366">
        <v>0.96</v>
      </c>
      <c r="AV26" s="378" t="s">
        <v>2063</v>
      </c>
      <c r="AW26" s="11" t="s">
        <v>377</v>
      </c>
      <c r="AX26" s="11" t="s">
        <v>378</v>
      </c>
      <c r="AY26" s="125">
        <v>257</v>
      </c>
      <c r="AZ26" s="124">
        <v>0</v>
      </c>
      <c r="BA26" s="129">
        <v>0</v>
      </c>
      <c r="BB26" s="60" t="s">
        <v>443</v>
      </c>
      <c r="BC26" s="124">
        <v>22</v>
      </c>
      <c r="BD26" s="129">
        <v>8.5603112840466927E-2</v>
      </c>
      <c r="BE26" s="60" t="s">
        <v>444</v>
      </c>
      <c r="BF26" s="124">
        <v>43</v>
      </c>
      <c r="BG26" s="129">
        <v>0.16731517509727625</v>
      </c>
      <c r="BH26" s="60" t="s">
        <v>445</v>
      </c>
      <c r="BI26" s="142">
        <v>65</v>
      </c>
      <c r="BJ26" s="144">
        <v>0.25291828793774318</v>
      </c>
      <c r="BK26" s="60" t="s">
        <v>1105</v>
      </c>
      <c r="BL26" s="142">
        <v>81</v>
      </c>
      <c r="BM26" s="144">
        <v>0.31517509727626458</v>
      </c>
      <c r="BN26" s="60" t="s">
        <v>1142</v>
      </c>
      <c r="BO26" s="142">
        <v>96</v>
      </c>
      <c r="BP26" s="144">
        <v>0.37354085603112841</v>
      </c>
      <c r="BQ26" s="60" t="s">
        <v>1187</v>
      </c>
      <c r="BR26" s="219">
        <v>119</v>
      </c>
      <c r="BS26" s="223">
        <v>0.46303501945525294</v>
      </c>
      <c r="BT26" s="60" t="s">
        <v>1366</v>
      </c>
      <c r="BU26" s="219">
        <v>136</v>
      </c>
      <c r="BV26" s="223">
        <v>0.52918287937743191</v>
      </c>
      <c r="BW26" s="60" t="s">
        <v>1404</v>
      </c>
      <c r="BX26" s="219">
        <v>160</v>
      </c>
      <c r="BY26" s="223">
        <v>0.62256809338521402</v>
      </c>
      <c r="BZ26" s="60" t="s">
        <v>1444</v>
      </c>
      <c r="CA26" s="265">
        <v>187</v>
      </c>
      <c r="CB26" s="279">
        <v>0.73</v>
      </c>
      <c r="CC26" s="60" t="s">
        <v>2010</v>
      </c>
      <c r="CD26" s="265">
        <v>222</v>
      </c>
      <c r="CE26" s="279">
        <v>0.86</v>
      </c>
      <c r="CF26" s="60" t="s">
        <v>2046</v>
      </c>
      <c r="CG26" s="265">
        <v>232</v>
      </c>
      <c r="CH26" s="279">
        <v>0.9</v>
      </c>
      <c r="CI26" s="60" t="s">
        <v>2086</v>
      </c>
      <c r="CJ26" s="11" t="s">
        <v>106</v>
      </c>
      <c r="CK26" s="11" t="s">
        <v>107</v>
      </c>
    </row>
    <row r="27" spans="1:174" s="4" customFormat="1" ht="45" customHeight="1" x14ac:dyDescent="0.2">
      <c r="A27" s="368"/>
      <c r="B27" s="368"/>
      <c r="C27" s="393"/>
      <c r="D27" s="368" t="s">
        <v>41</v>
      </c>
      <c r="E27" s="393" t="s">
        <v>439</v>
      </c>
      <c r="F27" s="368"/>
      <c r="G27" s="368"/>
      <c r="H27" s="401"/>
      <c r="I27" s="434"/>
      <c r="J27" s="368" t="s">
        <v>372</v>
      </c>
      <c r="K27" s="368" t="s">
        <v>373</v>
      </c>
      <c r="L27" s="393">
        <v>332</v>
      </c>
      <c r="M27" s="487"/>
      <c r="N27" s="402"/>
      <c r="O27" s="379"/>
      <c r="P27" s="487"/>
      <c r="Q27" s="402"/>
      <c r="R27" s="379"/>
      <c r="S27" s="485"/>
      <c r="T27" s="402"/>
      <c r="U27" s="379"/>
      <c r="V27" s="487"/>
      <c r="W27" s="402"/>
      <c r="X27" s="379"/>
      <c r="Y27" s="485"/>
      <c r="Z27" s="402"/>
      <c r="AA27" s="379"/>
      <c r="AB27" s="485"/>
      <c r="AC27" s="402"/>
      <c r="AD27" s="379"/>
      <c r="AE27" s="487"/>
      <c r="AF27" s="402"/>
      <c r="AG27" s="379"/>
      <c r="AH27" s="485"/>
      <c r="AI27" s="402"/>
      <c r="AJ27" s="379"/>
      <c r="AK27" s="485"/>
      <c r="AL27" s="402"/>
      <c r="AM27" s="379"/>
      <c r="AN27" s="487"/>
      <c r="AO27" s="402"/>
      <c r="AP27" s="379"/>
      <c r="AQ27" s="485"/>
      <c r="AR27" s="402"/>
      <c r="AS27" s="379"/>
      <c r="AT27" s="485"/>
      <c r="AU27" s="402"/>
      <c r="AV27" s="379"/>
      <c r="AW27" s="11" t="s">
        <v>382</v>
      </c>
      <c r="AX27" s="11" t="s">
        <v>383</v>
      </c>
      <c r="AY27" s="125">
        <v>257</v>
      </c>
      <c r="AZ27" s="124">
        <v>0</v>
      </c>
      <c r="BA27" s="129">
        <v>0</v>
      </c>
      <c r="BB27" s="60" t="s">
        <v>446</v>
      </c>
      <c r="BC27" s="124">
        <v>4</v>
      </c>
      <c r="BD27" s="129">
        <v>1.556420233463035E-2</v>
      </c>
      <c r="BE27" s="60" t="s">
        <v>447</v>
      </c>
      <c r="BF27" s="124">
        <v>17</v>
      </c>
      <c r="BG27" s="129">
        <v>6.6147859922178989E-2</v>
      </c>
      <c r="BH27" s="60" t="s">
        <v>448</v>
      </c>
      <c r="BI27" s="142">
        <v>36</v>
      </c>
      <c r="BJ27" s="144">
        <v>0.14007782101167315</v>
      </c>
      <c r="BK27" s="60" t="s">
        <v>1106</v>
      </c>
      <c r="BL27" s="142">
        <v>54</v>
      </c>
      <c r="BM27" s="144">
        <v>0.21011673151750973</v>
      </c>
      <c r="BN27" s="60" t="s">
        <v>1143</v>
      </c>
      <c r="BO27" s="142">
        <v>70</v>
      </c>
      <c r="BP27" s="144">
        <v>0.2723735408560311</v>
      </c>
      <c r="BQ27" s="60" t="s">
        <v>1188</v>
      </c>
      <c r="BR27" s="219">
        <v>84</v>
      </c>
      <c r="BS27" s="223">
        <v>0.32684824902723736</v>
      </c>
      <c r="BT27" s="60" t="s">
        <v>1367</v>
      </c>
      <c r="BU27" s="219">
        <v>107</v>
      </c>
      <c r="BV27" s="223">
        <v>0.41634241245136189</v>
      </c>
      <c r="BW27" s="60" t="s">
        <v>1405</v>
      </c>
      <c r="BX27" s="219">
        <v>131</v>
      </c>
      <c r="BY27" s="223">
        <v>0.50972762645914393</v>
      </c>
      <c r="BZ27" s="60" t="s">
        <v>1445</v>
      </c>
      <c r="CA27" s="265">
        <v>153</v>
      </c>
      <c r="CB27" s="279">
        <v>0.6</v>
      </c>
      <c r="CC27" s="60" t="s">
        <v>2011</v>
      </c>
      <c r="CD27" s="265">
        <v>180</v>
      </c>
      <c r="CE27" s="279">
        <v>0.7</v>
      </c>
      <c r="CF27" s="60" t="s">
        <v>2047</v>
      </c>
      <c r="CG27" s="265">
        <v>234</v>
      </c>
      <c r="CH27" s="279">
        <v>0.91</v>
      </c>
      <c r="CI27" s="60" t="s">
        <v>2087</v>
      </c>
      <c r="CJ27" s="11" t="s">
        <v>106</v>
      </c>
      <c r="CK27" s="11" t="s">
        <v>107</v>
      </c>
    </row>
    <row r="28" spans="1:174" s="4" customFormat="1" ht="60" x14ac:dyDescent="0.2">
      <c r="A28" s="368"/>
      <c r="B28" s="368"/>
      <c r="C28" s="393"/>
      <c r="D28" s="368" t="s">
        <v>41</v>
      </c>
      <c r="E28" s="393" t="s">
        <v>439</v>
      </c>
      <c r="F28" s="368"/>
      <c r="G28" s="368"/>
      <c r="H28" s="401"/>
      <c r="I28" s="434"/>
      <c r="J28" s="368" t="s">
        <v>372</v>
      </c>
      <c r="K28" s="368" t="s">
        <v>373</v>
      </c>
      <c r="L28" s="393">
        <v>332</v>
      </c>
      <c r="M28" s="487"/>
      <c r="N28" s="402"/>
      <c r="O28" s="379"/>
      <c r="P28" s="487"/>
      <c r="Q28" s="402"/>
      <c r="R28" s="379"/>
      <c r="S28" s="485"/>
      <c r="T28" s="402"/>
      <c r="U28" s="379"/>
      <c r="V28" s="487"/>
      <c r="W28" s="402"/>
      <c r="X28" s="379"/>
      <c r="Y28" s="485"/>
      <c r="Z28" s="402"/>
      <c r="AA28" s="379"/>
      <c r="AB28" s="485"/>
      <c r="AC28" s="402"/>
      <c r="AD28" s="379"/>
      <c r="AE28" s="487"/>
      <c r="AF28" s="402"/>
      <c r="AG28" s="379"/>
      <c r="AH28" s="485"/>
      <c r="AI28" s="402"/>
      <c r="AJ28" s="379"/>
      <c r="AK28" s="485"/>
      <c r="AL28" s="402"/>
      <c r="AM28" s="379"/>
      <c r="AN28" s="487"/>
      <c r="AO28" s="402"/>
      <c r="AP28" s="379"/>
      <c r="AQ28" s="485"/>
      <c r="AR28" s="402"/>
      <c r="AS28" s="379"/>
      <c r="AT28" s="485"/>
      <c r="AU28" s="402"/>
      <c r="AV28" s="379"/>
      <c r="AW28" s="11" t="s">
        <v>387</v>
      </c>
      <c r="AX28" s="11" t="s">
        <v>388</v>
      </c>
      <c r="AY28" s="125">
        <v>75</v>
      </c>
      <c r="AZ28" s="124">
        <v>0</v>
      </c>
      <c r="BA28" s="129">
        <v>0</v>
      </c>
      <c r="BB28" s="60" t="s">
        <v>449</v>
      </c>
      <c r="BC28" s="124">
        <v>8</v>
      </c>
      <c r="BD28" s="129">
        <v>0.10810810810810811</v>
      </c>
      <c r="BE28" s="60" t="s">
        <v>450</v>
      </c>
      <c r="BF28" s="124">
        <v>19</v>
      </c>
      <c r="BG28" s="129">
        <v>0.25675675675675674</v>
      </c>
      <c r="BH28" s="60" t="s">
        <v>451</v>
      </c>
      <c r="BI28" s="142">
        <v>27</v>
      </c>
      <c r="BJ28" s="144">
        <v>0.36486486486486486</v>
      </c>
      <c r="BK28" s="60" t="s">
        <v>1107</v>
      </c>
      <c r="BL28" s="142">
        <v>37</v>
      </c>
      <c r="BM28" s="144">
        <v>0.5</v>
      </c>
      <c r="BN28" s="60" t="s">
        <v>1144</v>
      </c>
      <c r="BO28" s="142">
        <v>48</v>
      </c>
      <c r="BP28" s="144">
        <v>0.64864864864864868</v>
      </c>
      <c r="BQ28" s="60" t="s">
        <v>1189</v>
      </c>
      <c r="BR28" s="219">
        <v>57</v>
      </c>
      <c r="BS28" s="223">
        <v>0.77027027027027029</v>
      </c>
      <c r="BT28" s="60" t="s">
        <v>1368</v>
      </c>
      <c r="BU28" s="219">
        <v>64</v>
      </c>
      <c r="BV28" s="223">
        <v>0.86486486486486491</v>
      </c>
      <c r="BW28" s="60" t="s">
        <v>1406</v>
      </c>
      <c r="BX28" s="219">
        <v>68</v>
      </c>
      <c r="BY28" s="223">
        <v>0.90666666666666662</v>
      </c>
      <c r="BZ28" s="60" t="s">
        <v>1446</v>
      </c>
      <c r="CA28" s="265">
        <v>72</v>
      </c>
      <c r="CB28" s="279">
        <v>0.96</v>
      </c>
      <c r="CC28" s="60" t="s">
        <v>2012</v>
      </c>
      <c r="CD28" s="265">
        <v>74</v>
      </c>
      <c r="CE28" s="279">
        <v>0.99</v>
      </c>
      <c r="CF28" s="60" t="s">
        <v>2048</v>
      </c>
      <c r="CG28" s="265">
        <v>75</v>
      </c>
      <c r="CH28" s="279">
        <v>1</v>
      </c>
      <c r="CI28" s="60" t="s">
        <v>2088</v>
      </c>
      <c r="CJ28" s="11" t="s">
        <v>106</v>
      </c>
      <c r="CK28" s="11" t="s">
        <v>107</v>
      </c>
    </row>
    <row r="29" spans="1:174" s="4" customFormat="1" ht="45" customHeight="1" x14ac:dyDescent="0.2">
      <c r="A29" s="368"/>
      <c r="B29" s="368"/>
      <c r="C29" s="393"/>
      <c r="D29" s="368" t="s">
        <v>41</v>
      </c>
      <c r="E29" s="393" t="s">
        <v>439</v>
      </c>
      <c r="F29" s="368"/>
      <c r="G29" s="368"/>
      <c r="H29" s="401"/>
      <c r="I29" s="434"/>
      <c r="J29" s="368" t="s">
        <v>372</v>
      </c>
      <c r="K29" s="368" t="s">
        <v>373</v>
      </c>
      <c r="L29" s="393">
        <v>332</v>
      </c>
      <c r="M29" s="487"/>
      <c r="N29" s="402"/>
      <c r="O29" s="379"/>
      <c r="P29" s="487"/>
      <c r="Q29" s="402"/>
      <c r="R29" s="379"/>
      <c r="S29" s="485"/>
      <c r="T29" s="402"/>
      <c r="U29" s="379"/>
      <c r="V29" s="487"/>
      <c r="W29" s="402"/>
      <c r="X29" s="379"/>
      <c r="Y29" s="485"/>
      <c r="Z29" s="402"/>
      <c r="AA29" s="379"/>
      <c r="AB29" s="485"/>
      <c r="AC29" s="402"/>
      <c r="AD29" s="379"/>
      <c r="AE29" s="487"/>
      <c r="AF29" s="402"/>
      <c r="AG29" s="379"/>
      <c r="AH29" s="485"/>
      <c r="AI29" s="402"/>
      <c r="AJ29" s="379"/>
      <c r="AK29" s="485"/>
      <c r="AL29" s="402"/>
      <c r="AM29" s="379"/>
      <c r="AN29" s="487"/>
      <c r="AO29" s="402"/>
      <c r="AP29" s="379"/>
      <c r="AQ29" s="485"/>
      <c r="AR29" s="402"/>
      <c r="AS29" s="379"/>
      <c r="AT29" s="485"/>
      <c r="AU29" s="402"/>
      <c r="AV29" s="379"/>
      <c r="AW29" s="11" t="s">
        <v>392</v>
      </c>
      <c r="AX29" s="11" t="s">
        <v>393</v>
      </c>
      <c r="AY29" s="128">
        <v>0.54</v>
      </c>
      <c r="AZ29" s="82">
        <v>0.35294117647058826</v>
      </c>
      <c r="BA29" s="129">
        <v>0.65359477124183007</v>
      </c>
      <c r="BB29" s="60" t="s">
        <v>452</v>
      </c>
      <c r="BC29" s="82">
        <v>0.45833333333333331</v>
      </c>
      <c r="BD29" s="129">
        <v>0.84876543209876532</v>
      </c>
      <c r="BE29" s="60" t="s">
        <v>453</v>
      </c>
      <c r="BF29" s="82">
        <v>0.65116279069767447</v>
      </c>
      <c r="BG29" s="129">
        <v>1.2058570198105081</v>
      </c>
      <c r="BH29" s="60" t="s">
        <v>454</v>
      </c>
      <c r="BI29" s="82">
        <v>0.66129032258064513</v>
      </c>
      <c r="BJ29" s="144">
        <v>1.224611708482676</v>
      </c>
      <c r="BK29" s="60" t="s">
        <v>1108</v>
      </c>
      <c r="BL29" s="82">
        <v>0.59782608695652173</v>
      </c>
      <c r="BM29" s="144">
        <v>1.1070853462157808</v>
      </c>
      <c r="BN29" s="60" t="s">
        <v>1145</v>
      </c>
      <c r="BO29" s="82">
        <v>0.56910569105691056</v>
      </c>
      <c r="BP29" s="144">
        <v>1.0538994278831677</v>
      </c>
      <c r="BQ29" s="60" t="s">
        <v>1190</v>
      </c>
      <c r="BR29" s="82">
        <v>0.56953642384105962</v>
      </c>
      <c r="BS29" s="223">
        <v>1.0546970811871474</v>
      </c>
      <c r="BT29" s="60" t="s">
        <v>1369</v>
      </c>
      <c r="BU29" s="82">
        <v>0.58620689655172409</v>
      </c>
      <c r="BV29" s="223">
        <v>1.0855683269476371</v>
      </c>
      <c r="BW29" s="60" t="s">
        <v>1407</v>
      </c>
      <c r="BX29" s="82">
        <v>0.55392156862745101</v>
      </c>
      <c r="BY29" s="223">
        <v>1.0257806826434277</v>
      </c>
      <c r="BZ29" s="60" t="s">
        <v>1447</v>
      </c>
      <c r="CA29" s="82">
        <v>0.57999999999999996</v>
      </c>
      <c r="CB29" s="279">
        <v>1</v>
      </c>
      <c r="CC29" s="60" t="s">
        <v>2013</v>
      </c>
      <c r="CD29" s="82">
        <v>0.59</v>
      </c>
      <c r="CE29" s="279">
        <v>1</v>
      </c>
      <c r="CF29" s="60" t="s">
        <v>2049</v>
      </c>
      <c r="CG29" s="82">
        <v>0.56999999999999995</v>
      </c>
      <c r="CH29" s="279">
        <v>1</v>
      </c>
      <c r="CI29" s="60" t="s">
        <v>2089</v>
      </c>
      <c r="CJ29" s="11" t="s">
        <v>106</v>
      </c>
      <c r="CK29" s="11" t="s">
        <v>107</v>
      </c>
    </row>
    <row r="30" spans="1:174" s="4" customFormat="1" ht="45" customHeight="1" x14ac:dyDescent="0.2">
      <c r="A30" s="368"/>
      <c r="B30" s="368"/>
      <c r="C30" s="393"/>
      <c r="D30" s="368" t="s">
        <v>41</v>
      </c>
      <c r="E30" s="393" t="s">
        <v>439</v>
      </c>
      <c r="F30" s="368"/>
      <c r="G30" s="368"/>
      <c r="H30" s="401"/>
      <c r="I30" s="434"/>
      <c r="J30" s="368" t="s">
        <v>372</v>
      </c>
      <c r="K30" s="368" t="s">
        <v>373</v>
      </c>
      <c r="L30" s="393">
        <v>332</v>
      </c>
      <c r="M30" s="463"/>
      <c r="N30" s="367"/>
      <c r="O30" s="380"/>
      <c r="P30" s="463"/>
      <c r="Q30" s="367"/>
      <c r="R30" s="380"/>
      <c r="S30" s="486"/>
      <c r="T30" s="367"/>
      <c r="U30" s="380"/>
      <c r="V30" s="463"/>
      <c r="W30" s="367"/>
      <c r="X30" s="380"/>
      <c r="Y30" s="486"/>
      <c r="Z30" s="367"/>
      <c r="AA30" s="380"/>
      <c r="AB30" s="486"/>
      <c r="AC30" s="367"/>
      <c r="AD30" s="380"/>
      <c r="AE30" s="463"/>
      <c r="AF30" s="367"/>
      <c r="AG30" s="380"/>
      <c r="AH30" s="486"/>
      <c r="AI30" s="367"/>
      <c r="AJ30" s="380"/>
      <c r="AK30" s="486"/>
      <c r="AL30" s="367"/>
      <c r="AM30" s="380"/>
      <c r="AN30" s="463"/>
      <c r="AO30" s="367"/>
      <c r="AP30" s="380"/>
      <c r="AQ30" s="486"/>
      <c r="AR30" s="367"/>
      <c r="AS30" s="380"/>
      <c r="AT30" s="486"/>
      <c r="AU30" s="367"/>
      <c r="AV30" s="380"/>
      <c r="AW30" s="11" t="s">
        <v>397</v>
      </c>
      <c r="AX30" s="11" t="s">
        <v>398</v>
      </c>
      <c r="AY30" s="128">
        <v>0.05</v>
      </c>
      <c r="AZ30" s="82"/>
      <c r="BA30" s="129">
        <v>0</v>
      </c>
      <c r="BB30" s="60" t="s">
        <v>399</v>
      </c>
      <c r="BC30" s="82"/>
      <c r="BD30" s="129">
        <v>0</v>
      </c>
      <c r="BE30" s="60" t="s">
        <v>399</v>
      </c>
      <c r="BF30" s="82">
        <v>0</v>
      </c>
      <c r="BG30" s="129">
        <v>0</v>
      </c>
      <c r="BH30" s="60" t="s">
        <v>455</v>
      </c>
      <c r="BI30" s="82">
        <v>0</v>
      </c>
      <c r="BJ30" s="144">
        <v>0</v>
      </c>
      <c r="BK30" s="60" t="s">
        <v>455</v>
      </c>
      <c r="BL30" s="82">
        <v>0</v>
      </c>
      <c r="BM30" s="144">
        <v>0</v>
      </c>
      <c r="BN30" s="60" t="s">
        <v>455</v>
      </c>
      <c r="BO30" s="82">
        <v>4.2372881355932202E-2</v>
      </c>
      <c r="BP30" s="144">
        <v>0.21186440677966101</v>
      </c>
      <c r="BQ30" s="60" t="s">
        <v>1191</v>
      </c>
      <c r="BR30" s="82">
        <v>4.2372881355932202E-2</v>
      </c>
      <c r="BS30" s="223">
        <v>0.21186440677966101</v>
      </c>
      <c r="BT30" s="60" t="s">
        <v>1370</v>
      </c>
      <c r="BU30" s="82">
        <v>4.2372881355932202E-2</v>
      </c>
      <c r="BV30" s="223">
        <v>0.21186440677966101</v>
      </c>
      <c r="BW30" s="60" t="s">
        <v>1370</v>
      </c>
      <c r="BX30" s="82">
        <v>4.5226130653266333E-2</v>
      </c>
      <c r="BY30" s="223">
        <v>0.90452261306532666</v>
      </c>
      <c r="BZ30" s="60" t="s">
        <v>1448</v>
      </c>
      <c r="CA30" s="82">
        <v>4.5199999999999997E-2</v>
      </c>
      <c r="CB30" s="279">
        <v>0.9</v>
      </c>
      <c r="CC30" s="60" t="s">
        <v>1448</v>
      </c>
      <c r="CD30" s="82">
        <v>4.5199999999999997E-2</v>
      </c>
      <c r="CE30" s="279">
        <v>0.9</v>
      </c>
      <c r="CF30" s="60" t="s">
        <v>1448</v>
      </c>
      <c r="CG30" s="82">
        <v>5.5E-2</v>
      </c>
      <c r="CH30" s="279">
        <v>1</v>
      </c>
      <c r="CI30" s="60" t="s">
        <v>2090</v>
      </c>
      <c r="CJ30" s="11" t="s">
        <v>106</v>
      </c>
      <c r="CK30" s="11" t="s">
        <v>107</v>
      </c>
    </row>
    <row r="31" spans="1:174" ht="75" x14ac:dyDescent="0.25">
      <c r="H31" s="401"/>
      <c r="M31" s="56" t="s">
        <v>161</v>
      </c>
      <c r="N31" s="67">
        <f>AVERAGE(N26:N30)</f>
        <v>4.8571428571428571E-2</v>
      </c>
      <c r="P31" s="56" t="s">
        <v>161</v>
      </c>
      <c r="Q31" s="74">
        <f>AVERAGE(Q26:Q30)</f>
        <v>6.8571428571428575E-2</v>
      </c>
      <c r="S31" s="56" t="s">
        <v>161</v>
      </c>
      <c r="T31" s="74">
        <f>AVERAGE(T26:T30)</f>
        <v>0.12285714285714286</v>
      </c>
      <c r="V31" s="56" t="s">
        <v>161</v>
      </c>
      <c r="W31" s="67">
        <f>AVERAGE(W26:W30)</f>
        <v>0.18674698795180722</v>
      </c>
      <c r="Y31" s="56" t="s">
        <v>161</v>
      </c>
      <c r="Z31" s="74">
        <f>AVERAGE(Z26:Z30)</f>
        <v>0.27710843373493976</v>
      </c>
      <c r="AB31" s="56" t="s">
        <v>161</v>
      </c>
      <c r="AC31" s="74">
        <f>AVERAGE(AC26:AC30)</f>
        <v>0.37048192771084337</v>
      </c>
      <c r="AE31" s="56" t="s">
        <v>161</v>
      </c>
      <c r="AF31" s="67">
        <f>AVERAGE(AF26:AF30)</f>
        <v>0.45481927710843373</v>
      </c>
      <c r="AH31" s="56" t="s">
        <v>161</v>
      </c>
      <c r="AI31" s="74">
        <f>AVERAGE(AI26:AI30)</f>
        <v>0.52409638554216864</v>
      </c>
      <c r="AK31" s="56" t="s">
        <v>161</v>
      </c>
      <c r="AL31" s="74">
        <f>AVERAGE(AL26:AL30)</f>
        <v>0.58285714285714285</v>
      </c>
      <c r="AN31" s="56" t="s">
        <v>161</v>
      </c>
      <c r="AO31" s="67">
        <f>AVERAGE(AO26:AO30)</f>
        <v>0.67</v>
      </c>
      <c r="AQ31" s="56" t="s">
        <v>161</v>
      </c>
      <c r="AR31" s="74">
        <f>AVERAGE(AR26:AR30)</f>
        <v>0.77</v>
      </c>
      <c r="AT31" s="56" t="s">
        <v>161</v>
      </c>
      <c r="AU31" s="74">
        <f>AVERAGE(AU26:AU30)</f>
        <v>0.96</v>
      </c>
      <c r="AZ31" s="56" t="s">
        <v>162</v>
      </c>
      <c r="BA31" s="74">
        <f>AVERAGE(BA26:BA29)</f>
        <v>0.16339869281045752</v>
      </c>
      <c r="BC31" s="56" t="s">
        <v>162</v>
      </c>
      <c r="BD31" s="74">
        <f>AVERAGE(BD26:BD29)</f>
        <v>0.26451021384549267</v>
      </c>
      <c r="BF31" s="56" t="s">
        <v>162</v>
      </c>
      <c r="BG31" s="74">
        <f>AVERAGE(BG26:BG30)</f>
        <v>0.33921536231734406</v>
      </c>
      <c r="BH31" s="7"/>
      <c r="BI31" s="56" t="s">
        <v>162</v>
      </c>
      <c r="BJ31" s="74">
        <f>AVERAGE(BJ26:BJ30)</f>
        <v>0.39649453645939142</v>
      </c>
      <c r="BL31" s="56" t="s">
        <v>162</v>
      </c>
      <c r="BM31" s="74">
        <f>AVERAGE(BM26:BM30)</f>
        <v>0.42647543500191104</v>
      </c>
      <c r="BO31" s="56" t="s">
        <v>162</v>
      </c>
      <c r="BP31" s="74">
        <f>AVERAGE(BP26:BP30)</f>
        <v>0.51206537603972735</v>
      </c>
      <c r="BQ31" s="7"/>
      <c r="BR31" s="56" t="s">
        <v>162</v>
      </c>
      <c r="BS31" s="74">
        <f>AVERAGE(BS26:BS30)</f>
        <v>0.5653430053439138</v>
      </c>
      <c r="BU31" s="56" t="s">
        <v>162</v>
      </c>
      <c r="BV31" s="74">
        <f>AVERAGE(BV26:BV30)</f>
        <v>0.6215645780841913</v>
      </c>
      <c r="BX31" s="56" t="s">
        <v>162</v>
      </c>
      <c r="BY31" s="74">
        <f>AVERAGE(BY26:BY30)</f>
        <v>0.79385313644395583</v>
      </c>
      <c r="BZ31" s="7"/>
      <c r="CA31" s="56" t="s">
        <v>162</v>
      </c>
      <c r="CB31" s="74">
        <f>AVERAGE(CB26:CB30)</f>
        <v>0.83800000000000008</v>
      </c>
      <c r="CD31" s="56" t="s">
        <v>162</v>
      </c>
      <c r="CE31" s="74">
        <f>AVERAGE(CE26:CE30)</f>
        <v>0.89</v>
      </c>
      <c r="CG31" s="56" t="s">
        <v>162</v>
      </c>
      <c r="CH31" s="74">
        <f>AVERAGE(CH26:CH30)</f>
        <v>0.96200000000000008</v>
      </c>
      <c r="CI31" s="292"/>
      <c r="CJ31" s="7"/>
      <c r="CK31" s="7"/>
      <c r="FO31"/>
      <c r="FP31"/>
      <c r="FQ31"/>
      <c r="FR31"/>
    </row>
    <row r="32" spans="1:174" s="4" customFormat="1" ht="45" customHeight="1" x14ac:dyDescent="0.2">
      <c r="A32" s="368" t="s">
        <v>84</v>
      </c>
      <c r="B32" s="368" t="s">
        <v>274</v>
      </c>
      <c r="C32" s="368" t="s">
        <v>2719</v>
      </c>
      <c r="D32" s="368" t="s">
        <v>41</v>
      </c>
      <c r="E32" s="393" t="s">
        <v>456</v>
      </c>
      <c r="F32" s="368" t="s">
        <v>88</v>
      </c>
      <c r="G32" s="368" t="s">
        <v>276</v>
      </c>
      <c r="H32" s="401"/>
      <c r="I32" s="434">
        <v>2324688924</v>
      </c>
      <c r="J32" s="368" t="s">
        <v>372</v>
      </c>
      <c r="K32" s="368" t="s">
        <v>373</v>
      </c>
      <c r="L32" s="393">
        <v>1584</v>
      </c>
      <c r="M32" s="484">
        <v>34</v>
      </c>
      <c r="N32" s="366">
        <f>+M32/L32</f>
        <v>2.1464646464646464E-2</v>
      </c>
      <c r="O32" s="378" t="s">
        <v>457</v>
      </c>
      <c r="P32" s="484">
        <v>168</v>
      </c>
      <c r="Q32" s="366">
        <f>+P32/L32</f>
        <v>0.10606060606060606</v>
      </c>
      <c r="R32" s="378" t="s">
        <v>458</v>
      </c>
      <c r="S32" s="484">
        <v>319</v>
      </c>
      <c r="T32" s="366">
        <f>+S32/L32</f>
        <v>0.2013888888888889</v>
      </c>
      <c r="U32" s="378" t="s">
        <v>459</v>
      </c>
      <c r="V32" s="484">
        <v>503</v>
      </c>
      <c r="W32" s="366">
        <v>0.31755050505050503</v>
      </c>
      <c r="X32" s="378" t="s">
        <v>1085</v>
      </c>
      <c r="Y32" s="484">
        <v>649</v>
      </c>
      <c r="Z32" s="366">
        <v>0.40972222222222221</v>
      </c>
      <c r="AA32" s="378" t="s">
        <v>1122</v>
      </c>
      <c r="AB32" s="484">
        <v>789</v>
      </c>
      <c r="AC32" s="366">
        <v>0.49810606060606061</v>
      </c>
      <c r="AD32" s="378" t="s">
        <v>1158</v>
      </c>
      <c r="AE32" s="484">
        <v>934</v>
      </c>
      <c r="AF32" s="366">
        <v>0.58964646464646464</v>
      </c>
      <c r="AG32" s="378" t="s">
        <v>1338</v>
      </c>
      <c r="AH32" s="484">
        <v>1081</v>
      </c>
      <c r="AI32" s="366">
        <v>0.68244949494949492</v>
      </c>
      <c r="AJ32" s="378" t="s">
        <v>1385</v>
      </c>
      <c r="AK32" s="484">
        <v>1207</v>
      </c>
      <c r="AL32" s="366">
        <v>0.7619949494949495</v>
      </c>
      <c r="AM32" s="378" t="s">
        <v>1416</v>
      </c>
      <c r="AN32" s="484">
        <v>1335</v>
      </c>
      <c r="AO32" s="366">
        <v>0.84</v>
      </c>
      <c r="AP32" s="378" t="s">
        <v>1990</v>
      </c>
      <c r="AQ32" s="484">
        <v>1470</v>
      </c>
      <c r="AR32" s="366">
        <v>0.93</v>
      </c>
      <c r="AS32" s="378" t="s">
        <v>2022</v>
      </c>
      <c r="AT32" s="484">
        <v>1586</v>
      </c>
      <c r="AU32" s="366">
        <v>1</v>
      </c>
      <c r="AV32" s="378" t="s">
        <v>2064</v>
      </c>
      <c r="AW32" s="11" t="s">
        <v>387</v>
      </c>
      <c r="AX32" s="11" t="s">
        <v>388</v>
      </c>
      <c r="AY32" s="125">
        <v>1584</v>
      </c>
      <c r="AZ32" s="121">
        <v>85</v>
      </c>
      <c r="BA32" s="129">
        <v>5.366161616161616E-2</v>
      </c>
      <c r="BB32" s="60" t="s">
        <v>460</v>
      </c>
      <c r="BC32" s="121">
        <v>229</v>
      </c>
      <c r="BD32" s="129">
        <v>0.14457070707070707</v>
      </c>
      <c r="BE32" s="60" t="s">
        <v>461</v>
      </c>
      <c r="BF32" s="121">
        <v>390</v>
      </c>
      <c r="BG32" s="129">
        <v>0.24621212121212122</v>
      </c>
      <c r="BH32" s="60" t="s">
        <v>462</v>
      </c>
      <c r="BI32" s="121">
        <v>539</v>
      </c>
      <c r="BJ32" s="144">
        <v>0.34027777777777779</v>
      </c>
      <c r="BK32" s="60" t="s">
        <v>1109</v>
      </c>
      <c r="BL32" s="121">
        <v>677</v>
      </c>
      <c r="BM32" s="144">
        <v>0.42739898989898989</v>
      </c>
      <c r="BN32" s="60" t="s">
        <v>1146</v>
      </c>
      <c r="BO32" s="121">
        <v>822</v>
      </c>
      <c r="BP32" s="144">
        <v>0.51893939393939392</v>
      </c>
      <c r="BQ32" s="60" t="s">
        <v>1192</v>
      </c>
      <c r="BR32" s="121">
        <v>974</v>
      </c>
      <c r="BS32" s="223">
        <v>0.61489898989898994</v>
      </c>
      <c r="BT32" s="60" t="s">
        <v>1371</v>
      </c>
      <c r="BU32" s="121">
        <v>1123</v>
      </c>
      <c r="BV32" s="223">
        <v>0.70896464646464652</v>
      </c>
      <c r="BW32" s="60" t="s">
        <v>1408</v>
      </c>
      <c r="BX32" s="121">
        <v>1254</v>
      </c>
      <c r="BY32" s="223">
        <v>0.79166666666666663</v>
      </c>
      <c r="BZ32" s="60" t="s">
        <v>1449</v>
      </c>
      <c r="CA32" s="121">
        <v>1382</v>
      </c>
      <c r="CB32" s="279">
        <v>0.87</v>
      </c>
      <c r="CC32" s="60" t="s">
        <v>2014</v>
      </c>
      <c r="CD32" s="121">
        <v>1497</v>
      </c>
      <c r="CE32" s="279">
        <v>0.95</v>
      </c>
      <c r="CF32" s="60" t="s">
        <v>2050</v>
      </c>
      <c r="CG32" s="121">
        <v>1586</v>
      </c>
      <c r="CH32" s="279">
        <v>1</v>
      </c>
      <c r="CI32" s="60" t="s">
        <v>2091</v>
      </c>
      <c r="CJ32" s="11" t="s">
        <v>106</v>
      </c>
      <c r="CK32" s="11" t="s">
        <v>107</v>
      </c>
    </row>
    <row r="33" spans="1:174" s="4" customFormat="1" ht="45" customHeight="1" x14ac:dyDescent="0.2">
      <c r="A33" s="368"/>
      <c r="B33" s="368"/>
      <c r="C33" s="368"/>
      <c r="D33" s="368"/>
      <c r="E33" s="393"/>
      <c r="F33" s="368"/>
      <c r="G33" s="368"/>
      <c r="H33" s="401"/>
      <c r="I33" s="434"/>
      <c r="J33" s="368"/>
      <c r="K33" s="368"/>
      <c r="L33" s="393"/>
      <c r="M33" s="486"/>
      <c r="N33" s="367"/>
      <c r="O33" s="380"/>
      <c r="P33" s="486"/>
      <c r="Q33" s="367"/>
      <c r="R33" s="380"/>
      <c r="S33" s="486"/>
      <c r="T33" s="367"/>
      <c r="U33" s="380"/>
      <c r="V33" s="486"/>
      <c r="W33" s="367"/>
      <c r="X33" s="380"/>
      <c r="Y33" s="486"/>
      <c r="Z33" s="367"/>
      <c r="AA33" s="380"/>
      <c r="AB33" s="486"/>
      <c r="AC33" s="367"/>
      <c r="AD33" s="380"/>
      <c r="AE33" s="486"/>
      <c r="AF33" s="367"/>
      <c r="AG33" s="380"/>
      <c r="AH33" s="486"/>
      <c r="AI33" s="367"/>
      <c r="AJ33" s="380"/>
      <c r="AK33" s="486"/>
      <c r="AL33" s="367"/>
      <c r="AM33" s="380"/>
      <c r="AN33" s="486"/>
      <c r="AO33" s="367"/>
      <c r="AP33" s="380"/>
      <c r="AQ33" s="486"/>
      <c r="AR33" s="367"/>
      <c r="AS33" s="380"/>
      <c r="AT33" s="486"/>
      <c r="AU33" s="367"/>
      <c r="AV33" s="380"/>
      <c r="AW33" s="294" t="s">
        <v>397</v>
      </c>
      <c r="AX33" s="294" t="s">
        <v>398</v>
      </c>
      <c r="AY33" s="293">
        <v>0.2</v>
      </c>
      <c r="AZ33" s="295"/>
      <c r="BA33" s="295">
        <v>0</v>
      </c>
      <c r="BB33" s="299" t="s">
        <v>399</v>
      </c>
      <c r="BC33" s="295"/>
      <c r="BD33" s="295">
        <v>0</v>
      </c>
      <c r="BE33" s="299" t="s">
        <v>399</v>
      </c>
      <c r="BF33" s="299">
        <v>0</v>
      </c>
      <c r="BG33" s="295">
        <v>0</v>
      </c>
      <c r="BH33" s="299" t="s">
        <v>463</v>
      </c>
      <c r="BI33" s="295">
        <v>0</v>
      </c>
      <c r="BJ33" s="295">
        <v>0</v>
      </c>
      <c r="BK33" s="299" t="s">
        <v>1110</v>
      </c>
      <c r="BL33" s="295">
        <v>0</v>
      </c>
      <c r="BM33" s="295">
        <v>0</v>
      </c>
      <c r="BN33" s="299" t="s">
        <v>1110</v>
      </c>
      <c r="BO33" s="299">
        <v>0</v>
      </c>
      <c r="BP33" s="295">
        <v>0</v>
      </c>
      <c r="BQ33" s="299" t="s">
        <v>1193</v>
      </c>
      <c r="BR33" s="295">
        <v>0</v>
      </c>
      <c r="BS33" s="295">
        <v>0</v>
      </c>
      <c r="BT33" s="299" t="s">
        <v>1372</v>
      </c>
      <c r="BU33" s="295">
        <v>0</v>
      </c>
      <c r="BV33" s="295">
        <v>0</v>
      </c>
      <c r="BW33" s="299" t="s">
        <v>1372</v>
      </c>
      <c r="BX33" s="411" t="s">
        <v>1450</v>
      </c>
      <c r="BY33" s="412"/>
      <c r="BZ33" s="413"/>
      <c r="CA33" s="411" t="s">
        <v>1450</v>
      </c>
      <c r="CB33" s="412"/>
      <c r="CC33" s="413"/>
      <c r="CD33" s="411" t="s">
        <v>1450</v>
      </c>
      <c r="CE33" s="412"/>
      <c r="CF33" s="413"/>
      <c r="CG33" s="411" t="s">
        <v>1450</v>
      </c>
      <c r="CH33" s="412"/>
      <c r="CI33" s="413"/>
      <c r="CJ33" s="11" t="s">
        <v>106</v>
      </c>
      <c r="CK33" s="11" t="s">
        <v>107</v>
      </c>
    </row>
    <row r="34" spans="1:174" ht="75" x14ac:dyDescent="0.25">
      <c r="H34" s="401"/>
      <c r="M34" s="56" t="s">
        <v>161</v>
      </c>
      <c r="N34" s="74">
        <f>AVERAGE(N32:N33)</f>
        <v>2.1464646464646464E-2</v>
      </c>
      <c r="P34" s="56" t="s">
        <v>161</v>
      </c>
      <c r="Q34" s="67">
        <f>AVERAGE(Q32:Q33)</f>
        <v>0.10606060606060606</v>
      </c>
      <c r="S34" s="56" t="s">
        <v>161</v>
      </c>
      <c r="T34" s="67">
        <f>AVERAGE(T32:T33)</f>
        <v>0.2013888888888889</v>
      </c>
      <c r="V34" s="56" t="s">
        <v>161</v>
      </c>
      <c r="W34" s="74">
        <f>AVERAGE(W32:W33)</f>
        <v>0.31755050505050503</v>
      </c>
      <c r="Y34" s="56" t="s">
        <v>161</v>
      </c>
      <c r="Z34" s="67">
        <f>AVERAGE(Z32:Z33)</f>
        <v>0.40972222222222221</v>
      </c>
      <c r="AB34" s="56" t="s">
        <v>161</v>
      </c>
      <c r="AC34" s="67">
        <f>AVERAGE(AC32:AC33)</f>
        <v>0.49810606060606061</v>
      </c>
      <c r="AE34" s="56" t="s">
        <v>161</v>
      </c>
      <c r="AF34" s="74">
        <f>AVERAGE(AF32:AF33)</f>
        <v>0.58964646464646464</v>
      </c>
      <c r="AH34" s="56" t="s">
        <v>161</v>
      </c>
      <c r="AI34" s="67">
        <f>AVERAGE(AI32:AI33)</f>
        <v>0.68244949494949492</v>
      </c>
      <c r="AK34" s="56" t="s">
        <v>161</v>
      </c>
      <c r="AL34" s="67">
        <f>AVERAGE(AL32:AL33)</f>
        <v>0.7619949494949495</v>
      </c>
      <c r="AN34" s="56" t="s">
        <v>161</v>
      </c>
      <c r="AO34" s="74">
        <f>AVERAGE(AO32:AO33)</f>
        <v>0.84</v>
      </c>
      <c r="AQ34" s="56" t="s">
        <v>161</v>
      </c>
      <c r="AR34" s="67">
        <f>AVERAGE(AR32:AR33)</f>
        <v>0.93</v>
      </c>
      <c r="AT34" s="56" t="s">
        <v>161</v>
      </c>
      <c r="AU34" s="67">
        <f>AVERAGE(AU32:AU33)</f>
        <v>1</v>
      </c>
      <c r="AZ34" s="56" t="s">
        <v>162</v>
      </c>
      <c r="BA34" s="74">
        <f>AVERAGE(BA32:BA32)</f>
        <v>5.366161616161616E-2</v>
      </c>
      <c r="BC34" s="56" t="s">
        <v>162</v>
      </c>
      <c r="BD34" s="67">
        <f>AVERAGE(BD32:BD32)</f>
        <v>0.14457070707070707</v>
      </c>
      <c r="BF34" s="56" t="s">
        <v>162</v>
      </c>
      <c r="BG34" s="67">
        <f>AVERAGE(BG32:BG32)</f>
        <v>0.24621212121212122</v>
      </c>
      <c r="BH34" s="7"/>
      <c r="BI34" s="56" t="s">
        <v>162</v>
      </c>
      <c r="BJ34" s="74">
        <f>AVERAGE(BJ32:BJ32)</f>
        <v>0.34027777777777779</v>
      </c>
      <c r="BL34" s="56" t="s">
        <v>162</v>
      </c>
      <c r="BM34" s="67">
        <f>AVERAGE(BM32:BM32)</f>
        <v>0.42739898989898989</v>
      </c>
      <c r="BO34" s="56" t="s">
        <v>162</v>
      </c>
      <c r="BP34" s="67">
        <f>AVERAGE(BP32:BP32)</f>
        <v>0.51893939393939392</v>
      </c>
      <c r="BQ34" s="7"/>
      <c r="BR34" s="56" t="s">
        <v>162</v>
      </c>
      <c r="BS34" s="74">
        <f>AVERAGE(BS32:BS32)</f>
        <v>0.61489898989898994</v>
      </c>
      <c r="BU34" s="56" t="s">
        <v>162</v>
      </c>
      <c r="BV34" s="67">
        <f>AVERAGE(BV32:BV32)</f>
        <v>0.70896464646464652</v>
      </c>
      <c r="BX34" s="56" t="s">
        <v>162</v>
      </c>
      <c r="BY34" s="67">
        <f>AVERAGE(BY32:BY32)</f>
        <v>0.79166666666666663</v>
      </c>
      <c r="BZ34" s="7"/>
      <c r="CA34" s="56" t="s">
        <v>162</v>
      </c>
      <c r="CB34" s="74">
        <f>AVERAGE(CB32:CB32)</f>
        <v>0.87</v>
      </c>
      <c r="CD34" s="56" t="s">
        <v>162</v>
      </c>
      <c r="CE34" s="67">
        <f>AVERAGE(CE32:CE32)</f>
        <v>0.95</v>
      </c>
      <c r="CG34" s="56" t="s">
        <v>162</v>
      </c>
      <c r="CH34" s="67">
        <f>AVERAGE(CH32:CH32)</f>
        <v>1</v>
      </c>
      <c r="CI34" s="292"/>
      <c r="CJ34" s="7"/>
      <c r="CK34" s="7"/>
      <c r="FO34"/>
      <c r="FP34"/>
      <c r="FQ34"/>
      <c r="FR34"/>
    </row>
    <row r="35" spans="1:174" s="4" customFormat="1" ht="60" customHeight="1" x14ac:dyDescent="0.2">
      <c r="A35" s="368" t="s">
        <v>84</v>
      </c>
      <c r="B35" s="368" t="s">
        <v>274</v>
      </c>
      <c r="C35" s="368" t="s">
        <v>2719</v>
      </c>
      <c r="D35" s="368" t="s">
        <v>41</v>
      </c>
      <c r="E35" s="393" t="s">
        <v>464</v>
      </c>
      <c r="F35" s="368" t="s">
        <v>88</v>
      </c>
      <c r="G35" s="368" t="s">
        <v>276</v>
      </c>
      <c r="H35" s="401"/>
      <c r="I35" s="434">
        <v>2881078250</v>
      </c>
      <c r="J35" s="368" t="s">
        <v>372</v>
      </c>
      <c r="K35" s="368" t="s">
        <v>373</v>
      </c>
      <c r="L35" s="393">
        <v>2905</v>
      </c>
      <c r="M35" s="484">
        <v>68</v>
      </c>
      <c r="N35" s="366">
        <f>+M35/L35</f>
        <v>2.3407917383821E-2</v>
      </c>
      <c r="O35" s="378" t="s">
        <v>465</v>
      </c>
      <c r="P35" s="462">
        <v>226</v>
      </c>
      <c r="Q35" s="366">
        <f>+P35/L35</f>
        <v>7.7796901893287432E-2</v>
      </c>
      <c r="R35" s="378" t="s">
        <v>466</v>
      </c>
      <c r="S35" s="484">
        <v>462</v>
      </c>
      <c r="T35" s="366">
        <f>+S35/L35</f>
        <v>0.15903614457831325</v>
      </c>
      <c r="U35" s="378" t="s">
        <v>467</v>
      </c>
      <c r="V35" s="484">
        <v>744</v>
      </c>
      <c r="W35" s="366">
        <v>0.25914315569487983</v>
      </c>
      <c r="X35" s="378" t="s">
        <v>1086</v>
      </c>
      <c r="Y35" s="484">
        <v>996</v>
      </c>
      <c r="Z35" s="366">
        <v>0.34691745036572624</v>
      </c>
      <c r="AA35" s="378" t="s">
        <v>1123</v>
      </c>
      <c r="AB35" s="484">
        <v>1235</v>
      </c>
      <c r="AC35" s="366">
        <v>0.43016370602577497</v>
      </c>
      <c r="AD35" s="378" t="s">
        <v>1159</v>
      </c>
      <c r="AE35" s="484">
        <v>1487</v>
      </c>
      <c r="AF35" s="366">
        <v>0.51793800069662144</v>
      </c>
      <c r="AG35" s="378" t="s">
        <v>1339</v>
      </c>
      <c r="AH35" s="484">
        <v>1726</v>
      </c>
      <c r="AI35" s="366">
        <v>0.60118425635667017</v>
      </c>
      <c r="AJ35" s="378" t="s">
        <v>1375</v>
      </c>
      <c r="AK35" s="484">
        <v>1954</v>
      </c>
      <c r="AL35" s="366">
        <v>0.68059999999999998</v>
      </c>
      <c r="AM35" s="378" t="s">
        <v>1411</v>
      </c>
      <c r="AN35" s="484">
        <v>2189</v>
      </c>
      <c r="AO35" s="366">
        <v>0.76</v>
      </c>
      <c r="AP35" s="378" t="s">
        <v>1980</v>
      </c>
      <c r="AQ35" s="484">
        <v>2459</v>
      </c>
      <c r="AR35" s="366">
        <v>0.85</v>
      </c>
      <c r="AS35" s="378" t="s">
        <v>2017</v>
      </c>
      <c r="AT35" s="484">
        <v>2893</v>
      </c>
      <c r="AU35" s="366">
        <v>0.996</v>
      </c>
      <c r="AV35" s="378" t="s">
        <v>2059</v>
      </c>
      <c r="AW35" s="11" t="s">
        <v>377</v>
      </c>
      <c r="AX35" s="11" t="s">
        <v>378</v>
      </c>
      <c r="AY35" s="125">
        <v>1016</v>
      </c>
      <c r="AZ35" s="124">
        <v>6</v>
      </c>
      <c r="BA35" s="129">
        <v>5.905511811023622E-3</v>
      </c>
      <c r="BB35" s="60" t="s">
        <v>468</v>
      </c>
      <c r="BC35" s="124">
        <v>97</v>
      </c>
      <c r="BD35" s="129">
        <v>9.5472440944881887E-2</v>
      </c>
      <c r="BE35" s="60" t="s">
        <v>469</v>
      </c>
      <c r="BF35" s="124">
        <v>180</v>
      </c>
      <c r="BG35" s="129">
        <v>0.17716535433070865</v>
      </c>
      <c r="BH35" s="60" t="s">
        <v>470</v>
      </c>
      <c r="BI35" s="142">
        <v>266</v>
      </c>
      <c r="BJ35" s="144">
        <v>0.26181102362204722</v>
      </c>
      <c r="BK35" s="60" t="s">
        <v>1111</v>
      </c>
      <c r="BL35" s="142">
        <v>331</v>
      </c>
      <c r="BM35" s="144">
        <v>0.32578740157480313</v>
      </c>
      <c r="BN35" s="60" t="s">
        <v>1147</v>
      </c>
      <c r="BO35" s="142">
        <v>413</v>
      </c>
      <c r="BP35" s="144">
        <v>0.40649606299212598</v>
      </c>
      <c r="BQ35" s="60" t="s">
        <v>1166</v>
      </c>
      <c r="BR35" s="219">
        <v>507</v>
      </c>
      <c r="BS35" s="223">
        <v>0.49901574803149606</v>
      </c>
      <c r="BT35" s="60" t="s">
        <v>1346</v>
      </c>
      <c r="BU35" s="219">
        <v>599</v>
      </c>
      <c r="BV35" s="223">
        <v>0.58956692913385822</v>
      </c>
      <c r="BW35" s="60" t="s">
        <v>1376</v>
      </c>
      <c r="BX35" s="219">
        <v>714</v>
      </c>
      <c r="BY35" s="223">
        <v>0.702755905511811</v>
      </c>
      <c r="BZ35" s="60" t="s">
        <v>1423</v>
      </c>
      <c r="CA35" s="265">
        <v>816</v>
      </c>
      <c r="CB35" s="279">
        <v>0.8</v>
      </c>
      <c r="CC35" s="60" t="s">
        <v>1981</v>
      </c>
      <c r="CD35" s="265">
        <v>933</v>
      </c>
      <c r="CE35" s="279">
        <v>0.92</v>
      </c>
      <c r="CF35" s="60" t="s">
        <v>2029</v>
      </c>
      <c r="CG35" s="265">
        <v>974</v>
      </c>
      <c r="CH35" s="279">
        <v>0.96</v>
      </c>
      <c r="CI35" s="60" t="s">
        <v>2053</v>
      </c>
      <c r="CJ35" s="11" t="s">
        <v>106</v>
      </c>
      <c r="CK35" s="11" t="s">
        <v>107</v>
      </c>
    </row>
    <row r="36" spans="1:174" s="4" customFormat="1" ht="45" customHeight="1" x14ac:dyDescent="0.2">
      <c r="A36" s="368"/>
      <c r="B36" s="368"/>
      <c r="C36" s="368"/>
      <c r="D36" s="368"/>
      <c r="E36" s="393"/>
      <c r="F36" s="368"/>
      <c r="G36" s="368"/>
      <c r="H36" s="401"/>
      <c r="I36" s="434"/>
      <c r="J36" s="368"/>
      <c r="K36" s="368"/>
      <c r="L36" s="393"/>
      <c r="M36" s="485"/>
      <c r="N36" s="402"/>
      <c r="O36" s="379"/>
      <c r="P36" s="487"/>
      <c r="Q36" s="402"/>
      <c r="R36" s="379"/>
      <c r="S36" s="485"/>
      <c r="T36" s="402"/>
      <c r="U36" s="379"/>
      <c r="V36" s="485"/>
      <c r="W36" s="402"/>
      <c r="X36" s="379"/>
      <c r="Y36" s="485"/>
      <c r="Z36" s="402"/>
      <c r="AA36" s="379"/>
      <c r="AB36" s="485"/>
      <c r="AC36" s="402"/>
      <c r="AD36" s="379"/>
      <c r="AE36" s="485"/>
      <c r="AF36" s="402"/>
      <c r="AG36" s="379"/>
      <c r="AH36" s="485"/>
      <c r="AI36" s="402"/>
      <c r="AJ36" s="379"/>
      <c r="AK36" s="485"/>
      <c r="AL36" s="402"/>
      <c r="AM36" s="379"/>
      <c r="AN36" s="485"/>
      <c r="AO36" s="402"/>
      <c r="AP36" s="379"/>
      <c r="AQ36" s="485"/>
      <c r="AR36" s="402"/>
      <c r="AS36" s="379"/>
      <c r="AT36" s="485"/>
      <c r="AU36" s="402"/>
      <c r="AV36" s="379"/>
      <c r="AW36" s="11" t="s">
        <v>369</v>
      </c>
      <c r="AX36" s="11" t="s">
        <v>370</v>
      </c>
      <c r="AY36" s="125">
        <v>2871</v>
      </c>
      <c r="AZ36" s="124">
        <v>96</v>
      </c>
      <c r="BA36" s="129">
        <v>3.343782654127482E-2</v>
      </c>
      <c r="BB36" s="60" t="s">
        <v>471</v>
      </c>
      <c r="BC36" s="124">
        <v>292</v>
      </c>
      <c r="BD36" s="129">
        <v>0.10170672239637757</v>
      </c>
      <c r="BE36" s="60" t="s">
        <v>472</v>
      </c>
      <c r="BF36" s="124">
        <v>553</v>
      </c>
      <c r="BG36" s="129">
        <v>0.19261581330546848</v>
      </c>
      <c r="BH36" s="60" t="s">
        <v>473</v>
      </c>
      <c r="BI36" s="142">
        <v>800</v>
      </c>
      <c r="BJ36" s="144">
        <v>0.27864855451062348</v>
      </c>
      <c r="BK36" s="60" t="s">
        <v>1112</v>
      </c>
      <c r="BL36" s="142">
        <v>1040</v>
      </c>
      <c r="BM36" s="144">
        <v>0.3622431208638105</v>
      </c>
      <c r="BN36" s="60" t="s">
        <v>1148</v>
      </c>
      <c r="BO36" s="142">
        <v>1291</v>
      </c>
      <c r="BP36" s="144">
        <v>0.44966910484151862</v>
      </c>
      <c r="BQ36" s="60" t="s">
        <v>1167</v>
      </c>
      <c r="BR36" s="219">
        <v>1539</v>
      </c>
      <c r="BS36" s="223">
        <v>0.53605015673981193</v>
      </c>
      <c r="BT36" s="60" t="s">
        <v>1347</v>
      </c>
      <c r="BU36" s="219">
        <v>1797</v>
      </c>
      <c r="BV36" s="223">
        <v>0.62591431556948796</v>
      </c>
      <c r="BW36" s="60" t="s">
        <v>1377</v>
      </c>
      <c r="BX36" s="219">
        <v>2038</v>
      </c>
      <c r="BY36" s="223">
        <v>0.70985719261581326</v>
      </c>
      <c r="BZ36" s="60" t="s">
        <v>1424</v>
      </c>
      <c r="CA36" s="265">
        <v>2286</v>
      </c>
      <c r="CB36" s="279">
        <v>0.8</v>
      </c>
      <c r="CC36" s="60" t="s">
        <v>1982</v>
      </c>
      <c r="CD36" s="265">
        <v>2516</v>
      </c>
      <c r="CE36" s="279">
        <v>0.88</v>
      </c>
      <c r="CF36" s="60" t="s">
        <v>2030</v>
      </c>
      <c r="CG36" s="265">
        <v>2850</v>
      </c>
      <c r="CH36" s="279">
        <v>0.99</v>
      </c>
      <c r="CI36" s="60" t="s">
        <v>2054</v>
      </c>
      <c r="CJ36" s="11" t="s">
        <v>106</v>
      </c>
      <c r="CK36" s="11" t="s">
        <v>107</v>
      </c>
    </row>
    <row r="37" spans="1:174" s="4" customFormat="1" ht="180" x14ac:dyDescent="0.2">
      <c r="A37" s="368"/>
      <c r="B37" s="368"/>
      <c r="C37" s="368"/>
      <c r="D37" s="368"/>
      <c r="E37" s="393"/>
      <c r="F37" s="368"/>
      <c r="G37" s="368"/>
      <c r="H37" s="401"/>
      <c r="I37" s="434"/>
      <c r="J37" s="368"/>
      <c r="K37" s="368"/>
      <c r="L37" s="393"/>
      <c r="M37" s="485"/>
      <c r="N37" s="402"/>
      <c r="O37" s="379"/>
      <c r="P37" s="487"/>
      <c r="Q37" s="402"/>
      <c r="R37" s="379"/>
      <c r="S37" s="485"/>
      <c r="T37" s="402"/>
      <c r="U37" s="379"/>
      <c r="V37" s="485"/>
      <c r="W37" s="402"/>
      <c r="X37" s="379"/>
      <c r="Y37" s="485"/>
      <c r="Z37" s="402"/>
      <c r="AA37" s="379"/>
      <c r="AB37" s="485"/>
      <c r="AC37" s="402"/>
      <c r="AD37" s="379"/>
      <c r="AE37" s="485"/>
      <c r="AF37" s="402"/>
      <c r="AG37" s="379"/>
      <c r="AH37" s="485"/>
      <c r="AI37" s="402"/>
      <c r="AJ37" s="379"/>
      <c r="AK37" s="485"/>
      <c r="AL37" s="402"/>
      <c r="AM37" s="379"/>
      <c r="AN37" s="485"/>
      <c r="AO37" s="402"/>
      <c r="AP37" s="379"/>
      <c r="AQ37" s="485"/>
      <c r="AR37" s="402"/>
      <c r="AS37" s="379"/>
      <c r="AT37" s="485"/>
      <c r="AU37" s="402"/>
      <c r="AV37" s="379"/>
      <c r="AW37" s="11" t="s">
        <v>392</v>
      </c>
      <c r="AX37" s="11" t="s">
        <v>393</v>
      </c>
      <c r="AY37" s="128">
        <v>0.54</v>
      </c>
      <c r="AZ37" s="82">
        <v>0.29411764705882354</v>
      </c>
      <c r="BA37" s="129">
        <v>0.54466230936819171</v>
      </c>
      <c r="BB37" s="60" t="s">
        <v>474</v>
      </c>
      <c r="BC37" s="82">
        <v>0.5</v>
      </c>
      <c r="BD37" s="129">
        <v>0.92592592592592582</v>
      </c>
      <c r="BE37" s="60" t="s">
        <v>475</v>
      </c>
      <c r="BF37" s="82">
        <v>0.65734265734265729</v>
      </c>
      <c r="BG37" s="129">
        <v>1.2173012173012172</v>
      </c>
      <c r="BH37" s="60" t="s">
        <v>476</v>
      </c>
      <c r="BI37" s="82">
        <v>0.65145228215767637</v>
      </c>
      <c r="BJ37" s="144">
        <v>1.2063931151068079</v>
      </c>
      <c r="BK37" s="60" t="s">
        <v>1113</v>
      </c>
      <c r="BL37" s="82">
        <v>0.61671469740634011</v>
      </c>
      <c r="BM37" s="144">
        <v>1.1420642544561852</v>
      </c>
      <c r="BN37" s="60" t="s">
        <v>1149</v>
      </c>
      <c r="BO37" s="82">
        <v>0.6300448430493274</v>
      </c>
      <c r="BP37" s="144">
        <v>1.1667497093506063</v>
      </c>
      <c r="BQ37" s="60" t="s">
        <v>1168</v>
      </c>
      <c r="BR37" s="82">
        <v>0.63652802893309224</v>
      </c>
      <c r="BS37" s="223">
        <v>1.1787556091353559</v>
      </c>
      <c r="BT37" s="60" t="s">
        <v>1348</v>
      </c>
      <c r="BU37" s="82">
        <v>0.64186046511627903</v>
      </c>
      <c r="BV37" s="223">
        <v>1.1886304909560721</v>
      </c>
      <c r="BW37" s="60" t="s">
        <v>1378</v>
      </c>
      <c r="BX37" s="82">
        <v>0.63587684069611783</v>
      </c>
      <c r="BY37" s="223">
        <v>1.1775497049928108</v>
      </c>
      <c r="BZ37" s="60" t="s">
        <v>1425</v>
      </c>
      <c r="CA37" s="82">
        <v>0.63109999999999999</v>
      </c>
      <c r="CB37" s="279">
        <v>1</v>
      </c>
      <c r="CC37" s="60" t="s">
        <v>1983</v>
      </c>
      <c r="CD37" s="82">
        <v>0.62290000000000001</v>
      </c>
      <c r="CE37" s="279">
        <v>1</v>
      </c>
      <c r="CF37" s="60" t="s">
        <v>2031</v>
      </c>
      <c r="CG37" s="82">
        <v>0.57769999999999999</v>
      </c>
      <c r="CH37" s="279">
        <v>1</v>
      </c>
      <c r="CI37" s="60" t="s">
        <v>2055</v>
      </c>
      <c r="CJ37" s="11" t="s">
        <v>106</v>
      </c>
      <c r="CK37" s="11" t="s">
        <v>107</v>
      </c>
    </row>
    <row r="38" spans="1:174" s="4" customFormat="1" ht="45" customHeight="1" x14ac:dyDescent="0.2">
      <c r="A38" s="368"/>
      <c r="B38" s="368"/>
      <c r="C38" s="368"/>
      <c r="D38" s="368"/>
      <c r="E38" s="393"/>
      <c r="F38" s="368"/>
      <c r="G38" s="368"/>
      <c r="H38" s="401"/>
      <c r="I38" s="434"/>
      <c r="J38" s="368"/>
      <c r="K38" s="368"/>
      <c r="L38" s="393"/>
      <c r="M38" s="485"/>
      <c r="N38" s="402"/>
      <c r="O38" s="379"/>
      <c r="P38" s="487"/>
      <c r="Q38" s="402"/>
      <c r="R38" s="379"/>
      <c r="S38" s="485"/>
      <c r="T38" s="402"/>
      <c r="U38" s="379"/>
      <c r="V38" s="485"/>
      <c r="W38" s="402"/>
      <c r="X38" s="379"/>
      <c r="Y38" s="485"/>
      <c r="Z38" s="402"/>
      <c r="AA38" s="379"/>
      <c r="AB38" s="485"/>
      <c r="AC38" s="402"/>
      <c r="AD38" s="379"/>
      <c r="AE38" s="485"/>
      <c r="AF38" s="402"/>
      <c r="AG38" s="379"/>
      <c r="AH38" s="485"/>
      <c r="AI38" s="402"/>
      <c r="AJ38" s="379"/>
      <c r="AK38" s="485"/>
      <c r="AL38" s="402"/>
      <c r="AM38" s="379"/>
      <c r="AN38" s="485"/>
      <c r="AO38" s="402"/>
      <c r="AP38" s="379"/>
      <c r="AQ38" s="485"/>
      <c r="AR38" s="402"/>
      <c r="AS38" s="379"/>
      <c r="AT38" s="485"/>
      <c r="AU38" s="402"/>
      <c r="AV38" s="379"/>
      <c r="AW38" s="11" t="s">
        <v>477</v>
      </c>
      <c r="AX38" s="11" t="s">
        <v>478</v>
      </c>
      <c r="AY38" s="128">
        <v>0.77</v>
      </c>
      <c r="AZ38" s="82">
        <v>1E-3</v>
      </c>
      <c r="BA38" s="129">
        <v>1.2987012987012987E-3</v>
      </c>
      <c r="BB38" s="60" t="s">
        <v>479</v>
      </c>
      <c r="BC38" s="82">
        <v>1.9E-2</v>
      </c>
      <c r="BD38" s="129">
        <v>2.4675324675324673E-2</v>
      </c>
      <c r="BE38" s="60" t="s">
        <v>480</v>
      </c>
      <c r="BF38" s="82">
        <v>8.0265095729013261E-2</v>
      </c>
      <c r="BG38" s="129">
        <v>0.10424038406365359</v>
      </c>
      <c r="BH38" s="60" t="s">
        <v>481</v>
      </c>
      <c r="BI38" s="82">
        <v>0.13107511045655376</v>
      </c>
      <c r="BJ38" s="144">
        <v>0.17022741617734255</v>
      </c>
      <c r="BK38" s="60" t="s">
        <v>1114</v>
      </c>
      <c r="BL38" s="82">
        <v>0.22164948453608246</v>
      </c>
      <c r="BM38" s="144">
        <v>0.28785647342348369</v>
      </c>
      <c r="BN38" s="60" t="s">
        <v>1150</v>
      </c>
      <c r="BO38" s="82">
        <v>0.2812960235640648</v>
      </c>
      <c r="BP38" s="144">
        <v>0.36531951112216204</v>
      </c>
      <c r="BQ38" s="60" t="s">
        <v>1169</v>
      </c>
      <c r="BR38" s="82">
        <v>0.35714285714285715</v>
      </c>
      <c r="BS38" s="223">
        <v>0.46382189239332094</v>
      </c>
      <c r="BT38" s="60" t="s">
        <v>1349</v>
      </c>
      <c r="BU38" s="82">
        <v>0.41605301914580267</v>
      </c>
      <c r="BV38" s="223">
        <v>0.54032859629325025</v>
      </c>
      <c r="BW38" s="60" t="s">
        <v>1379</v>
      </c>
      <c r="BX38" s="82">
        <v>0.48232695139911635</v>
      </c>
      <c r="BY38" s="223">
        <v>0.62639863818067054</v>
      </c>
      <c r="BZ38" s="60" t="s">
        <v>1426</v>
      </c>
      <c r="CA38" s="82">
        <v>0.54859999999999998</v>
      </c>
      <c r="CB38" s="279">
        <v>0.71</v>
      </c>
      <c r="CC38" s="60" t="s">
        <v>1984</v>
      </c>
      <c r="CD38" s="82">
        <v>0.62739999999999996</v>
      </c>
      <c r="CE38" s="279">
        <v>0.81</v>
      </c>
      <c r="CF38" s="60" t="s">
        <v>2032</v>
      </c>
      <c r="CG38" s="82">
        <v>0.79500000000000004</v>
      </c>
      <c r="CH38" s="279">
        <v>1</v>
      </c>
      <c r="CI38" s="60" t="s">
        <v>2056</v>
      </c>
      <c r="CJ38" s="11" t="s">
        <v>106</v>
      </c>
      <c r="CK38" s="11" t="s">
        <v>107</v>
      </c>
    </row>
    <row r="39" spans="1:174" s="4" customFormat="1" ht="45" customHeight="1" x14ac:dyDescent="0.2">
      <c r="A39" s="368"/>
      <c r="B39" s="368"/>
      <c r="C39" s="368"/>
      <c r="D39" s="368"/>
      <c r="E39" s="393"/>
      <c r="F39" s="368"/>
      <c r="G39" s="368"/>
      <c r="H39" s="401"/>
      <c r="I39" s="434"/>
      <c r="J39" s="368"/>
      <c r="K39" s="368"/>
      <c r="L39" s="393"/>
      <c r="M39" s="485"/>
      <c r="N39" s="402"/>
      <c r="O39" s="379"/>
      <c r="P39" s="487"/>
      <c r="Q39" s="402"/>
      <c r="R39" s="379"/>
      <c r="S39" s="485"/>
      <c r="T39" s="402"/>
      <c r="U39" s="379"/>
      <c r="V39" s="485"/>
      <c r="W39" s="402"/>
      <c r="X39" s="379"/>
      <c r="Y39" s="485"/>
      <c r="Z39" s="402"/>
      <c r="AA39" s="379"/>
      <c r="AB39" s="485"/>
      <c r="AC39" s="402"/>
      <c r="AD39" s="379"/>
      <c r="AE39" s="485"/>
      <c r="AF39" s="402"/>
      <c r="AG39" s="379"/>
      <c r="AH39" s="485"/>
      <c r="AI39" s="402"/>
      <c r="AJ39" s="379"/>
      <c r="AK39" s="485"/>
      <c r="AL39" s="402"/>
      <c r="AM39" s="379"/>
      <c r="AN39" s="485"/>
      <c r="AO39" s="402"/>
      <c r="AP39" s="379"/>
      <c r="AQ39" s="485"/>
      <c r="AR39" s="402"/>
      <c r="AS39" s="379"/>
      <c r="AT39" s="485"/>
      <c r="AU39" s="402"/>
      <c r="AV39" s="379"/>
      <c r="AW39" s="11" t="s">
        <v>482</v>
      </c>
      <c r="AX39" s="11" t="s">
        <v>483</v>
      </c>
      <c r="AY39" s="128">
        <v>1</v>
      </c>
      <c r="AZ39" s="82">
        <v>0</v>
      </c>
      <c r="BA39" s="129">
        <v>0</v>
      </c>
      <c r="BB39" s="60" t="s">
        <v>484</v>
      </c>
      <c r="BC39" s="82">
        <v>1.5037593984962405E-2</v>
      </c>
      <c r="BD39" s="129">
        <v>1.5037593984962405E-2</v>
      </c>
      <c r="BE39" s="60" t="s">
        <v>485</v>
      </c>
      <c r="BF39" s="82">
        <v>9.7744360902255634E-2</v>
      </c>
      <c r="BG39" s="129">
        <v>9.7744360902255634E-2</v>
      </c>
      <c r="BH39" s="60" t="s">
        <v>486</v>
      </c>
      <c r="BI39" s="82">
        <v>0.14893617021276595</v>
      </c>
      <c r="BJ39" s="144">
        <v>0.14893617021276595</v>
      </c>
      <c r="BK39" s="60" t="s">
        <v>1115</v>
      </c>
      <c r="BL39" s="82">
        <v>0.19867549668874171</v>
      </c>
      <c r="BM39" s="144">
        <v>0.19867549668874171</v>
      </c>
      <c r="BN39" s="60" t="s">
        <v>1151</v>
      </c>
      <c r="BO39" s="82">
        <v>0.24836601307189543</v>
      </c>
      <c r="BP39" s="144">
        <v>0.24836601307189543</v>
      </c>
      <c r="BQ39" s="60" t="s">
        <v>1170</v>
      </c>
      <c r="BR39" s="82">
        <v>0.33561643835616439</v>
      </c>
      <c r="BS39" s="223">
        <v>0.33561643835616439</v>
      </c>
      <c r="BT39" s="60" t="s">
        <v>1350</v>
      </c>
      <c r="BU39" s="82">
        <v>0.4609375</v>
      </c>
      <c r="BV39" s="223">
        <v>0.4609375</v>
      </c>
      <c r="BW39" s="60" t="s">
        <v>1380</v>
      </c>
      <c r="BX39" s="82">
        <v>0.5859375</v>
      </c>
      <c r="BY39" s="223">
        <v>0.5859375</v>
      </c>
      <c r="BZ39" s="60" t="s">
        <v>1427</v>
      </c>
      <c r="CA39" s="82">
        <v>0.67500000000000004</v>
      </c>
      <c r="CB39" s="279">
        <v>0.68</v>
      </c>
      <c r="CC39" s="60" t="s">
        <v>1985</v>
      </c>
      <c r="CD39" s="82">
        <v>0.73950000000000005</v>
      </c>
      <c r="CE39" s="279">
        <v>0.74</v>
      </c>
      <c r="CF39" s="60" t="s">
        <v>2033</v>
      </c>
      <c r="CG39" s="82">
        <v>1</v>
      </c>
      <c r="CH39" s="279">
        <v>1</v>
      </c>
      <c r="CI39" s="60" t="s">
        <v>2057</v>
      </c>
      <c r="CJ39" s="11" t="s">
        <v>106</v>
      </c>
      <c r="CK39" s="11" t="s">
        <v>107</v>
      </c>
    </row>
    <row r="40" spans="1:174" s="4" customFormat="1" ht="45" customHeight="1" x14ac:dyDescent="0.2">
      <c r="A40" s="368"/>
      <c r="B40" s="368"/>
      <c r="C40" s="368"/>
      <c r="D40" s="368"/>
      <c r="E40" s="393"/>
      <c r="F40" s="368"/>
      <c r="G40" s="368"/>
      <c r="H40" s="401"/>
      <c r="I40" s="434"/>
      <c r="J40" s="368"/>
      <c r="K40" s="368"/>
      <c r="L40" s="393"/>
      <c r="M40" s="486"/>
      <c r="N40" s="367"/>
      <c r="O40" s="380"/>
      <c r="P40" s="463"/>
      <c r="Q40" s="367"/>
      <c r="R40" s="380"/>
      <c r="S40" s="486"/>
      <c r="T40" s="367"/>
      <c r="U40" s="380"/>
      <c r="V40" s="486"/>
      <c r="W40" s="367"/>
      <c r="X40" s="380"/>
      <c r="Y40" s="486"/>
      <c r="Z40" s="367"/>
      <c r="AA40" s="380"/>
      <c r="AB40" s="486"/>
      <c r="AC40" s="367"/>
      <c r="AD40" s="380"/>
      <c r="AE40" s="486"/>
      <c r="AF40" s="367"/>
      <c r="AG40" s="380"/>
      <c r="AH40" s="486"/>
      <c r="AI40" s="367"/>
      <c r="AJ40" s="380"/>
      <c r="AK40" s="486"/>
      <c r="AL40" s="367"/>
      <c r="AM40" s="380"/>
      <c r="AN40" s="486"/>
      <c r="AO40" s="367"/>
      <c r="AP40" s="380"/>
      <c r="AQ40" s="486"/>
      <c r="AR40" s="367"/>
      <c r="AS40" s="380"/>
      <c r="AT40" s="486"/>
      <c r="AU40" s="367"/>
      <c r="AV40" s="380"/>
      <c r="AW40" s="11" t="s">
        <v>397</v>
      </c>
      <c r="AX40" s="11" t="s">
        <v>398</v>
      </c>
      <c r="AY40" s="128">
        <v>0.05</v>
      </c>
      <c r="AZ40" s="82"/>
      <c r="BA40" s="129">
        <v>0</v>
      </c>
      <c r="BB40" s="60" t="s">
        <v>399</v>
      </c>
      <c r="BC40" s="82"/>
      <c r="BD40" s="60">
        <v>0</v>
      </c>
      <c r="BE40" s="60" t="s">
        <v>399</v>
      </c>
      <c r="BF40" s="82">
        <v>0</v>
      </c>
      <c r="BG40" s="129">
        <v>0</v>
      </c>
      <c r="BH40" s="60" t="s">
        <v>487</v>
      </c>
      <c r="BI40" s="82">
        <v>0</v>
      </c>
      <c r="BJ40" s="144">
        <v>0</v>
      </c>
      <c r="BK40" s="60" t="s">
        <v>487</v>
      </c>
      <c r="BL40" s="82">
        <v>0</v>
      </c>
      <c r="BM40" s="60">
        <v>0</v>
      </c>
      <c r="BN40" s="60" t="s">
        <v>487</v>
      </c>
      <c r="BO40" s="82">
        <v>7.7459333849728895E-3</v>
      </c>
      <c r="BP40" s="144">
        <v>3.8729666924864445E-2</v>
      </c>
      <c r="BQ40" s="60" t="s">
        <v>1171</v>
      </c>
      <c r="BR40" s="82">
        <v>7.77000777000777E-3</v>
      </c>
      <c r="BS40" s="223">
        <v>3.8850038850038848E-2</v>
      </c>
      <c r="BT40" s="60" t="s">
        <v>1171</v>
      </c>
      <c r="BU40" s="82">
        <v>7.77000777000777E-3</v>
      </c>
      <c r="BV40" s="60">
        <v>3.8850038850038848E-2</v>
      </c>
      <c r="BW40" s="60" t="s">
        <v>1171</v>
      </c>
      <c r="BX40" s="82">
        <v>4.336734693877551E-2</v>
      </c>
      <c r="BY40" s="223">
        <v>0.86734693877551017</v>
      </c>
      <c r="BZ40" s="60" t="s">
        <v>1428</v>
      </c>
      <c r="CA40" s="82">
        <v>4.2999999999999997E-2</v>
      </c>
      <c r="CB40" s="279">
        <v>0.87</v>
      </c>
      <c r="CC40" s="60" t="s">
        <v>1428</v>
      </c>
      <c r="CD40" s="82">
        <v>4.2999999999999997E-2</v>
      </c>
      <c r="CE40" s="60">
        <v>0.87</v>
      </c>
      <c r="CF40" s="60" t="s">
        <v>1428</v>
      </c>
      <c r="CG40" s="82">
        <v>5.5E-2</v>
      </c>
      <c r="CH40" s="279">
        <v>1</v>
      </c>
      <c r="CI40" s="60" t="s">
        <v>2058</v>
      </c>
      <c r="CJ40" s="11" t="s">
        <v>106</v>
      </c>
      <c r="CK40" s="11" t="s">
        <v>107</v>
      </c>
    </row>
    <row r="41" spans="1:174" ht="75" x14ac:dyDescent="0.25">
      <c r="H41" s="401"/>
      <c r="M41" s="56" t="s">
        <v>161</v>
      </c>
      <c r="N41" s="74">
        <f>AVERAGE(N35:N40)</f>
        <v>2.3407917383821E-2</v>
      </c>
      <c r="P41" s="56" t="s">
        <v>161</v>
      </c>
      <c r="Q41" s="74">
        <f>AVERAGE(Q35:Q40)</f>
        <v>7.7796901893287432E-2</v>
      </c>
      <c r="S41" s="56" t="s">
        <v>161</v>
      </c>
      <c r="T41" s="74">
        <f>AVERAGE(T35:T40)</f>
        <v>0.15903614457831325</v>
      </c>
      <c r="V41" s="56" t="s">
        <v>161</v>
      </c>
      <c r="W41" s="74">
        <f>AVERAGE(W35:W40)</f>
        <v>0.25914315569487983</v>
      </c>
      <c r="Y41" s="56" t="s">
        <v>161</v>
      </c>
      <c r="Z41" s="74">
        <f>AVERAGE(Z35:Z40)</f>
        <v>0.34691745036572624</v>
      </c>
      <c r="AB41" s="56" t="s">
        <v>161</v>
      </c>
      <c r="AC41" s="74">
        <f>AVERAGE(AC35:AC40)</f>
        <v>0.43016370602577497</v>
      </c>
      <c r="AE41" s="56" t="s">
        <v>161</v>
      </c>
      <c r="AF41" s="74">
        <f>AVERAGE(AF35:AF40)</f>
        <v>0.51793800069662144</v>
      </c>
      <c r="AH41" s="56" t="s">
        <v>161</v>
      </c>
      <c r="AI41" s="74">
        <f>AVERAGE(AI35:AI40)</f>
        <v>0.60118425635667017</v>
      </c>
      <c r="AK41" s="56" t="s">
        <v>161</v>
      </c>
      <c r="AL41" s="74">
        <f>AVERAGE(AL35:AL40)</f>
        <v>0.68059999999999998</v>
      </c>
      <c r="AN41" s="56" t="s">
        <v>161</v>
      </c>
      <c r="AO41" s="74">
        <f>AVERAGE(AO35:AO40)</f>
        <v>0.76</v>
      </c>
      <c r="AQ41" s="56" t="s">
        <v>161</v>
      </c>
      <c r="AR41" s="74">
        <f>AVERAGE(AR35:AR40)</f>
        <v>0.85</v>
      </c>
      <c r="AT41" s="56" t="s">
        <v>161</v>
      </c>
      <c r="AU41" s="74">
        <f>AVERAGE(AU35:AU40)</f>
        <v>0.996</v>
      </c>
      <c r="AZ41" s="56" t="s">
        <v>162</v>
      </c>
      <c r="BA41" s="74">
        <f>AVERAGE(BA35:BA39)</f>
        <v>0.11706086980383827</v>
      </c>
      <c r="BC41" s="56" t="s">
        <v>162</v>
      </c>
      <c r="BD41" s="74">
        <f>AVERAGE(BD35:BD39)</f>
        <v>0.23256360158549444</v>
      </c>
      <c r="BF41" s="56" t="s">
        <v>162</v>
      </c>
      <c r="BG41" s="74">
        <f>AVERAGE(BG35:BG40)</f>
        <v>0.29817785498388394</v>
      </c>
      <c r="BH41" s="7"/>
      <c r="BI41" s="56" t="s">
        <v>162</v>
      </c>
      <c r="BJ41" s="74">
        <f>AVERAGE(BJ35:BJ40)</f>
        <v>0.34433604660493117</v>
      </c>
      <c r="BL41" s="56" t="s">
        <v>162</v>
      </c>
      <c r="BM41" s="74">
        <f>AVERAGE(BM35:BM40)</f>
        <v>0.38610445783450409</v>
      </c>
      <c r="BO41" s="56" t="s">
        <v>162</v>
      </c>
      <c r="BP41" s="74">
        <f>AVERAGE(BP35:BP40)</f>
        <v>0.44588834471719535</v>
      </c>
      <c r="BQ41" s="7"/>
      <c r="BR41" s="56" t="s">
        <v>162</v>
      </c>
      <c r="BS41" s="74">
        <f>AVERAGE(BS35:BS40)</f>
        <v>0.50868498058436462</v>
      </c>
      <c r="BU41" s="56" t="s">
        <v>162</v>
      </c>
      <c r="BV41" s="74">
        <f>AVERAGE(BV35:BV40)</f>
        <v>0.57403797846711779</v>
      </c>
      <c r="BX41" s="56" t="s">
        <v>162</v>
      </c>
      <c r="BY41" s="74">
        <f>AVERAGE(BY35:BY40)</f>
        <v>0.77830764667943597</v>
      </c>
      <c r="BZ41" s="7"/>
      <c r="CA41" s="56" t="s">
        <v>162</v>
      </c>
      <c r="CB41" s="74">
        <f>AVERAGE(CB35:CB40)</f>
        <v>0.81</v>
      </c>
      <c r="CD41" s="56" t="s">
        <v>162</v>
      </c>
      <c r="CE41" s="74">
        <f>AVERAGE(CE35:CE40)</f>
        <v>0.87</v>
      </c>
      <c r="CG41" s="56" t="s">
        <v>162</v>
      </c>
      <c r="CH41" s="74">
        <f>AVERAGE(CH35:CH40)</f>
        <v>0.9916666666666667</v>
      </c>
      <c r="CI41" s="292"/>
      <c r="CJ41" s="7"/>
      <c r="CK41" s="7"/>
      <c r="FO41"/>
      <c r="FP41"/>
      <c r="FQ41"/>
      <c r="FR41"/>
    </row>
    <row r="42" spans="1:174" s="4" customFormat="1" ht="45" customHeight="1" x14ac:dyDescent="0.2">
      <c r="A42" s="369" t="s">
        <v>84</v>
      </c>
      <c r="B42" s="369" t="s">
        <v>274</v>
      </c>
      <c r="C42" s="369" t="s">
        <v>2719</v>
      </c>
      <c r="D42" s="369" t="s">
        <v>41</v>
      </c>
      <c r="E42" s="369" t="s">
        <v>488</v>
      </c>
      <c r="F42" s="369" t="s">
        <v>88</v>
      </c>
      <c r="G42" s="369" t="s">
        <v>276</v>
      </c>
      <c r="H42" s="401"/>
      <c r="I42" s="374">
        <v>5882006974</v>
      </c>
      <c r="J42" s="124" t="s">
        <v>489</v>
      </c>
      <c r="K42" s="124" t="s">
        <v>490</v>
      </c>
      <c r="L42" s="122">
        <v>1200</v>
      </c>
      <c r="M42" s="122">
        <v>43</v>
      </c>
      <c r="N42" s="129">
        <v>3.4235668789808917E-2</v>
      </c>
      <c r="O42" s="60" t="s">
        <v>491</v>
      </c>
      <c r="P42" s="122">
        <v>43</v>
      </c>
      <c r="Q42" s="129">
        <v>3.4235668789808917E-2</v>
      </c>
      <c r="R42" s="60" t="s">
        <v>492</v>
      </c>
      <c r="S42" s="122">
        <v>254</v>
      </c>
      <c r="T42" s="129">
        <v>0.20222929936305734</v>
      </c>
      <c r="U42" s="60" t="s">
        <v>493</v>
      </c>
      <c r="V42" s="122">
        <v>349</v>
      </c>
      <c r="W42" s="144">
        <v>0.27786624203821658</v>
      </c>
      <c r="X42" s="60" t="s">
        <v>1087</v>
      </c>
      <c r="Y42" s="122">
        <v>454</v>
      </c>
      <c r="Z42" s="144">
        <v>0.36146496815286622</v>
      </c>
      <c r="AA42" s="60" t="s">
        <v>1124</v>
      </c>
      <c r="AB42" s="122">
        <v>564</v>
      </c>
      <c r="AC42" s="144">
        <v>0.44904458598726116</v>
      </c>
      <c r="AD42" s="60" t="s">
        <v>1160</v>
      </c>
      <c r="AE42" s="122">
        <v>646</v>
      </c>
      <c r="AF42" s="223">
        <v>0.51433121019108285</v>
      </c>
      <c r="AG42" s="60" t="s">
        <v>1340</v>
      </c>
      <c r="AH42" s="122">
        <v>760</v>
      </c>
      <c r="AI42" s="223">
        <v>0.60509554140127386</v>
      </c>
      <c r="AJ42" s="60" t="s">
        <v>1386</v>
      </c>
      <c r="AK42" s="122">
        <v>857</v>
      </c>
      <c r="AL42" s="223">
        <v>0.6823248407643312</v>
      </c>
      <c r="AM42" s="60" t="s">
        <v>1417</v>
      </c>
      <c r="AN42" s="122">
        <v>955</v>
      </c>
      <c r="AO42" s="279">
        <v>0.76</v>
      </c>
      <c r="AP42" s="60" t="s">
        <v>1991</v>
      </c>
      <c r="AQ42" s="122">
        <v>1056</v>
      </c>
      <c r="AR42" s="279">
        <v>0.88</v>
      </c>
      <c r="AS42" s="60" t="s">
        <v>2023</v>
      </c>
      <c r="AT42" s="122">
        <v>1200</v>
      </c>
      <c r="AU42" s="279">
        <v>1</v>
      </c>
      <c r="AV42" s="60" t="s">
        <v>2065</v>
      </c>
      <c r="AW42" s="368" t="s">
        <v>93</v>
      </c>
      <c r="AX42" s="368"/>
      <c r="AY42" s="368"/>
      <c r="AZ42" s="69"/>
      <c r="BA42" s="71"/>
      <c r="BB42" s="69"/>
      <c r="BC42" s="69"/>
      <c r="BD42" s="71"/>
      <c r="BE42" s="69"/>
      <c r="BF42" s="69"/>
      <c r="BG42" s="71"/>
      <c r="BH42" s="69"/>
      <c r="BI42" s="69"/>
      <c r="BJ42" s="71"/>
      <c r="BK42" s="69"/>
      <c r="BL42" s="69"/>
      <c r="BM42" s="71"/>
      <c r="BN42" s="69"/>
      <c r="BO42" s="69"/>
      <c r="BP42" s="71"/>
      <c r="BQ42" s="69"/>
      <c r="BR42" s="69"/>
      <c r="BS42" s="71"/>
      <c r="BT42" s="69"/>
      <c r="BU42" s="69"/>
      <c r="BV42" s="71"/>
      <c r="BW42" s="69"/>
      <c r="BX42" s="69"/>
      <c r="BY42" s="71"/>
      <c r="BZ42" s="69"/>
      <c r="CA42" s="69"/>
      <c r="CB42" s="71"/>
      <c r="CC42" s="69"/>
      <c r="CD42" s="69"/>
      <c r="CE42" s="71"/>
      <c r="CF42" s="69"/>
      <c r="CG42" s="69"/>
      <c r="CH42" s="71"/>
      <c r="CI42" s="69"/>
      <c r="CJ42" s="11" t="s">
        <v>106</v>
      </c>
      <c r="CK42" s="11" t="s">
        <v>107</v>
      </c>
    </row>
    <row r="43" spans="1:174" s="4" customFormat="1" ht="45" customHeight="1" x14ac:dyDescent="0.2">
      <c r="A43" s="394"/>
      <c r="B43" s="394"/>
      <c r="C43" s="394"/>
      <c r="D43" s="394"/>
      <c r="E43" s="394"/>
      <c r="F43" s="394"/>
      <c r="G43" s="394"/>
      <c r="H43" s="401"/>
      <c r="I43" s="401"/>
      <c r="J43" s="127" t="s">
        <v>494</v>
      </c>
      <c r="K43" s="127" t="s">
        <v>495</v>
      </c>
      <c r="L43" s="127">
        <v>1200</v>
      </c>
      <c r="M43" s="127">
        <v>43</v>
      </c>
      <c r="N43" s="129">
        <v>3.3992094861660077E-2</v>
      </c>
      <c r="O43" s="60" t="s">
        <v>496</v>
      </c>
      <c r="P43" s="127">
        <v>139</v>
      </c>
      <c r="Q43" s="129">
        <v>0.10988142292490119</v>
      </c>
      <c r="R43" s="60" t="s">
        <v>497</v>
      </c>
      <c r="S43" s="127">
        <v>254</v>
      </c>
      <c r="T43" s="129">
        <v>0.2007905138339921</v>
      </c>
      <c r="U43" s="60" t="s">
        <v>498</v>
      </c>
      <c r="V43" s="143">
        <v>349</v>
      </c>
      <c r="W43" s="144">
        <v>0.27588932806324112</v>
      </c>
      <c r="X43" s="60" t="s">
        <v>1088</v>
      </c>
      <c r="Y43" s="143">
        <v>454</v>
      </c>
      <c r="Z43" s="144">
        <v>0.35889328063241105</v>
      </c>
      <c r="AA43" s="60" t="s">
        <v>1125</v>
      </c>
      <c r="AB43" s="143">
        <v>564</v>
      </c>
      <c r="AC43" s="144">
        <v>0.44584980237154148</v>
      </c>
      <c r="AD43" s="60" t="s">
        <v>1161</v>
      </c>
      <c r="AE43" s="222">
        <v>646</v>
      </c>
      <c r="AF43" s="223">
        <v>0.51067193675889333</v>
      </c>
      <c r="AG43" s="60" t="s">
        <v>1341</v>
      </c>
      <c r="AH43" s="222">
        <v>760</v>
      </c>
      <c r="AI43" s="223">
        <v>0.60079051383399207</v>
      </c>
      <c r="AJ43" s="60" t="s">
        <v>1387</v>
      </c>
      <c r="AK43" s="222">
        <v>857</v>
      </c>
      <c r="AL43" s="223">
        <v>0.67747035573122527</v>
      </c>
      <c r="AM43" s="60" t="s">
        <v>1418</v>
      </c>
      <c r="AN43" s="270">
        <v>955</v>
      </c>
      <c r="AO43" s="279">
        <v>0.8</v>
      </c>
      <c r="AP43" s="60" t="s">
        <v>1992</v>
      </c>
      <c r="AQ43" s="270">
        <v>1056</v>
      </c>
      <c r="AR43" s="279">
        <v>0.88</v>
      </c>
      <c r="AS43" s="60" t="s">
        <v>2024</v>
      </c>
      <c r="AT43" s="270">
        <v>1200</v>
      </c>
      <c r="AU43" s="279">
        <v>1</v>
      </c>
      <c r="AV43" s="60" t="s">
        <v>2066</v>
      </c>
      <c r="AW43" s="11" t="s">
        <v>499</v>
      </c>
      <c r="AX43" s="11" t="s">
        <v>500</v>
      </c>
      <c r="AY43" s="128">
        <v>1</v>
      </c>
      <c r="AZ43" s="63">
        <v>0.46153846153846156</v>
      </c>
      <c r="BA43" s="76">
        <v>0.46153846153846156</v>
      </c>
      <c r="BB43" s="60" t="s">
        <v>501</v>
      </c>
      <c r="BC43" s="60">
        <v>0.91</v>
      </c>
      <c r="BD43" s="129">
        <v>0.90625</v>
      </c>
      <c r="BE43" s="60" t="s">
        <v>502</v>
      </c>
      <c r="BF43" s="60">
        <v>0.92</v>
      </c>
      <c r="BG43" s="129">
        <v>0.92105263157894735</v>
      </c>
      <c r="BH43" s="60" t="s">
        <v>503</v>
      </c>
      <c r="BI43" s="76">
        <v>0.91304347826086951</v>
      </c>
      <c r="BJ43" s="63">
        <v>0.91304347826086951</v>
      </c>
      <c r="BK43" s="60" t="s">
        <v>1116</v>
      </c>
      <c r="BL43" s="60">
        <v>0.94968553459119498</v>
      </c>
      <c r="BM43" s="144">
        <v>0.94968553459119498</v>
      </c>
      <c r="BN43" s="60" t="s">
        <v>1152</v>
      </c>
      <c r="BO43" s="60">
        <v>0.95287958115183247</v>
      </c>
      <c r="BP43" s="144">
        <v>0.95287958115183247</v>
      </c>
      <c r="BQ43" s="60" t="s">
        <v>1194</v>
      </c>
      <c r="BR43" s="76">
        <v>0.95287958115183247</v>
      </c>
      <c r="BS43" s="63">
        <v>0.95287958115183247</v>
      </c>
      <c r="BT43" s="60" t="s">
        <v>1373</v>
      </c>
      <c r="BU43" s="60">
        <v>0.95287958115183247</v>
      </c>
      <c r="BV43" s="223">
        <v>0.95287958115183247</v>
      </c>
      <c r="BW43" s="60" t="s">
        <v>1409</v>
      </c>
      <c r="BX43" s="60">
        <v>0.96065573770491808</v>
      </c>
      <c r="BY43" s="223">
        <v>0.96065573770491808</v>
      </c>
      <c r="BZ43" s="60" t="s">
        <v>1451</v>
      </c>
      <c r="CA43" s="76">
        <v>0.96009999999999995</v>
      </c>
      <c r="CB43" s="63">
        <v>0.96</v>
      </c>
      <c r="CC43" s="60" t="s">
        <v>2015</v>
      </c>
      <c r="CD43" s="60">
        <v>0.95</v>
      </c>
      <c r="CE43" s="279">
        <v>0.95</v>
      </c>
      <c r="CF43" s="60" t="s">
        <v>2051</v>
      </c>
      <c r="CG43" s="60">
        <v>1</v>
      </c>
      <c r="CH43" s="279">
        <v>1</v>
      </c>
      <c r="CI43" s="60" t="s">
        <v>2092</v>
      </c>
      <c r="CJ43" s="11" t="s">
        <v>106</v>
      </c>
      <c r="CK43" s="11" t="s">
        <v>107</v>
      </c>
    </row>
    <row r="44" spans="1:174" s="4" customFormat="1" ht="216" x14ac:dyDescent="0.2">
      <c r="A44" s="394"/>
      <c r="B44" s="394"/>
      <c r="C44" s="394"/>
      <c r="D44" s="394"/>
      <c r="E44" s="394"/>
      <c r="F44" s="394"/>
      <c r="G44" s="394"/>
      <c r="H44" s="401"/>
      <c r="I44" s="401"/>
      <c r="J44" s="127" t="s">
        <v>504</v>
      </c>
      <c r="K44" s="127" t="s">
        <v>505</v>
      </c>
      <c r="L44" s="126">
        <v>1</v>
      </c>
      <c r="M44" s="60">
        <v>0.27234927234927236</v>
      </c>
      <c r="N44" s="129">
        <v>0.27234927234927236</v>
      </c>
      <c r="O44" s="60" t="s">
        <v>506</v>
      </c>
      <c r="P44" s="60">
        <v>0.40262172284644199</v>
      </c>
      <c r="Q44" s="129">
        <v>0.40262172284644199</v>
      </c>
      <c r="R44" s="60" t="s">
        <v>507</v>
      </c>
      <c r="S44" s="60">
        <v>0.48</v>
      </c>
      <c r="T44" s="129">
        <v>0.48</v>
      </c>
      <c r="U44" s="60" t="s">
        <v>508</v>
      </c>
      <c r="V44" s="60">
        <v>0.89066442388561817</v>
      </c>
      <c r="W44" s="144">
        <v>0.89066442388561817</v>
      </c>
      <c r="X44" s="60" t="s">
        <v>1089</v>
      </c>
      <c r="Y44" s="60">
        <v>0.97341513292433535</v>
      </c>
      <c r="Z44" s="144">
        <v>0.97341513292433535</v>
      </c>
      <c r="AA44" s="60" t="s">
        <v>1126</v>
      </c>
      <c r="AB44" s="60">
        <v>0.95047923322683703</v>
      </c>
      <c r="AC44" s="144">
        <v>0.95047923322683703</v>
      </c>
      <c r="AD44" s="60" t="s">
        <v>1162</v>
      </c>
      <c r="AE44" s="60">
        <v>0.93407613741875584</v>
      </c>
      <c r="AF44" s="223">
        <v>0.93407613741875584</v>
      </c>
      <c r="AG44" s="60" t="s">
        <v>1342</v>
      </c>
      <c r="AH44" s="60">
        <v>0.95821836815135986</v>
      </c>
      <c r="AI44" s="223">
        <v>0.95821836815135986</v>
      </c>
      <c r="AJ44" s="60" t="s">
        <v>1388</v>
      </c>
      <c r="AK44" s="60">
        <v>0.97722342733188716</v>
      </c>
      <c r="AL44" s="223">
        <v>0.97722342733188716</v>
      </c>
      <c r="AM44" s="60" t="s">
        <v>1419</v>
      </c>
      <c r="AN44" s="60">
        <v>0.99</v>
      </c>
      <c r="AO44" s="279">
        <v>0.99</v>
      </c>
      <c r="AP44" s="60" t="s">
        <v>1993</v>
      </c>
      <c r="AQ44" s="60">
        <v>0.99</v>
      </c>
      <c r="AR44" s="279">
        <v>0.99</v>
      </c>
      <c r="AS44" s="60" t="s">
        <v>2025</v>
      </c>
      <c r="AT44" s="60">
        <v>0.996</v>
      </c>
      <c r="AU44" s="279">
        <v>0.996</v>
      </c>
      <c r="AV44" s="60" t="s">
        <v>2067</v>
      </c>
      <c r="AW44" s="368" t="s">
        <v>93</v>
      </c>
      <c r="AX44" s="368"/>
      <c r="AY44" s="368"/>
      <c r="AZ44" s="69"/>
      <c r="BA44" s="71"/>
      <c r="BB44" s="69"/>
      <c r="BC44" s="69"/>
      <c r="BD44" s="71"/>
      <c r="BE44" s="69"/>
      <c r="BF44" s="69"/>
      <c r="BG44" s="71"/>
      <c r="BH44" s="69"/>
      <c r="BI44" s="69"/>
      <c r="BJ44" s="71"/>
      <c r="BK44" s="69"/>
      <c r="BL44" s="69"/>
      <c r="BM44" s="71"/>
      <c r="BN44" s="69"/>
      <c r="BO44" s="69"/>
      <c r="BP44" s="71"/>
      <c r="BQ44" s="69"/>
      <c r="BR44" s="69"/>
      <c r="BS44" s="71"/>
      <c r="BT44" s="69"/>
      <c r="BU44" s="69"/>
      <c r="BV44" s="71"/>
      <c r="BW44" s="69"/>
      <c r="BX44" s="69"/>
      <c r="BY44" s="71"/>
      <c r="BZ44" s="69"/>
      <c r="CA44" s="69"/>
      <c r="CB44" s="71"/>
      <c r="CC44" s="69"/>
      <c r="CD44" s="69"/>
      <c r="CE44" s="71"/>
      <c r="CF44" s="69"/>
      <c r="CG44" s="69"/>
      <c r="CH44" s="71"/>
      <c r="CI44" s="69"/>
      <c r="CJ44" s="11" t="s">
        <v>106</v>
      </c>
      <c r="CK44" s="11" t="s">
        <v>107</v>
      </c>
    </row>
    <row r="45" spans="1:174" s="4" customFormat="1" ht="252" x14ac:dyDescent="0.2">
      <c r="A45" s="394"/>
      <c r="B45" s="394"/>
      <c r="C45" s="394"/>
      <c r="D45" s="394"/>
      <c r="E45" s="394"/>
      <c r="F45" s="394"/>
      <c r="G45" s="394"/>
      <c r="H45" s="401"/>
      <c r="I45" s="401"/>
      <c r="J45" s="127" t="s">
        <v>509</v>
      </c>
      <c r="K45" s="127" t="s">
        <v>510</v>
      </c>
      <c r="L45" s="127">
        <v>8500</v>
      </c>
      <c r="M45" s="127">
        <v>1280.48</v>
      </c>
      <c r="N45" s="129">
        <v>0.21341333333333334</v>
      </c>
      <c r="O45" s="60" t="s">
        <v>511</v>
      </c>
      <c r="P45" s="127">
        <v>1425.35</v>
      </c>
      <c r="Q45" s="129">
        <v>0.23755833333333332</v>
      </c>
      <c r="R45" s="60" t="s">
        <v>512</v>
      </c>
      <c r="S45" s="127">
        <v>1450.35</v>
      </c>
      <c r="T45" s="129">
        <v>0.241725</v>
      </c>
      <c r="U45" s="60" t="s">
        <v>513</v>
      </c>
      <c r="V45" s="143">
        <v>2098.0500000000002</v>
      </c>
      <c r="W45" s="144">
        <v>0.34967500000000001</v>
      </c>
      <c r="X45" s="60" t="s">
        <v>1090</v>
      </c>
      <c r="Y45" s="143">
        <v>2872.08</v>
      </c>
      <c r="Z45" s="144">
        <v>0.47867999999999999</v>
      </c>
      <c r="AA45" s="60" t="s">
        <v>1127</v>
      </c>
      <c r="AB45" s="143">
        <v>3139.22</v>
      </c>
      <c r="AC45" s="144">
        <v>0.52320333333333335</v>
      </c>
      <c r="AD45" s="60" t="s">
        <v>1163</v>
      </c>
      <c r="AE45" s="222">
        <v>5467.62</v>
      </c>
      <c r="AF45" s="223">
        <v>0.91127000000000002</v>
      </c>
      <c r="AG45" s="60" t="s">
        <v>1343</v>
      </c>
      <c r="AH45" s="222">
        <v>5518.66</v>
      </c>
      <c r="AI45" s="223">
        <v>0.91977666666666669</v>
      </c>
      <c r="AJ45" s="60" t="s">
        <v>1389</v>
      </c>
      <c r="AK45" s="222">
        <v>5552.79</v>
      </c>
      <c r="AL45" s="223">
        <v>0.92546499999999998</v>
      </c>
      <c r="AM45" s="60" t="s">
        <v>1420</v>
      </c>
      <c r="AN45" s="270">
        <v>5684.87</v>
      </c>
      <c r="AO45" s="279">
        <v>0.95</v>
      </c>
      <c r="AP45" s="60" t="s">
        <v>1994</v>
      </c>
      <c r="AQ45" s="270">
        <v>8161.66</v>
      </c>
      <c r="AR45" s="279">
        <v>0.96</v>
      </c>
      <c r="AS45" s="60" t="s">
        <v>2026</v>
      </c>
      <c r="AT45" s="270">
        <v>8534.89</v>
      </c>
      <c r="AU45" s="279">
        <v>1</v>
      </c>
      <c r="AV45" s="60" t="s">
        <v>2068</v>
      </c>
      <c r="AW45" s="11" t="s">
        <v>514</v>
      </c>
      <c r="AX45" s="11" t="s">
        <v>515</v>
      </c>
      <c r="AY45" s="128">
        <v>1</v>
      </c>
      <c r="AZ45" s="60">
        <v>0.5</v>
      </c>
      <c r="BA45" s="129">
        <v>0.5</v>
      </c>
      <c r="BB45" s="60" t="s">
        <v>516</v>
      </c>
      <c r="BC45" s="60">
        <v>0.43</v>
      </c>
      <c r="BD45" s="129">
        <v>0.42857142857142855</v>
      </c>
      <c r="BE45" s="60" t="s">
        <v>517</v>
      </c>
      <c r="BF45" s="60">
        <v>0.71</v>
      </c>
      <c r="BG45" s="129">
        <v>0.70930232558139539</v>
      </c>
      <c r="BH45" s="60" t="s">
        <v>518</v>
      </c>
      <c r="BI45" s="60">
        <v>0.74637681159420288</v>
      </c>
      <c r="BJ45" s="144">
        <v>0.74637681159420288</v>
      </c>
      <c r="BK45" s="60" t="s">
        <v>1117</v>
      </c>
      <c r="BL45" s="60">
        <v>0.89142857142857146</v>
      </c>
      <c r="BM45" s="144">
        <v>0.89142857142857146</v>
      </c>
      <c r="BN45" s="60" t="s">
        <v>1153</v>
      </c>
      <c r="BO45" s="60">
        <v>0.90783410138248843</v>
      </c>
      <c r="BP45" s="144">
        <v>0.90783410138248843</v>
      </c>
      <c r="BQ45" s="60" t="s">
        <v>1195</v>
      </c>
      <c r="BR45" s="60">
        <v>0.90783410138248843</v>
      </c>
      <c r="BS45" s="223">
        <v>0.90783410138248843</v>
      </c>
      <c r="BT45" s="60" t="s">
        <v>1374</v>
      </c>
      <c r="BU45" s="60">
        <v>0.90116279069767447</v>
      </c>
      <c r="BV45" s="223">
        <v>0.90116279069767447</v>
      </c>
      <c r="BW45" s="60" t="s">
        <v>1410</v>
      </c>
      <c r="BX45" s="60">
        <v>0.92420537897310517</v>
      </c>
      <c r="BY45" s="223">
        <v>0.92420537897310517</v>
      </c>
      <c r="BZ45" s="60" t="s">
        <v>1452</v>
      </c>
      <c r="CA45" s="60">
        <v>0.92</v>
      </c>
      <c r="CB45" s="279">
        <v>0.92</v>
      </c>
      <c r="CC45" s="60" t="s">
        <v>2016</v>
      </c>
      <c r="CD45" s="60">
        <v>0.92</v>
      </c>
      <c r="CE45" s="279">
        <v>0.92</v>
      </c>
      <c r="CF45" s="60" t="s">
        <v>2052</v>
      </c>
      <c r="CG45" s="60">
        <v>1</v>
      </c>
      <c r="CH45" s="279">
        <v>1</v>
      </c>
      <c r="CI45" s="60" t="s">
        <v>2093</v>
      </c>
      <c r="CJ45" s="11" t="s">
        <v>106</v>
      </c>
      <c r="CK45" s="11" t="s">
        <v>107</v>
      </c>
    </row>
    <row r="46" spans="1:174" s="4" customFormat="1" ht="33.75" customHeight="1" x14ac:dyDescent="0.2">
      <c r="A46" s="394"/>
      <c r="B46" s="394"/>
      <c r="C46" s="394"/>
      <c r="D46" s="394"/>
      <c r="E46" s="394"/>
      <c r="F46" s="394"/>
      <c r="G46" s="394"/>
      <c r="H46" s="401"/>
      <c r="I46" s="401"/>
      <c r="J46" s="127" t="s">
        <v>519</v>
      </c>
      <c r="K46" s="127" t="s">
        <v>520</v>
      </c>
      <c r="L46" s="126">
        <v>1</v>
      </c>
      <c r="M46" s="126">
        <v>1</v>
      </c>
      <c r="N46" s="129">
        <v>1</v>
      </c>
      <c r="O46" s="60" t="s">
        <v>521</v>
      </c>
      <c r="P46" s="126">
        <v>1</v>
      </c>
      <c r="Q46" s="129">
        <v>1</v>
      </c>
      <c r="R46" s="60" t="s">
        <v>522</v>
      </c>
      <c r="S46" s="126">
        <v>0.97</v>
      </c>
      <c r="T46" s="129">
        <v>0.97</v>
      </c>
      <c r="U46" s="60" t="s">
        <v>523</v>
      </c>
      <c r="V46" s="140">
        <v>0.9821428571428571</v>
      </c>
      <c r="W46" s="144">
        <v>0.9821428571428571</v>
      </c>
      <c r="X46" s="60" t="s">
        <v>1091</v>
      </c>
      <c r="Y46" s="140">
        <v>0.9882352941176471</v>
      </c>
      <c r="Z46" s="144">
        <v>0.9882352941176471</v>
      </c>
      <c r="AA46" s="60" t="s">
        <v>1128</v>
      </c>
      <c r="AB46" s="140">
        <v>0.98969072164948457</v>
      </c>
      <c r="AC46" s="144">
        <v>0.98969072164948457</v>
      </c>
      <c r="AD46" s="60" t="s">
        <v>1164</v>
      </c>
      <c r="AE46" s="220">
        <v>1</v>
      </c>
      <c r="AF46" s="223">
        <v>1</v>
      </c>
      <c r="AG46" s="60" t="s">
        <v>1344</v>
      </c>
      <c r="AH46" s="220">
        <v>0.99</v>
      </c>
      <c r="AI46" s="223">
        <v>0.99</v>
      </c>
      <c r="AJ46" s="60" t="s">
        <v>1390</v>
      </c>
      <c r="AK46" s="220">
        <v>1</v>
      </c>
      <c r="AL46" s="223">
        <v>1</v>
      </c>
      <c r="AM46" s="60" t="s">
        <v>1421</v>
      </c>
      <c r="AN46" s="267">
        <v>0.99</v>
      </c>
      <c r="AO46" s="279">
        <v>0.99</v>
      </c>
      <c r="AP46" s="60" t="s">
        <v>1995</v>
      </c>
      <c r="AQ46" s="267">
        <v>1</v>
      </c>
      <c r="AR46" s="279">
        <v>1</v>
      </c>
      <c r="AS46" s="60" t="s">
        <v>2027</v>
      </c>
      <c r="AT46" s="267">
        <v>1</v>
      </c>
      <c r="AU46" s="279">
        <v>1</v>
      </c>
      <c r="AV46" s="60" t="s">
        <v>2069</v>
      </c>
      <c r="AW46" s="368" t="s">
        <v>93</v>
      </c>
      <c r="AX46" s="368"/>
      <c r="AY46" s="368"/>
      <c r="AZ46" s="69"/>
      <c r="BA46" s="71"/>
      <c r="BB46" s="69"/>
      <c r="BC46" s="69"/>
      <c r="BD46" s="71"/>
      <c r="BE46" s="69"/>
      <c r="BF46" s="69"/>
      <c r="BG46" s="71"/>
      <c r="BH46" s="69"/>
      <c r="BI46" s="69"/>
      <c r="BJ46" s="71"/>
      <c r="BK46" s="69"/>
      <c r="BL46" s="69"/>
      <c r="BM46" s="71"/>
      <c r="BN46" s="69"/>
      <c r="BO46" s="69"/>
      <c r="BP46" s="71"/>
      <c r="BQ46" s="69"/>
      <c r="BR46" s="69"/>
      <c r="BS46" s="71"/>
      <c r="BT46" s="69"/>
      <c r="BU46" s="69"/>
      <c r="BV46" s="71"/>
      <c r="BW46" s="69"/>
      <c r="BX46" s="69"/>
      <c r="BY46" s="71"/>
      <c r="BZ46" s="69"/>
      <c r="CA46" s="69"/>
      <c r="CB46" s="71"/>
      <c r="CC46" s="69"/>
      <c r="CD46" s="69"/>
      <c r="CE46" s="71"/>
      <c r="CF46" s="69"/>
      <c r="CG46" s="69"/>
      <c r="CH46" s="71"/>
      <c r="CI46" s="69"/>
      <c r="CJ46" s="11" t="s">
        <v>106</v>
      </c>
      <c r="CK46" s="11" t="s">
        <v>107</v>
      </c>
    </row>
    <row r="47" spans="1:174" s="4" customFormat="1" ht="33.75" customHeight="1" x14ac:dyDescent="0.2">
      <c r="A47" s="370"/>
      <c r="B47" s="370"/>
      <c r="C47" s="370"/>
      <c r="D47" s="370"/>
      <c r="E47" s="370"/>
      <c r="F47" s="370"/>
      <c r="G47" s="370"/>
      <c r="H47" s="375"/>
      <c r="I47" s="375"/>
      <c r="J47" s="127" t="s">
        <v>524</v>
      </c>
      <c r="K47" s="127" t="s">
        <v>525</v>
      </c>
      <c r="L47" s="127">
        <v>26</v>
      </c>
      <c r="M47" s="127">
        <v>0</v>
      </c>
      <c r="N47" s="129">
        <v>0</v>
      </c>
      <c r="O47" s="60" t="s">
        <v>526</v>
      </c>
      <c r="P47" s="127">
        <v>0</v>
      </c>
      <c r="Q47" s="129">
        <v>0</v>
      </c>
      <c r="R47" s="60" t="s">
        <v>527</v>
      </c>
      <c r="S47" s="127">
        <v>3</v>
      </c>
      <c r="T47" s="129">
        <v>0.11538461538461539</v>
      </c>
      <c r="U47" s="60" t="s">
        <v>528</v>
      </c>
      <c r="V47" s="143">
        <v>4</v>
      </c>
      <c r="W47" s="144">
        <v>0.15384615384615385</v>
      </c>
      <c r="X47" s="60" t="s">
        <v>1092</v>
      </c>
      <c r="Y47" s="143">
        <v>8</v>
      </c>
      <c r="Z47" s="144">
        <v>0.30769230769230771</v>
      </c>
      <c r="AA47" s="60" t="s">
        <v>1129</v>
      </c>
      <c r="AB47" s="143">
        <v>8</v>
      </c>
      <c r="AC47" s="144">
        <v>0.30769230769230771</v>
      </c>
      <c r="AD47" s="60" t="s">
        <v>1165</v>
      </c>
      <c r="AE47" s="222">
        <v>15</v>
      </c>
      <c r="AF47" s="223">
        <v>0.57692307692307687</v>
      </c>
      <c r="AG47" s="60" t="s">
        <v>1345</v>
      </c>
      <c r="AH47" s="222">
        <v>18</v>
      </c>
      <c r="AI47" s="223">
        <v>0.69230769230769229</v>
      </c>
      <c r="AJ47" s="60" t="s">
        <v>1391</v>
      </c>
      <c r="AK47" s="222">
        <v>20</v>
      </c>
      <c r="AL47" s="223">
        <v>0.76923076923076927</v>
      </c>
      <c r="AM47" s="60" t="s">
        <v>1422</v>
      </c>
      <c r="AN47" s="270">
        <v>21</v>
      </c>
      <c r="AO47" s="279">
        <v>0.81</v>
      </c>
      <c r="AP47" s="60" t="s">
        <v>1996</v>
      </c>
      <c r="AQ47" s="270">
        <v>23</v>
      </c>
      <c r="AR47" s="279">
        <v>0.88</v>
      </c>
      <c r="AS47" s="60" t="s">
        <v>2028</v>
      </c>
      <c r="AT47" s="270">
        <v>26</v>
      </c>
      <c r="AU47" s="279">
        <v>1</v>
      </c>
      <c r="AV47" s="60" t="s">
        <v>2070</v>
      </c>
      <c r="AW47" s="368" t="s">
        <v>93</v>
      </c>
      <c r="AX47" s="368"/>
      <c r="AY47" s="368"/>
      <c r="AZ47" s="69"/>
      <c r="BA47" s="71"/>
      <c r="BB47" s="69"/>
      <c r="BC47" s="69"/>
      <c r="BD47" s="71"/>
      <c r="BE47" s="69"/>
      <c r="BF47" s="69"/>
      <c r="BG47" s="71"/>
      <c r="BH47" s="69"/>
      <c r="BI47" s="69"/>
      <c r="BJ47" s="71"/>
      <c r="BK47" s="69"/>
      <c r="BL47" s="69"/>
      <c r="BM47" s="71"/>
      <c r="BN47" s="69"/>
      <c r="BO47" s="69"/>
      <c r="BP47" s="71"/>
      <c r="BQ47" s="69"/>
      <c r="BR47" s="69"/>
      <c r="BS47" s="71"/>
      <c r="BT47" s="69"/>
      <c r="BU47" s="69"/>
      <c r="BV47" s="71"/>
      <c r="BW47" s="69"/>
      <c r="BX47" s="69"/>
      <c r="BY47" s="71"/>
      <c r="BZ47" s="69"/>
      <c r="CA47" s="69"/>
      <c r="CB47" s="71"/>
      <c r="CC47" s="69"/>
      <c r="CD47" s="69"/>
      <c r="CE47" s="71"/>
      <c r="CF47" s="69"/>
      <c r="CG47" s="69"/>
      <c r="CH47" s="71"/>
      <c r="CI47" s="69"/>
      <c r="CJ47" s="11" t="s">
        <v>106</v>
      </c>
      <c r="CK47" s="11" t="s">
        <v>107</v>
      </c>
    </row>
    <row r="48" spans="1:174" ht="75" x14ac:dyDescent="0.25">
      <c r="M48" s="56" t="s">
        <v>161</v>
      </c>
      <c r="N48" s="74">
        <f>AVERAGE(N42:N47)</f>
        <v>0.25899839488901244</v>
      </c>
      <c r="P48" s="56" t="s">
        <v>161</v>
      </c>
      <c r="Q48" s="74">
        <f>AVERAGE(Q42:Q47)</f>
        <v>0.29738285798241421</v>
      </c>
      <c r="S48" s="56" t="s">
        <v>161</v>
      </c>
      <c r="T48" s="74">
        <f>AVERAGE(T42:T47)</f>
        <v>0.36835490476361082</v>
      </c>
      <c r="V48" s="56" t="s">
        <v>161</v>
      </c>
      <c r="W48" s="74">
        <f>AVERAGE(W42:W47)</f>
        <v>0.48834733416268111</v>
      </c>
      <c r="Y48" s="56" t="s">
        <v>161</v>
      </c>
      <c r="Z48" s="74">
        <f>AVERAGE(Z42:Z47)</f>
        <v>0.57806349725326112</v>
      </c>
      <c r="AB48" s="56" t="s">
        <v>161</v>
      </c>
      <c r="AC48" s="74">
        <f>AVERAGE(AC42:AC47)</f>
        <v>0.61099333071012751</v>
      </c>
      <c r="AE48" s="56" t="s">
        <v>161</v>
      </c>
      <c r="AF48" s="74">
        <f>AVERAGE(AF42:AF47)</f>
        <v>0.7412120602153015</v>
      </c>
      <c r="AH48" s="56" t="s">
        <v>161</v>
      </c>
      <c r="AI48" s="74">
        <f>AVERAGE(AI42:AI47)</f>
        <v>0.79436479706016427</v>
      </c>
      <c r="AK48" s="56" t="s">
        <v>161</v>
      </c>
      <c r="AL48" s="74">
        <f>AVERAGE(AL42:AL47)</f>
        <v>0.83861906550970211</v>
      </c>
      <c r="AN48" s="56" t="s">
        <v>161</v>
      </c>
      <c r="AO48" s="226">
        <f>AVERAGE(AO42:AO47)</f>
        <v>0.88333333333333341</v>
      </c>
      <c r="AQ48" s="56" t="s">
        <v>161</v>
      </c>
      <c r="AR48" s="226">
        <f>AVERAGE(AR42:AR47)</f>
        <v>0.93166666666666664</v>
      </c>
      <c r="AT48" s="56" t="s">
        <v>161</v>
      </c>
      <c r="AU48" s="74">
        <f>AVERAGE(AU42:AU47)</f>
        <v>0.99933333333333341</v>
      </c>
      <c r="AZ48" s="56" t="s">
        <v>162</v>
      </c>
      <c r="BA48" s="74">
        <f>AVERAGE(BA43,BA45)</f>
        <v>0.48076923076923078</v>
      </c>
      <c r="BC48" s="56" t="s">
        <v>162</v>
      </c>
      <c r="BD48" s="74">
        <f>AVERAGE(BD43,BD45)</f>
        <v>0.6674107142857143</v>
      </c>
      <c r="BF48" s="56" t="s">
        <v>162</v>
      </c>
      <c r="BG48" s="74">
        <f>AVERAGE(BG43,BG45)</f>
        <v>0.81517747858017131</v>
      </c>
      <c r="BH48" s="7"/>
      <c r="BI48" s="56" t="s">
        <v>162</v>
      </c>
      <c r="BJ48" s="74">
        <f>AVERAGE(BJ43,BJ45)</f>
        <v>0.82971014492753614</v>
      </c>
      <c r="BL48" s="56" t="s">
        <v>162</v>
      </c>
      <c r="BM48" s="74">
        <f>AVERAGE(BM43,BM45)</f>
        <v>0.92055705300988322</v>
      </c>
      <c r="BO48" s="56" t="s">
        <v>162</v>
      </c>
      <c r="BP48" s="74">
        <f>AVERAGE(BP43,BP45)</f>
        <v>0.93035684126716045</v>
      </c>
      <c r="BQ48" s="7"/>
      <c r="BR48" s="56" t="s">
        <v>162</v>
      </c>
      <c r="BS48" s="74">
        <f>AVERAGE(BS43,BS45)</f>
        <v>0.93035684126716045</v>
      </c>
      <c r="BU48" s="56" t="s">
        <v>162</v>
      </c>
      <c r="BV48" s="74">
        <f>AVERAGE(BV43,BV45)</f>
        <v>0.92702118592475347</v>
      </c>
      <c r="BX48" s="56" t="s">
        <v>162</v>
      </c>
      <c r="BY48" s="74">
        <f>AVERAGE(BY43,BY45)</f>
        <v>0.94243055833901157</v>
      </c>
      <c r="BZ48" s="7"/>
      <c r="CA48" s="56" t="s">
        <v>162</v>
      </c>
      <c r="CB48" s="74">
        <f>AVERAGE(CB43,CB45)</f>
        <v>0.94</v>
      </c>
      <c r="CD48" s="56" t="s">
        <v>162</v>
      </c>
      <c r="CE48" s="226">
        <f>AVERAGE(CE43,CE45)</f>
        <v>0.93500000000000005</v>
      </c>
      <c r="CG48" s="56" t="s">
        <v>162</v>
      </c>
      <c r="CH48" s="74">
        <f>AVERAGE(CH43,CH45)</f>
        <v>1</v>
      </c>
      <c r="CI48" s="292"/>
      <c r="CJ48" s="7"/>
      <c r="CK48" s="7"/>
      <c r="FO48"/>
      <c r="FP48"/>
      <c r="FQ48"/>
      <c r="FR48"/>
    </row>
    <row r="49" spans="1:174" s="4" customFormat="1" ht="33.75" customHeight="1" x14ac:dyDescent="0.25">
      <c r="A49" t="s">
        <v>273</v>
      </c>
      <c r="B49" s="116"/>
      <c r="C49" s="117"/>
      <c r="D49" s="116"/>
      <c r="E49" s="117"/>
      <c r="F49" s="116"/>
      <c r="G49" s="116"/>
      <c r="H49" s="58"/>
      <c r="I49" s="58"/>
      <c r="J49" s="118"/>
      <c r="K49" s="118"/>
      <c r="L49" s="119"/>
      <c r="M49" s="59"/>
      <c r="N49" s="75"/>
      <c r="O49" s="59"/>
      <c r="P49" s="59"/>
      <c r="Q49" s="68"/>
      <c r="R49" s="59"/>
      <c r="S49" s="59"/>
      <c r="T49" s="68"/>
      <c r="U49" s="59"/>
      <c r="V49" s="59"/>
      <c r="W49" s="75"/>
      <c r="X49" s="59"/>
      <c r="Y49" s="59"/>
      <c r="Z49" s="68"/>
      <c r="AA49" s="59"/>
      <c r="AB49" s="59"/>
      <c r="AC49" s="68"/>
      <c r="AD49" s="59"/>
      <c r="AE49" s="59"/>
      <c r="AF49" s="75"/>
      <c r="AG49" s="59"/>
      <c r="AH49" s="59"/>
      <c r="AI49" s="68"/>
      <c r="AJ49" s="59"/>
      <c r="AK49" s="59"/>
      <c r="AL49" s="68"/>
      <c r="AM49" s="59"/>
      <c r="AN49" s="59"/>
      <c r="AO49" s="227"/>
      <c r="AP49" s="59"/>
      <c r="AQ49" s="59"/>
      <c r="AR49" s="68"/>
      <c r="AS49" s="59"/>
      <c r="AT49" s="59"/>
      <c r="AU49" s="68"/>
      <c r="AV49" s="59"/>
      <c r="AW49" s="120"/>
      <c r="AX49" s="120"/>
      <c r="AY49" s="119"/>
      <c r="AZ49" s="59"/>
      <c r="BA49" s="68"/>
      <c r="BB49" s="59"/>
      <c r="BC49" s="59"/>
      <c r="BD49" s="68"/>
      <c r="BE49" s="59"/>
      <c r="BF49" s="59"/>
      <c r="BG49" s="68"/>
      <c r="BH49" s="59"/>
      <c r="BI49" s="59"/>
      <c r="BJ49" s="68"/>
      <c r="BK49" s="59"/>
      <c r="BL49" s="59"/>
      <c r="BM49" s="68"/>
      <c r="BN49" s="59"/>
      <c r="BO49" s="59"/>
      <c r="BP49" s="68"/>
      <c r="BQ49" s="59"/>
      <c r="BR49" s="59"/>
      <c r="BS49" s="68"/>
      <c r="BT49" s="59"/>
      <c r="BU49" s="59"/>
      <c r="BV49" s="68"/>
      <c r="BW49" s="59"/>
      <c r="BX49" s="59"/>
      <c r="BY49" s="68"/>
      <c r="BZ49" s="59"/>
      <c r="CA49" s="59"/>
      <c r="CB49" s="68"/>
      <c r="CC49" s="59"/>
      <c r="CD49" s="59"/>
      <c r="CE49" s="68"/>
      <c r="CF49" s="59"/>
      <c r="CG49" s="59"/>
      <c r="CH49" s="68"/>
      <c r="CI49" s="59"/>
      <c r="CJ49" s="120"/>
      <c r="CK49" s="120"/>
    </row>
    <row r="50" spans="1:174" ht="75" x14ac:dyDescent="0.25">
      <c r="M50" s="56" t="s">
        <v>153</v>
      </c>
      <c r="N50" s="74">
        <f>AVERAGE(N13,N19,N25,N31,N34,N41,N48)</f>
        <v>5.7916880557836156E-2</v>
      </c>
      <c r="P50" s="56" t="s">
        <v>153</v>
      </c>
      <c r="Q50" s="74">
        <f>AVERAGE(Q13,Q19,Q25,Q31,Q34,Q41,Q48)</f>
        <v>9.315447120932889E-2</v>
      </c>
      <c r="S50" s="56" t="s">
        <v>153</v>
      </c>
      <c r="T50" s="74">
        <f>AVERAGE(T13,T19,T25,T31,T34,T41,T48)</f>
        <v>0.16577950084599272</v>
      </c>
      <c r="V50" s="56" t="s">
        <v>153</v>
      </c>
      <c r="W50" s="74">
        <f>AVERAGE(W13,W19,W25,W31,W34,W41,W48)</f>
        <v>0.25906584880162392</v>
      </c>
      <c r="Y50" s="56" t="s">
        <v>153</v>
      </c>
      <c r="Z50" s="74">
        <f>AVERAGE(Z13,Z19,Z25,Z31,Z34,Z41,Z48)</f>
        <v>0.34443740086220692</v>
      </c>
      <c r="AB50" s="56" t="s">
        <v>153</v>
      </c>
      <c r="AC50" s="74">
        <f>AVERAGE(AC13,AC19,AC25,AC31,AC34,AC41,AC48)</f>
        <v>0.41735224613936489</v>
      </c>
      <c r="AE50" s="56" t="s">
        <v>153</v>
      </c>
      <c r="AF50" s="74">
        <f>AVERAGE(AF13,AF19,AF25,AF31,AF34,AF41,AF48)</f>
        <v>0.50985102347670297</v>
      </c>
      <c r="AH50" s="56" t="s">
        <v>153</v>
      </c>
      <c r="AI50" s="74">
        <f>AVERAGE(AI13,AI19,AI25,AI31,AI34,AI41,AI48)</f>
        <v>0.58306998520408482</v>
      </c>
      <c r="AK50" s="56" t="s">
        <v>153</v>
      </c>
      <c r="AL50" s="74">
        <f>AVERAGE(AL13,AL19,AL25,AL31,AL34,AL41,AL48)</f>
        <v>0.64727923897898521</v>
      </c>
      <c r="AN50" s="56" t="s">
        <v>153</v>
      </c>
      <c r="AO50" s="226">
        <f>AVERAGE(AO13,AO19,AO25,AO31,AO34,AO41,AO48)</f>
        <v>0.72090476190476205</v>
      </c>
      <c r="AQ50" s="56" t="s">
        <v>153</v>
      </c>
      <c r="AR50" s="226">
        <f>AVERAGE(AR13,AR19,AR25,AR31,AR34,AR41,AR48)</f>
        <v>0.81145238095238093</v>
      </c>
      <c r="AT50" s="56" t="s">
        <v>153</v>
      </c>
      <c r="AU50" s="74">
        <f>AVERAGE(AU13,AU19,AU25,AU31,AU34,AU41,AU48)</f>
        <v>0.98973333333333346</v>
      </c>
      <c r="AZ50" s="56" t="s">
        <v>154</v>
      </c>
      <c r="BA50" s="74">
        <f>AVERAGE(BA13,BA19,BA25,BA31,BA34,BA41,BA48)</f>
        <v>0.15549794872509842</v>
      </c>
      <c r="BC50" s="56" t="s">
        <v>154</v>
      </c>
      <c r="BD50" s="74">
        <f>AVERAGE(BD13,BD19,BD25,BD31,BD34,BD41,BD48)</f>
        <v>0.354591604975174</v>
      </c>
      <c r="BF50" s="56" t="s">
        <v>154</v>
      </c>
      <c r="BG50" s="74">
        <f>AVERAGE(BG13,BG19,BG25,BG31,BG34,BG41,BG48)</f>
        <v>0.39710458060321907</v>
      </c>
      <c r="BH50" s="7"/>
      <c r="BI50" s="56" t="s">
        <v>154</v>
      </c>
      <c r="BJ50" s="74">
        <f>AVERAGE(BJ13,BJ19,BJ25,BJ31,BJ34,BJ41,BJ48)</f>
        <v>0.44706091069959758</v>
      </c>
      <c r="BL50" s="56" t="s">
        <v>154</v>
      </c>
      <c r="BM50" s="74">
        <f>AVERAGE(BM13,BM19,BM25,BM31,BM34,BM41,BM48)</f>
        <v>0.49920118666271085</v>
      </c>
      <c r="BO50" s="56" t="s">
        <v>154</v>
      </c>
      <c r="BP50" s="74">
        <f>AVERAGE(BP13,BP19,BP25,BP31,BP34,BP41,BP48)</f>
        <v>0.56841500876434281</v>
      </c>
      <c r="BQ50" s="7"/>
      <c r="BR50" s="56" t="s">
        <v>154</v>
      </c>
      <c r="BS50" s="74">
        <f>AVERAGE(BS13,BS19,BS25,BS31,BS34,BS41,BS48)</f>
        <v>0.62305187678029805</v>
      </c>
      <c r="BU50" s="56" t="s">
        <v>154</v>
      </c>
      <c r="BV50" s="74">
        <f>AVERAGE(BV13,BV19,BV25,BV31,BV34,BV41,BV48)</f>
        <v>0.67502857634701741</v>
      </c>
      <c r="BX50" s="56" t="s">
        <v>154</v>
      </c>
      <c r="BY50" s="74">
        <f>AVERAGE(BY13,BY19,BY25,BY31,BY34,BY41,BY48)</f>
        <v>0.83651874359414979</v>
      </c>
      <c r="BZ50" s="7"/>
      <c r="CA50" s="56" t="s">
        <v>154</v>
      </c>
      <c r="CB50" s="74">
        <f>AVERAGE(CB13,CB19,CB25,CB31,CB34,CB41,CB48)</f>
        <v>0.8522857142857142</v>
      </c>
      <c r="CD50" s="56" t="s">
        <v>154</v>
      </c>
      <c r="CE50" s="226">
        <f>AVERAGE(CE13,CE19,CE25,CE31,CE34,CE41,CE48)</f>
        <v>0.90185714285714291</v>
      </c>
      <c r="CG50" s="56" t="s">
        <v>154</v>
      </c>
      <c r="CH50" s="74">
        <f>AVERAGE(CH13,CH19,CH25,CH31,CH34,CH41,CH48)</f>
        <v>0.98795238095238092</v>
      </c>
      <c r="CI50" s="292"/>
      <c r="CJ50" s="7"/>
      <c r="CK50" s="7"/>
      <c r="FO50"/>
      <c r="FP50"/>
      <c r="FQ50"/>
      <c r="FR50"/>
    </row>
    <row r="51" spans="1:174" s="4" customFormat="1" ht="38.25" customHeight="1" x14ac:dyDescent="0.25">
      <c r="A51"/>
      <c r="B51"/>
      <c r="C51" s="3"/>
      <c r="D51" s="3"/>
      <c r="E51" s="3"/>
      <c r="F51" s="3"/>
      <c r="G51" s="3"/>
      <c r="H51" s="1"/>
      <c r="I51" s="1"/>
      <c r="J51" s="3"/>
      <c r="K51" s="3"/>
      <c r="L51" s="5"/>
      <c r="M51" s="3"/>
      <c r="N51" s="64"/>
      <c r="O51" s="5"/>
      <c r="P51" s="3"/>
      <c r="Q51" s="64"/>
      <c r="R51" s="5"/>
      <c r="S51" s="3"/>
      <c r="T51" s="64"/>
      <c r="U51" s="5"/>
      <c r="V51" s="3"/>
      <c r="W51" s="64"/>
      <c r="X51" s="5"/>
      <c r="Y51" s="3"/>
      <c r="Z51" s="64"/>
      <c r="AA51" s="5"/>
      <c r="AB51" s="3"/>
      <c r="AC51" s="64"/>
      <c r="AD51" s="5"/>
      <c r="AE51" s="3"/>
      <c r="AF51" s="64"/>
      <c r="AG51" s="5"/>
      <c r="AH51" s="3"/>
      <c r="AI51" s="64"/>
      <c r="AJ51" s="5"/>
      <c r="AK51" s="3"/>
      <c r="AL51" s="64"/>
      <c r="AM51" s="5"/>
      <c r="AN51" s="3"/>
      <c r="AO51" s="64"/>
      <c r="AP51" s="5"/>
      <c r="AQ51" s="3"/>
      <c r="AR51" s="64"/>
      <c r="AS51" s="5"/>
      <c r="AT51" s="3"/>
      <c r="AU51" s="64"/>
      <c r="AV51" s="5"/>
      <c r="AW51" s="2"/>
      <c r="AX51" s="2"/>
      <c r="AY51" s="6"/>
      <c r="AZ51" s="3"/>
      <c r="BA51" s="64"/>
      <c r="BB51" s="5"/>
      <c r="BC51" s="3"/>
      <c r="BD51" s="64"/>
      <c r="BE51" s="5"/>
      <c r="BF51" s="3"/>
      <c r="BG51" s="64"/>
      <c r="BH51" s="5"/>
      <c r="BI51" s="3"/>
      <c r="BJ51" s="64"/>
      <c r="BK51" s="5"/>
      <c r="BL51" s="3"/>
      <c r="BM51" s="64"/>
      <c r="BN51" s="5"/>
      <c r="BO51" s="3"/>
      <c r="BP51" s="64"/>
      <c r="BQ51" s="5"/>
      <c r="BR51" s="3"/>
      <c r="BS51" s="64"/>
      <c r="BT51" s="5"/>
      <c r="BU51" s="3"/>
      <c r="BV51" s="64"/>
      <c r="BW51" s="5"/>
      <c r="BX51" s="3"/>
      <c r="BY51" s="64"/>
      <c r="BZ51" s="5"/>
      <c r="CA51" s="3"/>
      <c r="CB51" s="64"/>
      <c r="CC51" s="5"/>
      <c r="CD51" s="3"/>
      <c r="CE51" s="64"/>
      <c r="CF51" s="5"/>
      <c r="CG51" s="3"/>
      <c r="CH51" s="64"/>
      <c r="CI51" s="5"/>
      <c r="CJ51" s="10"/>
      <c r="CK51" s="10"/>
    </row>
    <row r="52" spans="1:174" ht="38.25" customHeight="1" x14ac:dyDescent="0.25"/>
    <row r="53" spans="1:174" ht="38.25" customHeight="1" x14ac:dyDescent="0.25"/>
  </sheetData>
  <autoFilter ref="A7:CJ53" xr:uid="{00000000-0009-0000-0000-000000000000}"/>
  <mergeCells count="328">
    <mergeCell ref="BC6:BE6"/>
    <mergeCell ref="BF6:BH6"/>
    <mergeCell ref="CJ6:CK6"/>
    <mergeCell ref="D6:E6"/>
    <mergeCell ref="F6:I6"/>
    <mergeCell ref="J6:L6"/>
    <mergeCell ref="M6:O6"/>
    <mergeCell ref="P6:R6"/>
    <mergeCell ref="BI6:BK6"/>
    <mergeCell ref="BL6:BN6"/>
    <mergeCell ref="BO6:BQ6"/>
    <mergeCell ref="AE6:AG6"/>
    <mergeCell ref="AH6:AJ6"/>
    <mergeCell ref="AK6:AM6"/>
    <mergeCell ref="BR6:BT6"/>
    <mergeCell ref="BU6:BW6"/>
    <mergeCell ref="BX6:BZ6"/>
    <mergeCell ref="AN6:AP6"/>
    <mergeCell ref="AQ6:AS6"/>
    <mergeCell ref="AT6:AV6"/>
    <mergeCell ref="CA6:CC6"/>
    <mergeCell ref="CD6:CF6"/>
    <mergeCell ref="CG6:CI6"/>
    <mergeCell ref="A8:A12"/>
    <mergeCell ref="B8:B12"/>
    <mergeCell ref="C8:C12"/>
    <mergeCell ref="D8:D12"/>
    <mergeCell ref="E8:E12"/>
    <mergeCell ref="S6:U6"/>
    <mergeCell ref="AW6:AY6"/>
    <mergeCell ref="AZ6:BB6"/>
    <mergeCell ref="R8:R12"/>
    <mergeCell ref="S8:S12"/>
    <mergeCell ref="T8:T12"/>
    <mergeCell ref="U8:U12"/>
    <mergeCell ref="O8:O12"/>
    <mergeCell ref="P8:P12"/>
    <mergeCell ref="Q8:Q12"/>
    <mergeCell ref="V6:X6"/>
    <mergeCell ref="Y6:AA6"/>
    <mergeCell ref="AB6:AD6"/>
    <mergeCell ref="V8:V12"/>
    <mergeCell ref="W8:W12"/>
    <mergeCell ref="X8:X12"/>
    <mergeCell ref="Y8:Y12"/>
    <mergeCell ref="Z8:Z12"/>
    <mergeCell ref="B14:B18"/>
    <mergeCell ref="C14:C18"/>
    <mergeCell ref="D14:D18"/>
    <mergeCell ref="E14:E18"/>
    <mergeCell ref="L8:L12"/>
    <mergeCell ref="M8:M12"/>
    <mergeCell ref="N8:N12"/>
    <mergeCell ref="F8:F12"/>
    <mergeCell ref="G8:G12"/>
    <mergeCell ref="H8:H47"/>
    <mergeCell ref="I8:I12"/>
    <mergeCell ref="J8:J12"/>
    <mergeCell ref="K8:K12"/>
    <mergeCell ref="F14:F18"/>
    <mergeCell ref="G14:G18"/>
    <mergeCell ref="B26:B30"/>
    <mergeCell ref="C26:C30"/>
    <mergeCell ref="D26:D30"/>
    <mergeCell ref="E26:E30"/>
    <mergeCell ref="N20:N24"/>
    <mergeCell ref="Q14:Q18"/>
    <mergeCell ref="R14:R18"/>
    <mergeCell ref="S14:S18"/>
    <mergeCell ref="T14:T18"/>
    <mergeCell ref="U14:U18"/>
    <mergeCell ref="A20:A24"/>
    <mergeCell ref="B20:B24"/>
    <mergeCell ref="C20:C24"/>
    <mergeCell ref="D20:D24"/>
    <mergeCell ref="K14:K18"/>
    <mergeCell ref="L14:L18"/>
    <mergeCell ref="M14:M18"/>
    <mergeCell ref="N14:N18"/>
    <mergeCell ref="O14:O18"/>
    <mergeCell ref="P14:P18"/>
    <mergeCell ref="I14:I18"/>
    <mergeCell ref="J14:J18"/>
    <mergeCell ref="R20:R24"/>
    <mergeCell ref="S20:S24"/>
    <mergeCell ref="T20:T24"/>
    <mergeCell ref="U20:U24"/>
    <mergeCell ref="L20:L24"/>
    <mergeCell ref="M20:M24"/>
    <mergeCell ref="A14:A18"/>
    <mergeCell ref="O20:O24"/>
    <mergeCell ref="P20:P24"/>
    <mergeCell ref="Q20:Q24"/>
    <mergeCell ref="E20:E24"/>
    <mergeCell ref="F20:F24"/>
    <mergeCell ref="G20:G24"/>
    <mergeCell ref="I20:I24"/>
    <mergeCell ref="J20:J24"/>
    <mergeCell ref="K20:K24"/>
    <mergeCell ref="S26:S30"/>
    <mergeCell ref="T26:T30"/>
    <mergeCell ref="U26:U30"/>
    <mergeCell ref="A32:A33"/>
    <mergeCell ref="B32:B33"/>
    <mergeCell ref="C32:C33"/>
    <mergeCell ref="D32:D33"/>
    <mergeCell ref="E32:E33"/>
    <mergeCell ref="F32:F33"/>
    <mergeCell ref="M26:M30"/>
    <mergeCell ref="N26:N30"/>
    <mergeCell ref="O26:O30"/>
    <mergeCell ref="P26:P30"/>
    <mergeCell ref="Q26:Q30"/>
    <mergeCell ref="R26:R30"/>
    <mergeCell ref="F26:F30"/>
    <mergeCell ref="G26:G30"/>
    <mergeCell ref="I26:I30"/>
    <mergeCell ref="J26:J30"/>
    <mergeCell ref="K26:K30"/>
    <mergeCell ref="L26:L30"/>
    <mergeCell ref="A26:A30"/>
    <mergeCell ref="T32:T33"/>
    <mergeCell ref="U32:U33"/>
    <mergeCell ref="A35:A40"/>
    <mergeCell ref="B35:B40"/>
    <mergeCell ref="C35:C40"/>
    <mergeCell ref="D35:D40"/>
    <mergeCell ref="E35:E40"/>
    <mergeCell ref="F35:F40"/>
    <mergeCell ref="G35:G40"/>
    <mergeCell ref="N32:N33"/>
    <mergeCell ref="O32:O33"/>
    <mergeCell ref="P32:P33"/>
    <mergeCell ref="Q32:Q33"/>
    <mergeCell ref="R32:R33"/>
    <mergeCell ref="S32:S33"/>
    <mergeCell ref="G32:G33"/>
    <mergeCell ref="I32:I33"/>
    <mergeCell ref="J32:J33"/>
    <mergeCell ref="K32:K33"/>
    <mergeCell ref="L32:L33"/>
    <mergeCell ref="M32:M33"/>
    <mergeCell ref="AW42:AY42"/>
    <mergeCell ref="AW44:AY44"/>
    <mergeCell ref="AW46:AY46"/>
    <mergeCell ref="AW47:AY47"/>
    <mergeCell ref="U35:U40"/>
    <mergeCell ref="A42:A47"/>
    <mergeCell ref="B42:B47"/>
    <mergeCell ref="C42:C47"/>
    <mergeCell ref="D42:D47"/>
    <mergeCell ref="E42:E47"/>
    <mergeCell ref="F42:F47"/>
    <mergeCell ref="G42:G47"/>
    <mergeCell ref="O35:O40"/>
    <mergeCell ref="P35:P40"/>
    <mergeCell ref="Q35:Q40"/>
    <mergeCell ref="R35:R40"/>
    <mergeCell ref="S35:S40"/>
    <mergeCell ref="T35:T40"/>
    <mergeCell ref="I35:I40"/>
    <mergeCell ref="J35:J40"/>
    <mergeCell ref="K35:K40"/>
    <mergeCell ref="L35:L40"/>
    <mergeCell ref="M35:M40"/>
    <mergeCell ref="N35:N40"/>
    <mergeCell ref="AA8:AA12"/>
    <mergeCell ref="AB8:AB12"/>
    <mergeCell ref="AC8:AC12"/>
    <mergeCell ref="AD8:AD12"/>
    <mergeCell ref="V14:V18"/>
    <mergeCell ref="W14:W18"/>
    <mergeCell ref="X14:X18"/>
    <mergeCell ref="Y14:Y18"/>
    <mergeCell ref="Z14:Z18"/>
    <mergeCell ref="AA14:AA18"/>
    <mergeCell ref="AB14:AB18"/>
    <mergeCell ref="AC14:AC18"/>
    <mergeCell ref="AD14:AD18"/>
    <mergeCell ref="V20:V24"/>
    <mergeCell ref="W20:W24"/>
    <mergeCell ref="X20:X24"/>
    <mergeCell ref="Y20:Y24"/>
    <mergeCell ref="Z20:Z24"/>
    <mergeCell ref="AA20:AA24"/>
    <mergeCell ref="AB20:AB24"/>
    <mergeCell ref="AC20:AC24"/>
    <mergeCell ref="AD20:AD24"/>
    <mergeCell ref="V26:V30"/>
    <mergeCell ref="W26:W30"/>
    <mergeCell ref="X26:X30"/>
    <mergeCell ref="Y26:Y30"/>
    <mergeCell ref="Z26:Z30"/>
    <mergeCell ref="AA26:AA30"/>
    <mergeCell ref="AB26:AB30"/>
    <mergeCell ref="AC26:AC30"/>
    <mergeCell ref="AD26:AD30"/>
    <mergeCell ref="V32:V33"/>
    <mergeCell ref="W32:W33"/>
    <mergeCell ref="X32:X33"/>
    <mergeCell ref="Y32:Y33"/>
    <mergeCell ref="Z32:Z33"/>
    <mergeCell ref="AA32:AA33"/>
    <mergeCell ref="AB32:AB33"/>
    <mergeCell ref="AC32:AC33"/>
    <mergeCell ref="AD32:AD33"/>
    <mergeCell ref="V35:V40"/>
    <mergeCell ref="W35:W40"/>
    <mergeCell ref="X35:X40"/>
    <mergeCell ref="Y35:Y40"/>
    <mergeCell ref="Z35:Z40"/>
    <mergeCell ref="AA35:AA40"/>
    <mergeCell ref="AB35:AB40"/>
    <mergeCell ref="AC35:AC40"/>
    <mergeCell ref="AD35:AD40"/>
    <mergeCell ref="AE8:AE12"/>
    <mergeCell ref="AF8:AF12"/>
    <mergeCell ref="AG8:AG12"/>
    <mergeCell ref="AH8:AH12"/>
    <mergeCell ref="AI8:AI12"/>
    <mergeCell ref="AJ8:AJ12"/>
    <mergeCell ref="AK8:AK12"/>
    <mergeCell ref="AL8:AL12"/>
    <mergeCell ref="AM8:AM12"/>
    <mergeCell ref="AE14:AE18"/>
    <mergeCell ref="AF14:AF18"/>
    <mergeCell ref="AG14:AG18"/>
    <mergeCell ref="AH14:AH18"/>
    <mergeCell ref="AI14:AI18"/>
    <mergeCell ref="AJ14:AJ18"/>
    <mergeCell ref="AK14:AK18"/>
    <mergeCell ref="AL14:AL18"/>
    <mergeCell ref="AM14:AM18"/>
    <mergeCell ref="AE20:AE24"/>
    <mergeCell ref="AF20:AF24"/>
    <mergeCell ref="AG20:AG24"/>
    <mergeCell ref="AH20:AH24"/>
    <mergeCell ref="AI20:AI24"/>
    <mergeCell ref="AJ20:AJ24"/>
    <mergeCell ref="AK20:AK24"/>
    <mergeCell ref="AL20:AL24"/>
    <mergeCell ref="AM20:AM24"/>
    <mergeCell ref="AN32:AN33"/>
    <mergeCell ref="AO32:AO33"/>
    <mergeCell ref="AP32:AP33"/>
    <mergeCell ref="AQ32:AQ33"/>
    <mergeCell ref="AR32:AR33"/>
    <mergeCell ref="AE26:AE30"/>
    <mergeCell ref="AF26:AF30"/>
    <mergeCell ref="AG26:AG30"/>
    <mergeCell ref="AH26:AH30"/>
    <mergeCell ref="AI26:AI30"/>
    <mergeCell ref="AJ26:AJ30"/>
    <mergeCell ref="AK26:AK30"/>
    <mergeCell ref="AL26:AL30"/>
    <mergeCell ref="AM26:AM30"/>
    <mergeCell ref="AN26:AN30"/>
    <mergeCell ref="AO26:AO30"/>
    <mergeCell ref="AP26:AP30"/>
    <mergeCell ref="AQ26:AQ30"/>
    <mergeCell ref="AR26:AR30"/>
    <mergeCell ref="AK35:AK40"/>
    <mergeCell ref="AL35:AL40"/>
    <mergeCell ref="AM35:AM40"/>
    <mergeCell ref="AE32:AE33"/>
    <mergeCell ref="AF32:AF33"/>
    <mergeCell ref="AG32:AG33"/>
    <mergeCell ref="AH32:AH33"/>
    <mergeCell ref="AI32:AI33"/>
    <mergeCell ref="AJ32:AJ33"/>
    <mergeCell ref="AK32:AK33"/>
    <mergeCell ref="AL32:AL33"/>
    <mergeCell ref="AM32:AM33"/>
    <mergeCell ref="AG35:AG40"/>
    <mergeCell ref="AH35:AH40"/>
    <mergeCell ref="AI35:AI40"/>
    <mergeCell ref="AJ35:AJ40"/>
    <mergeCell ref="AN8:AN12"/>
    <mergeCell ref="AO8:AO12"/>
    <mergeCell ref="AP8:AP12"/>
    <mergeCell ref="AQ8:AQ12"/>
    <mergeCell ref="AR8:AR12"/>
    <mergeCell ref="AS8:AS12"/>
    <mergeCell ref="AT8:AT12"/>
    <mergeCell ref="AU8:AU12"/>
    <mergeCell ref="AV8:AV12"/>
    <mergeCell ref="AN14:AN18"/>
    <mergeCell ref="AO14:AO18"/>
    <mergeCell ref="AP14:AP18"/>
    <mergeCell ref="AQ14:AQ18"/>
    <mergeCell ref="AR14:AR18"/>
    <mergeCell ref="AS14:AS18"/>
    <mergeCell ref="AT14:AT18"/>
    <mergeCell ref="AU14:AU18"/>
    <mergeCell ref="AV14:AV18"/>
    <mergeCell ref="AN20:AN24"/>
    <mergeCell ref="AO20:AO24"/>
    <mergeCell ref="AP20:AP24"/>
    <mergeCell ref="AQ20:AQ24"/>
    <mergeCell ref="AR20:AR24"/>
    <mergeCell ref="AS20:AS24"/>
    <mergeCell ref="AT20:AT24"/>
    <mergeCell ref="AU20:AU24"/>
    <mergeCell ref="AV20:AV24"/>
    <mergeCell ref="AS26:AS30"/>
    <mergeCell ref="AT26:AT30"/>
    <mergeCell ref="AU26:AU30"/>
    <mergeCell ref="AV26:AV30"/>
    <mergeCell ref="CG33:CI33"/>
    <mergeCell ref="CA33:CC33"/>
    <mergeCell ref="CD33:CF33"/>
    <mergeCell ref="I42:I47"/>
    <mergeCell ref="AS32:AS33"/>
    <mergeCell ref="AT32:AT33"/>
    <mergeCell ref="AU32:AU33"/>
    <mergeCell ref="AV32:AV33"/>
    <mergeCell ref="AN35:AN40"/>
    <mergeCell ref="AO35:AO40"/>
    <mergeCell ref="AP35:AP40"/>
    <mergeCell ref="AQ35:AQ40"/>
    <mergeCell ref="AR35:AR40"/>
    <mergeCell ref="AS35:AS40"/>
    <mergeCell ref="AT35:AT40"/>
    <mergeCell ref="AU35:AU40"/>
    <mergeCell ref="AV35:AV40"/>
    <mergeCell ref="BX33:BZ33"/>
    <mergeCell ref="AE35:AE40"/>
    <mergeCell ref="AF35:AF40"/>
  </mergeCells>
  <pageMargins left="0.75" right="0.75" top="1" bottom="1" header="0.5" footer="0.5"/>
  <pageSetup orientation="portrait" horizontalDpi="4294967292"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487FE-612F-4EAA-A77A-42885977398A}">
  <sheetPr>
    <tabColor theme="9" tint="-0.249977111117893"/>
  </sheetPr>
  <dimension ref="A1:FR25"/>
  <sheetViews>
    <sheetView showGridLines="0" zoomScale="80" zoomScaleNormal="80" workbookViewId="0">
      <selection activeCell="C1" sqref="C1"/>
    </sheetView>
  </sheetViews>
  <sheetFormatPr baseColWidth="10" defaultColWidth="11.42578125" defaultRowHeight="15" x14ac:dyDescent="0.25"/>
  <cols>
    <col min="1" max="1" width="45.42578125" style="296" customWidth="1"/>
    <col min="2" max="2" width="45.7109375" style="296" bestFit="1" customWidth="1"/>
    <col min="3" max="3" width="19.42578125" style="3" customWidth="1"/>
    <col min="4" max="4" width="17.7109375" style="3" customWidth="1"/>
    <col min="5" max="5" width="43" style="3" bestFit="1" customWidth="1"/>
    <col min="6" max="6" width="15.5703125" style="3" bestFit="1" customWidth="1"/>
    <col min="7" max="7" width="45.7109375" style="3" bestFit="1" customWidth="1"/>
    <col min="8" max="8" width="19.42578125" style="1" customWidth="1"/>
    <col min="9" max="9" width="15.5703125" style="1" customWidth="1"/>
    <col min="10" max="11" width="45.7109375" style="3" bestFit="1" customWidth="1"/>
    <col min="12" max="12" width="17.7109375" style="5" bestFit="1" customWidth="1"/>
    <col min="13" max="13" width="15.28515625" style="3" customWidth="1"/>
    <col min="14" max="14" width="23.42578125" style="64" customWidth="1"/>
    <col min="15" max="15" width="17.7109375" style="5" bestFit="1" customWidth="1"/>
    <col min="16" max="16" width="15.28515625" style="3" customWidth="1"/>
    <col min="17" max="17" width="23.42578125" style="64" customWidth="1"/>
    <col min="18" max="18" width="17.7109375" style="5" bestFit="1" customWidth="1"/>
    <col min="19" max="19" width="15.28515625" style="3" customWidth="1"/>
    <col min="20" max="20" width="23.42578125" style="64" customWidth="1"/>
    <col min="21" max="21" width="17.7109375" style="5" bestFit="1" customWidth="1"/>
    <col min="22" max="22" width="15.28515625" style="3" customWidth="1"/>
    <col min="23" max="23" width="23.42578125" style="64" customWidth="1"/>
    <col min="24" max="24" width="17.7109375" style="5" bestFit="1" customWidth="1"/>
    <col min="25" max="25" width="15.28515625" style="3" customWidth="1"/>
    <col min="26" max="26" width="23.42578125" style="64" customWidth="1"/>
    <col min="27" max="27" width="17.7109375" style="5" bestFit="1" customWidth="1"/>
    <col min="28" max="28" width="15.28515625" style="3" customWidth="1"/>
    <col min="29" max="29" width="23.42578125" style="64" customWidth="1"/>
    <col min="30" max="30" width="17.7109375" style="5" bestFit="1" customWidth="1"/>
    <col min="31" max="31" width="15.28515625" style="3" customWidth="1"/>
    <col min="32" max="32" width="23.42578125" style="64" customWidth="1"/>
    <col min="33" max="33" width="17.7109375" style="5" bestFit="1" customWidth="1"/>
    <col min="34" max="34" width="15.28515625" style="3" customWidth="1"/>
    <col min="35" max="35" width="23.42578125" style="64" customWidth="1"/>
    <col min="36" max="36" width="17.7109375" style="5" bestFit="1" customWidth="1"/>
    <col min="37" max="37" width="15.28515625" style="3" customWidth="1"/>
    <col min="38" max="38" width="23.42578125" style="64" customWidth="1"/>
    <col min="39" max="39" width="17.7109375" style="5" bestFit="1" customWidth="1"/>
    <col min="40" max="40" width="15.28515625" style="3" customWidth="1"/>
    <col min="41" max="41" width="23.42578125" style="64" customWidth="1"/>
    <col min="42" max="42" width="17.7109375" style="5" bestFit="1" customWidth="1"/>
    <col min="43" max="43" width="15.28515625" style="3" customWidth="1"/>
    <col min="44" max="44" width="23.42578125" style="64" customWidth="1"/>
    <col min="45" max="45" width="17.7109375" style="5" bestFit="1" customWidth="1"/>
    <col min="46" max="46" width="15.28515625" style="3" customWidth="1"/>
    <col min="47" max="47" width="23.42578125" style="64" customWidth="1"/>
    <col min="48" max="48" width="17.7109375" style="5" bestFit="1" customWidth="1"/>
    <col min="49" max="50" width="45.7109375" style="2" bestFit="1" customWidth="1"/>
    <col min="51" max="51" width="15.28515625" style="298" bestFit="1" customWidth="1"/>
    <col min="52" max="52" width="15.28515625" style="3" customWidth="1"/>
    <col min="53" max="53" width="23.42578125" style="64" customWidth="1"/>
    <col min="54" max="54" width="17.7109375" style="5" bestFit="1" customWidth="1"/>
    <col min="55" max="55" width="15.28515625" style="3" customWidth="1"/>
    <col min="56" max="56" width="23.42578125" style="64" customWidth="1"/>
    <col min="57" max="57" width="17.7109375" style="5" bestFit="1" customWidth="1"/>
    <col min="58" max="58" width="15.28515625" style="3" customWidth="1"/>
    <col min="59" max="59" width="23.42578125" style="64" customWidth="1"/>
    <col min="60" max="60" width="17.7109375" style="5" bestFit="1" customWidth="1"/>
    <col min="61" max="61" width="15.28515625" style="3" customWidth="1"/>
    <col min="62" max="62" width="23.42578125" style="64" customWidth="1"/>
    <col min="63" max="63" width="17.7109375" style="5" bestFit="1" customWidth="1"/>
    <col min="64" max="64" width="15.28515625" style="3" customWidth="1"/>
    <col min="65" max="65" width="23.42578125" style="64" customWidth="1"/>
    <col min="66" max="66" width="17.7109375" style="5" bestFit="1" customWidth="1"/>
    <col min="67" max="67" width="15.28515625" style="3" customWidth="1"/>
    <col min="68" max="68" width="23.42578125" style="64" customWidth="1"/>
    <col min="69" max="69" width="17.7109375" style="5" bestFit="1" customWidth="1"/>
    <col min="70" max="70" width="15.28515625" style="3" customWidth="1"/>
    <col min="71" max="71" width="23.42578125" style="64" customWidth="1"/>
    <col min="72" max="72" width="17.7109375" style="5" bestFit="1" customWidth="1"/>
    <col min="73" max="73" width="15.28515625" style="3" customWidth="1"/>
    <col min="74" max="74" width="23.42578125" style="64" customWidth="1"/>
    <col min="75" max="75" width="17.7109375" style="5" bestFit="1" customWidth="1"/>
    <col min="76" max="76" width="15.28515625" style="3" customWidth="1"/>
    <col min="77" max="77" width="23.42578125" style="64" customWidth="1"/>
    <col min="78" max="78" width="17.7109375" style="5" bestFit="1" customWidth="1"/>
    <col min="79" max="79" width="15.28515625" style="3" customWidth="1"/>
    <col min="80" max="80" width="23.42578125" style="64" customWidth="1"/>
    <col min="81" max="81" width="17.7109375" style="5" bestFit="1" customWidth="1"/>
    <col min="82" max="82" width="15.28515625" style="3" customWidth="1"/>
    <col min="83" max="83" width="23.42578125" style="64" customWidth="1"/>
    <col min="84" max="84" width="17.7109375" style="5" bestFit="1" customWidth="1"/>
    <col min="85" max="85" width="15.28515625" style="3" customWidth="1"/>
    <col min="86" max="86" width="23.42578125" style="64" customWidth="1"/>
    <col min="87" max="87" width="17.7109375" style="5" bestFit="1" customWidth="1"/>
    <col min="88" max="88" width="30.140625" style="10" bestFit="1" customWidth="1"/>
    <col min="89" max="89" width="45.7109375" style="10" bestFit="1" customWidth="1"/>
    <col min="90" max="174" width="11.42578125" style="292"/>
    <col min="175" max="16384" width="11.42578125" style="296"/>
  </cols>
  <sheetData>
    <row r="1" spans="1:174" x14ac:dyDescent="0.25">
      <c r="H1" s="296"/>
      <c r="I1" s="296"/>
      <c r="AY1" s="111"/>
    </row>
    <row r="2" spans="1:174" x14ac:dyDescent="0.25">
      <c r="H2" s="296"/>
      <c r="I2" s="296"/>
      <c r="AY2" s="111"/>
    </row>
    <row r="3" spans="1:174" x14ac:dyDescent="0.25">
      <c r="H3" s="296"/>
      <c r="I3" s="296"/>
      <c r="AY3" s="111"/>
    </row>
    <row r="4" spans="1:174" x14ac:dyDescent="0.25">
      <c r="H4" s="296"/>
      <c r="I4" s="296"/>
      <c r="AY4" s="111"/>
    </row>
    <row r="5" spans="1:174" x14ac:dyDescent="0.25">
      <c r="H5" s="296"/>
      <c r="I5" s="296"/>
      <c r="N5" s="65"/>
      <c r="Q5" s="65"/>
      <c r="T5" s="65"/>
      <c r="W5" s="65"/>
      <c r="Z5" s="65"/>
      <c r="AC5" s="65"/>
      <c r="AF5" s="65"/>
      <c r="AI5" s="65"/>
      <c r="AL5" s="65"/>
      <c r="AO5" s="65"/>
      <c r="AR5" s="65"/>
      <c r="AU5" s="65"/>
      <c r="AY5" s="111"/>
      <c r="BA5" s="65"/>
      <c r="BD5" s="65"/>
      <c r="BG5" s="65"/>
      <c r="BJ5" s="65"/>
      <c r="BM5" s="65"/>
      <c r="BP5" s="65"/>
      <c r="BS5" s="65"/>
      <c r="BV5" s="65"/>
      <c r="BY5" s="65"/>
      <c r="CB5" s="65"/>
      <c r="CE5" s="65"/>
      <c r="CH5" s="65"/>
    </row>
    <row r="6" spans="1:174" s="9" customFormat="1" ht="30" x14ac:dyDescent="0.2">
      <c r="A6" s="262" t="s">
        <v>59</v>
      </c>
      <c r="B6" s="262" t="s">
        <v>60</v>
      </c>
      <c r="C6" s="318"/>
      <c r="D6" s="358" t="s">
        <v>61</v>
      </c>
      <c r="E6" s="359"/>
      <c r="F6" s="358" t="s">
        <v>62</v>
      </c>
      <c r="G6" s="360"/>
      <c r="H6" s="360"/>
      <c r="I6" s="359"/>
      <c r="J6" s="361" t="s">
        <v>63</v>
      </c>
      <c r="K6" s="361"/>
      <c r="L6" s="361"/>
      <c r="M6" s="362" t="s">
        <v>2</v>
      </c>
      <c r="N6" s="363"/>
      <c r="O6" s="364"/>
      <c r="P6" s="362" t="s">
        <v>3</v>
      </c>
      <c r="Q6" s="363"/>
      <c r="R6" s="364"/>
      <c r="S6" s="362" t="s">
        <v>4</v>
      </c>
      <c r="T6" s="363"/>
      <c r="U6" s="364"/>
      <c r="V6" s="362" t="s">
        <v>830</v>
      </c>
      <c r="W6" s="363"/>
      <c r="X6" s="364"/>
      <c r="Y6" s="362" t="s">
        <v>831</v>
      </c>
      <c r="Z6" s="363"/>
      <c r="AA6" s="364"/>
      <c r="AB6" s="362" t="s">
        <v>832</v>
      </c>
      <c r="AC6" s="363"/>
      <c r="AD6" s="364"/>
      <c r="AE6" s="362" t="s">
        <v>1026</v>
      </c>
      <c r="AF6" s="363"/>
      <c r="AG6" s="364"/>
      <c r="AH6" s="362" t="s">
        <v>1027</v>
      </c>
      <c r="AI6" s="363"/>
      <c r="AJ6" s="364"/>
      <c r="AK6" s="362" t="s">
        <v>1028</v>
      </c>
      <c r="AL6" s="363"/>
      <c r="AM6" s="364"/>
      <c r="AN6" s="362" t="s">
        <v>1029</v>
      </c>
      <c r="AO6" s="363"/>
      <c r="AP6" s="364"/>
      <c r="AQ6" s="362" t="s">
        <v>1030</v>
      </c>
      <c r="AR6" s="363"/>
      <c r="AS6" s="364"/>
      <c r="AT6" s="362" t="s">
        <v>1701</v>
      </c>
      <c r="AU6" s="363"/>
      <c r="AV6" s="364"/>
      <c r="AW6" s="410" t="s">
        <v>64</v>
      </c>
      <c r="AX6" s="410"/>
      <c r="AY6" s="410"/>
      <c r="AZ6" s="387" t="s">
        <v>2</v>
      </c>
      <c r="BA6" s="388"/>
      <c r="BB6" s="389"/>
      <c r="BC6" s="387" t="s">
        <v>3</v>
      </c>
      <c r="BD6" s="388"/>
      <c r="BE6" s="389"/>
      <c r="BF6" s="387" t="s">
        <v>4</v>
      </c>
      <c r="BG6" s="388"/>
      <c r="BH6" s="389"/>
      <c r="BI6" s="387" t="s">
        <v>830</v>
      </c>
      <c r="BJ6" s="388"/>
      <c r="BK6" s="389"/>
      <c r="BL6" s="387" t="s">
        <v>831</v>
      </c>
      <c r="BM6" s="388"/>
      <c r="BN6" s="389"/>
      <c r="BO6" s="387" t="s">
        <v>832</v>
      </c>
      <c r="BP6" s="388"/>
      <c r="BQ6" s="389"/>
      <c r="BR6" s="387" t="s">
        <v>1026</v>
      </c>
      <c r="BS6" s="388"/>
      <c r="BT6" s="389"/>
      <c r="BU6" s="387" t="s">
        <v>1027</v>
      </c>
      <c r="BV6" s="388"/>
      <c r="BW6" s="389"/>
      <c r="BX6" s="387" t="s">
        <v>1028</v>
      </c>
      <c r="BY6" s="388"/>
      <c r="BZ6" s="389"/>
      <c r="CA6" s="387" t="s">
        <v>1029</v>
      </c>
      <c r="CB6" s="388"/>
      <c r="CC6" s="389"/>
      <c r="CD6" s="387" t="s">
        <v>1030</v>
      </c>
      <c r="CE6" s="388"/>
      <c r="CF6" s="389"/>
      <c r="CG6" s="387" t="s">
        <v>1701</v>
      </c>
      <c r="CH6" s="388"/>
      <c r="CI6" s="389"/>
      <c r="CJ6" s="361" t="s">
        <v>65</v>
      </c>
      <c r="CK6" s="361"/>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row>
    <row r="7" spans="1:174" s="9" customFormat="1" ht="49.5" customHeight="1" x14ac:dyDescent="0.2">
      <c r="A7" s="262" t="s">
        <v>66</v>
      </c>
      <c r="B7" s="262" t="s">
        <v>67</v>
      </c>
      <c r="C7" s="262" t="s">
        <v>68</v>
      </c>
      <c r="D7" s="262" t="s">
        <v>69</v>
      </c>
      <c r="E7" s="262" t="s">
        <v>70</v>
      </c>
      <c r="F7" s="262" t="s">
        <v>71</v>
      </c>
      <c r="G7" s="262" t="s">
        <v>72</v>
      </c>
      <c r="H7" s="12" t="s">
        <v>73</v>
      </c>
      <c r="I7" s="12" t="s">
        <v>74</v>
      </c>
      <c r="J7" s="262" t="s">
        <v>63</v>
      </c>
      <c r="K7" s="262" t="s">
        <v>75</v>
      </c>
      <c r="L7" s="262" t="s">
        <v>76</v>
      </c>
      <c r="M7" s="262" t="s">
        <v>77</v>
      </c>
      <c r="N7" s="66" t="s">
        <v>78</v>
      </c>
      <c r="O7" s="262" t="s">
        <v>79</v>
      </c>
      <c r="P7" s="262" t="s">
        <v>77</v>
      </c>
      <c r="Q7" s="66" t="s">
        <v>78</v>
      </c>
      <c r="R7" s="262" t="s">
        <v>79</v>
      </c>
      <c r="S7" s="262" t="s">
        <v>77</v>
      </c>
      <c r="T7" s="66" t="s">
        <v>78</v>
      </c>
      <c r="U7" s="262" t="s">
        <v>79</v>
      </c>
      <c r="V7" s="262" t="s">
        <v>77</v>
      </c>
      <c r="W7" s="66" t="s">
        <v>78</v>
      </c>
      <c r="X7" s="262" t="s">
        <v>79</v>
      </c>
      <c r="Y7" s="262" t="s">
        <v>77</v>
      </c>
      <c r="Z7" s="66" t="s">
        <v>78</v>
      </c>
      <c r="AA7" s="262" t="s">
        <v>79</v>
      </c>
      <c r="AB7" s="262" t="s">
        <v>77</v>
      </c>
      <c r="AC7" s="66" t="s">
        <v>78</v>
      </c>
      <c r="AD7" s="262" t="s">
        <v>79</v>
      </c>
      <c r="AE7" s="262" t="s">
        <v>77</v>
      </c>
      <c r="AF7" s="66" t="s">
        <v>78</v>
      </c>
      <c r="AG7" s="262" t="s">
        <v>79</v>
      </c>
      <c r="AH7" s="262" t="s">
        <v>77</v>
      </c>
      <c r="AI7" s="66" t="s">
        <v>78</v>
      </c>
      <c r="AJ7" s="262" t="s">
        <v>79</v>
      </c>
      <c r="AK7" s="262" t="s">
        <v>77</v>
      </c>
      <c r="AL7" s="66" t="s">
        <v>78</v>
      </c>
      <c r="AM7" s="262" t="s">
        <v>79</v>
      </c>
      <c r="AN7" s="262" t="s">
        <v>77</v>
      </c>
      <c r="AO7" s="66" t="s">
        <v>78</v>
      </c>
      <c r="AP7" s="262" t="s">
        <v>79</v>
      </c>
      <c r="AQ7" s="262" t="s">
        <v>77</v>
      </c>
      <c r="AR7" s="66" t="s">
        <v>78</v>
      </c>
      <c r="AS7" s="262" t="s">
        <v>79</v>
      </c>
      <c r="AT7" s="262" t="s">
        <v>77</v>
      </c>
      <c r="AU7" s="66" t="s">
        <v>78</v>
      </c>
      <c r="AV7" s="262" t="s">
        <v>79</v>
      </c>
      <c r="AW7" s="269" t="s">
        <v>64</v>
      </c>
      <c r="AX7" s="269" t="s">
        <v>80</v>
      </c>
      <c r="AY7" s="269" t="s">
        <v>81</v>
      </c>
      <c r="AZ7" s="269" t="s">
        <v>77</v>
      </c>
      <c r="BA7" s="214" t="s">
        <v>78</v>
      </c>
      <c r="BB7" s="269" t="s">
        <v>79</v>
      </c>
      <c r="BC7" s="269" t="s">
        <v>77</v>
      </c>
      <c r="BD7" s="214" t="s">
        <v>78</v>
      </c>
      <c r="BE7" s="269" t="s">
        <v>79</v>
      </c>
      <c r="BF7" s="269" t="s">
        <v>77</v>
      </c>
      <c r="BG7" s="214" t="s">
        <v>78</v>
      </c>
      <c r="BH7" s="269" t="s">
        <v>79</v>
      </c>
      <c r="BI7" s="269" t="s">
        <v>77</v>
      </c>
      <c r="BJ7" s="214" t="s">
        <v>78</v>
      </c>
      <c r="BK7" s="269" t="s">
        <v>79</v>
      </c>
      <c r="BL7" s="269" t="s">
        <v>77</v>
      </c>
      <c r="BM7" s="214" t="s">
        <v>78</v>
      </c>
      <c r="BN7" s="269" t="s">
        <v>79</v>
      </c>
      <c r="BO7" s="269" t="s">
        <v>77</v>
      </c>
      <c r="BP7" s="214" t="s">
        <v>78</v>
      </c>
      <c r="BQ7" s="269" t="s">
        <v>79</v>
      </c>
      <c r="BR7" s="269" t="s">
        <v>77</v>
      </c>
      <c r="BS7" s="214" t="s">
        <v>78</v>
      </c>
      <c r="BT7" s="269" t="s">
        <v>79</v>
      </c>
      <c r="BU7" s="269" t="s">
        <v>77</v>
      </c>
      <c r="BV7" s="214" t="s">
        <v>78</v>
      </c>
      <c r="BW7" s="269" t="s">
        <v>79</v>
      </c>
      <c r="BX7" s="269" t="s">
        <v>77</v>
      </c>
      <c r="BY7" s="214" t="s">
        <v>78</v>
      </c>
      <c r="BZ7" s="269" t="s">
        <v>79</v>
      </c>
      <c r="CA7" s="269" t="s">
        <v>77</v>
      </c>
      <c r="CB7" s="214" t="s">
        <v>78</v>
      </c>
      <c r="CC7" s="269" t="s">
        <v>79</v>
      </c>
      <c r="CD7" s="269" t="s">
        <v>77</v>
      </c>
      <c r="CE7" s="214" t="s">
        <v>78</v>
      </c>
      <c r="CF7" s="269" t="s">
        <v>79</v>
      </c>
      <c r="CG7" s="269" t="s">
        <v>77</v>
      </c>
      <c r="CH7" s="214" t="s">
        <v>78</v>
      </c>
      <c r="CI7" s="269" t="s">
        <v>79</v>
      </c>
      <c r="CJ7" s="262" t="s">
        <v>82</v>
      </c>
      <c r="CK7" s="262" t="s">
        <v>83</v>
      </c>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row>
    <row r="8" spans="1:174" s="4" customFormat="1" ht="45" customHeight="1" x14ac:dyDescent="0.2">
      <c r="A8" s="368" t="s">
        <v>84</v>
      </c>
      <c r="B8" s="368" t="s">
        <v>274</v>
      </c>
      <c r="C8" s="393" t="s">
        <v>2720</v>
      </c>
      <c r="D8" s="368" t="s">
        <v>8</v>
      </c>
      <c r="E8" s="373" t="s">
        <v>529</v>
      </c>
      <c r="F8" s="368" t="s">
        <v>88</v>
      </c>
      <c r="G8" s="368" t="s">
        <v>276</v>
      </c>
      <c r="H8" s="374">
        <v>6989741347</v>
      </c>
      <c r="I8" s="374">
        <v>2114749944</v>
      </c>
      <c r="J8" s="369" t="s">
        <v>530</v>
      </c>
      <c r="K8" s="369" t="s">
        <v>531</v>
      </c>
      <c r="L8" s="398">
        <v>685</v>
      </c>
      <c r="M8" s="459">
        <v>58</v>
      </c>
      <c r="N8" s="366">
        <v>0.08</v>
      </c>
      <c r="O8" s="366" t="s">
        <v>532</v>
      </c>
      <c r="P8" s="459">
        <v>136</v>
      </c>
      <c r="Q8" s="366">
        <v>0.2</v>
      </c>
      <c r="R8" s="366" t="s">
        <v>533</v>
      </c>
      <c r="S8" s="459">
        <v>193</v>
      </c>
      <c r="T8" s="366">
        <v>0.28000000000000003</v>
      </c>
      <c r="U8" s="366" t="s">
        <v>985</v>
      </c>
      <c r="V8" s="459">
        <v>290</v>
      </c>
      <c r="W8" s="366">
        <v>0.42335766423357662</v>
      </c>
      <c r="X8" s="366" t="s">
        <v>986</v>
      </c>
      <c r="Y8" s="459">
        <v>385</v>
      </c>
      <c r="Z8" s="366">
        <v>0.56204379562043794</v>
      </c>
      <c r="AA8" s="366" t="s">
        <v>987</v>
      </c>
      <c r="AB8" s="459">
        <v>486</v>
      </c>
      <c r="AC8" s="366">
        <v>0.71</v>
      </c>
      <c r="AD8" s="366" t="s">
        <v>988</v>
      </c>
      <c r="AE8" s="459">
        <v>553</v>
      </c>
      <c r="AF8" s="366">
        <v>0.81</v>
      </c>
      <c r="AG8" s="366" t="s">
        <v>1553</v>
      </c>
      <c r="AH8" s="459">
        <v>622</v>
      </c>
      <c r="AI8" s="366">
        <v>0.71</v>
      </c>
      <c r="AJ8" s="366" t="s">
        <v>1554</v>
      </c>
      <c r="AK8" s="459">
        <v>709</v>
      </c>
      <c r="AL8" s="366">
        <v>0.81</v>
      </c>
      <c r="AM8" s="366" t="s">
        <v>1555</v>
      </c>
      <c r="AN8" s="459">
        <v>752</v>
      </c>
      <c r="AO8" s="366">
        <v>1.1000000000000001</v>
      </c>
      <c r="AP8" s="366" t="s">
        <v>2096</v>
      </c>
      <c r="AQ8" s="459">
        <v>854</v>
      </c>
      <c r="AR8" s="366">
        <v>1</v>
      </c>
      <c r="AS8" s="366" t="s">
        <v>2097</v>
      </c>
      <c r="AT8" s="459">
        <v>934</v>
      </c>
      <c r="AU8" s="366">
        <v>1.0900000000000001</v>
      </c>
      <c r="AV8" s="366" t="s">
        <v>2098</v>
      </c>
      <c r="AW8" s="11" t="s">
        <v>534</v>
      </c>
      <c r="AX8" s="11" t="s">
        <v>535</v>
      </c>
      <c r="AY8" s="268">
        <v>300</v>
      </c>
      <c r="AZ8" s="77">
        <v>25</v>
      </c>
      <c r="BA8" s="279">
        <v>8.3299999999999999E-2</v>
      </c>
      <c r="BB8" s="279" t="s">
        <v>536</v>
      </c>
      <c r="BC8" s="77">
        <v>50</v>
      </c>
      <c r="BD8" s="279">
        <v>0.17</v>
      </c>
      <c r="BE8" s="279" t="s">
        <v>537</v>
      </c>
      <c r="BF8" s="77">
        <v>64</v>
      </c>
      <c r="BG8" s="279">
        <v>0.21</v>
      </c>
      <c r="BH8" s="279" t="s">
        <v>538</v>
      </c>
      <c r="BI8" s="77">
        <v>92</v>
      </c>
      <c r="BJ8" s="279">
        <v>0.31</v>
      </c>
      <c r="BK8" s="279" t="s">
        <v>989</v>
      </c>
      <c r="BL8" s="77">
        <v>117</v>
      </c>
      <c r="BM8" s="279">
        <v>0.39</v>
      </c>
      <c r="BN8" s="279" t="s">
        <v>990</v>
      </c>
      <c r="BO8" s="77">
        <v>132</v>
      </c>
      <c r="BP8" s="279">
        <v>0.44</v>
      </c>
      <c r="BQ8" s="279" t="s">
        <v>991</v>
      </c>
      <c r="BR8" s="77">
        <v>138</v>
      </c>
      <c r="BS8" s="279">
        <v>0.46</v>
      </c>
      <c r="BT8" s="279" t="s">
        <v>1556</v>
      </c>
      <c r="BU8" s="77">
        <v>150</v>
      </c>
      <c r="BV8" s="279">
        <v>0.5</v>
      </c>
      <c r="BW8" s="279" t="s">
        <v>1557</v>
      </c>
      <c r="BX8" s="77">
        <v>159</v>
      </c>
      <c r="BY8" s="279">
        <v>0.53</v>
      </c>
      <c r="BZ8" s="279" t="s">
        <v>1558</v>
      </c>
      <c r="CA8" s="77">
        <v>164</v>
      </c>
      <c r="CB8" s="279">
        <v>0.55000000000000004</v>
      </c>
      <c r="CC8" s="279" t="s">
        <v>2099</v>
      </c>
      <c r="CD8" s="77">
        <v>177</v>
      </c>
      <c r="CE8" s="279">
        <v>1.04</v>
      </c>
      <c r="CF8" s="279" t="s">
        <v>2100</v>
      </c>
      <c r="CG8" s="77">
        <v>197</v>
      </c>
      <c r="CH8" s="279">
        <v>1.1599999999999999</v>
      </c>
      <c r="CI8" s="279" t="s">
        <v>2101</v>
      </c>
      <c r="CJ8" s="11" t="s">
        <v>106</v>
      </c>
      <c r="CK8" s="11" t="s">
        <v>107</v>
      </c>
    </row>
    <row r="9" spans="1:174" s="4" customFormat="1" ht="45" customHeight="1" x14ac:dyDescent="0.2">
      <c r="A9" s="368"/>
      <c r="B9" s="368"/>
      <c r="C9" s="393"/>
      <c r="D9" s="368"/>
      <c r="E9" s="373"/>
      <c r="F9" s="368"/>
      <c r="G9" s="368"/>
      <c r="H9" s="401"/>
      <c r="I9" s="401"/>
      <c r="J9" s="394"/>
      <c r="K9" s="394"/>
      <c r="L9" s="399"/>
      <c r="M9" s="460"/>
      <c r="N9" s="402"/>
      <c r="O9" s="402"/>
      <c r="P9" s="460"/>
      <c r="Q9" s="402"/>
      <c r="R9" s="402"/>
      <c r="S9" s="460"/>
      <c r="T9" s="402"/>
      <c r="U9" s="402"/>
      <c r="V9" s="460"/>
      <c r="W9" s="402"/>
      <c r="X9" s="402"/>
      <c r="Y9" s="460"/>
      <c r="Z9" s="402"/>
      <c r="AA9" s="402"/>
      <c r="AB9" s="460"/>
      <c r="AC9" s="402"/>
      <c r="AD9" s="402"/>
      <c r="AE9" s="460"/>
      <c r="AF9" s="402"/>
      <c r="AG9" s="402"/>
      <c r="AH9" s="460"/>
      <c r="AI9" s="402"/>
      <c r="AJ9" s="402"/>
      <c r="AK9" s="460"/>
      <c r="AL9" s="402"/>
      <c r="AM9" s="402"/>
      <c r="AN9" s="460"/>
      <c r="AO9" s="402"/>
      <c r="AP9" s="402"/>
      <c r="AQ9" s="460"/>
      <c r="AR9" s="402"/>
      <c r="AS9" s="402"/>
      <c r="AT9" s="460"/>
      <c r="AU9" s="402"/>
      <c r="AV9" s="402"/>
      <c r="AW9" s="11" t="s">
        <v>539</v>
      </c>
      <c r="AX9" s="11" t="s">
        <v>540</v>
      </c>
      <c r="AY9" s="268">
        <v>70</v>
      </c>
      <c r="AZ9" s="77">
        <v>7</v>
      </c>
      <c r="BA9" s="279">
        <v>0.1</v>
      </c>
      <c r="BB9" s="279" t="s">
        <v>541</v>
      </c>
      <c r="BC9" s="77">
        <v>11</v>
      </c>
      <c r="BD9" s="279">
        <v>0.16</v>
      </c>
      <c r="BE9" s="279" t="s">
        <v>542</v>
      </c>
      <c r="BF9" s="77">
        <v>16</v>
      </c>
      <c r="BG9" s="279">
        <v>0.23</v>
      </c>
      <c r="BH9" s="279" t="s">
        <v>543</v>
      </c>
      <c r="BI9" s="77">
        <v>23</v>
      </c>
      <c r="BJ9" s="279">
        <v>0.33</v>
      </c>
      <c r="BK9" s="279" t="s">
        <v>992</v>
      </c>
      <c r="BL9" s="77">
        <v>32</v>
      </c>
      <c r="BM9" s="279">
        <v>0.46</v>
      </c>
      <c r="BN9" s="279" t="s">
        <v>993</v>
      </c>
      <c r="BO9" s="77">
        <v>46</v>
      </c>
      <c r="BP9" s="279">
        <v>0.66</v>
      </c>
      <c r="BQ9" s="279" t="s">
        <v>994</v>
      </c>
      <c r="BR9" s="77">
        <v>53</v>
      </c>
      <c r="BS9" s="279">
        <v>0.76</v>
      </c>
      <c r="BT9" s="279" t="s">
        <v>1559</v>
      </c>
      <c r="BU9" s="77">
        <v>59</v>
      </c>
      <c r="BV9" s="279">
        <v>0.84</v>
      </c>
      <c r="BW9" s="279" t="s">
        <v>1560</v>
      </c>
      <c r="BX9" s="77">
        <v>67</v>
      </c>
      <c r="BY9" s="279">
        <v>0.96</v>
      </c>
      <c r="BZ9" s="279" t="s">
        <v>1561</v>
      </c>
      <c r="CA9" s="77">
        <v>72</v>
      </c>
      <c r="CB9" s="279">
        <v>1.03</v>
      </c>
      <c r="CC9" s="279" t="s">
        <v>2102</v>
      </c>
      <c r="CD9" s="77">
        <v>81</v>
      </c>
      <c r="CE9" s="279">
        <v>0.95</v>
      </c>
      <c r="CF9" s="279" t="s">
        <v>2103</v>
      </c>
      <c r="CG9" s="77">
        <v>93</v>
      </c>
      <c r="CH9" s="279">
        <v>1.0900000000000001</v>
      </c>
      <c r="CI9" s="279" t="s">
        <v>2104</v>
      </c>
      <c r="CJ9" s="11" t="s">
        <v>159</v>
      </c>
      <c r="CK9" s="11" t="s">
        <v>544</v>
      </c>
    </row>
    <row r="10" spans="1:174" s="4" customFormat="1" ht="45" customHeight="1" x14ac:dyDescent="0.2">
      <c r="A10" s="368"/>
      <c r="B10" s="368"/>
      <c r="C10" s="393"/>
      <c r="D10" s="368"/>
      <c r="E10" s="373"/>
      <c r="F10" s="368"/>
      <c r="G10" s="368"/>
      <c r="H10" s="401"/>
      <c r="I10" s="375"/>
      <c r="J10" s="370"/>
      <c r="K10" s="370"/>
      <c r="L10" s="400"/>
      <c r="M10" s="461"/>
      <c r="N10" s="367"/>
      <c r="O10" s="367"/>
      <c r="P10" s="461"/>
      <c r="Q10" s="367"/>
      <c r="R10" s="367"/>
      <c r="S10" s="461"/>
      <c r="T10" s="367"/>
      <c r="U10" s="367"/>
      <c r="V10" s="461"/>
      <c r="W10" s="367"/>
      <c r="X10" s="367"/>
      <c r="Y10" s="461"/>
      <c r="Z10" s="367"/>
      <c r="AA10" s="367"/>
      <c r="AB10" s="461"/>
      <c r="AC10" s="367"/>
      <c r="AD10" s="367"/>
      <c r="AE10" s="461"/>
      <c r="AF10" s="367"/>
      <c r="AG10" s="367"/>
      <c r="AH10" s="461"/>
      <c r="AI10" s="367"/>
      <c r="AJ10" s="367"/>
      <c r="AK10" s="461"/>
      <c r="AL10" s="367"/>
      <c r="AM10" s="367"/>
      <c r="AN10" s="461"/>
      <c r="AO10" s="367"/>
      <c r="AP10" s="367"/>
      <c r="AQ10" s="461"/>
      <c r="AR10" s="367"/>
      <c r="AS10" s="367"/>
      <c r="AT10" s="461"/>
      <c r="AU10" s="367"/>
      <c r="AV10" s="367"/>
      <c r="AW10" s="11" t="s">
        <v>545</v>
      </c>
      <c r="AX10" s="11" t="s">
        <v>546</v>
      </c>
      <c r="AY10" s="268">
        <v>315</v>
      </c>
      <c r="AZ10" s="77">
        <v>26</v>
      </c>
      <c r="BA10" s="279">
        <v>8.2500000000000004E-2</v>
      </c>
      <c r="BB10" s="279" t="s">
        <v>547</v>
      </c>
      <c r="BC10" s="77">
        <v>75</v>
      </c>
      <c r="BD10" s="279">
        <v>0.24</v>
      </c>
      <c r="BE10" s="279" t="s">
        <v>548</v>
      </c>
      <c r="BF10" s="77">
        <v>113</v>
      </c>
      <c r="BG10" s="279">
        <v>0.36</v>
      </c>
      <c r="BH10" s="279" t="s">
        <v>549</v>
      </c>
      <c r="BI10" s="77">
        <v>175</v>
      </c>
      <c r="BJ10" s="279">
        <v>0.56000000000000005</v>
      </c>
      <c r="BK10" s="279" t="s">
        <v>995</v>
      </c>
      <c r="BL10" s="77">
        <v>236</v>
      </c>
      <c r="BM10" s="279">
        <v>0.75</v>
      </c>
      <c r="BN10" s="279" t="s">
        <v>996</v>
      </c>
      <c r="BO10" s="77">
        <v>308</v>
      </c>
      <c r="BP10" s="279">
        <v>0.98</v>
      </c>
      <c r="BQ10" s="279" t="s">
        <v>997</v>
      </c>
      <c r="BR10" s="77">
        <v>362</v>
      </c>
      <c r="BS10" s="279">
        <v>1.1499999999999999</v>
      </c>
      <c r="BT10" s="279" t="s">
        <v>1562</v>
      </c>
      <c r="BU10" s="77">
        <v>413</v>
      </c>
      <c r="BV10" s="279">
        <v>0.83</v>
      </c>
      <c r="BW10" s="279" t="s">
        <v>1563</v>
      </c>
      <c r="BX10" s="77">
        <v>483</v>
      </c>
      <c r="BY10" s="279">
        <v>0.97</v>
      </c>
      <c r="BZ10" s="279" t="s">
        <v>1564</v>
      </c>
      <c r="CA10" s="77">
        <v>516</v>
      </c>
      <c r="CB10" s="279">
        <v>1.64</v>
      </c>
      <c r="CC10" s="279" t="s">
        <v>2105</v>
      </c>
      <c r="CD10" s="77">
        <v>596</v>
      </c>
      <c r="CE10" s="279">
        <v>0.99</v>
      </c>
      <c r="CF10" s="279" t="s">
        <v>2106</v>
      </c>
      <c r="CG10" s="77">
        <v>644</v>
      </c>
      <c r="CH10" s="279">
        <v>1.07</v>
      </c>
      <c r="CI10" s="279" t="s">
        <v>2107</v>
      </c>
      <c r="CJ10" s="11" t="s">
        <v>159</v>
      </c>
      <c r="CK10" s="11" t="s">
        <v>544</v>
      </c>
    </row>
    <row r="11" spans="1:174" s="4" customFormat="1" ht="168" customHeight="1" x14ac:dyDescent="0.2">
      <c r="A11" s="368"/>
      <c r="B11" s="368"/>
      <c r="C11" s="393"/>
      <c r="D11" s="368"/>
      <c r="E11" s="373"/>
      <c r="F11" s="368"/>
      <c r="G11" s="368"/>
      <c r="H11" s="401"/>
      <c r="I11" s="13">
        <v>1998091461</v>
      </c>
      <c r="J11" s="265" t="s">
        <v>550</v>
      </c>
      <c r="K11" s="265" t="s">
        <v>551</v>
      </c>
      <c r="L11" s="279">
        <v>1</v>
      </c>
      <c r="M11" s="279">
        <v>1</v>
      </c>
      <c r="N11" s="279">
        <v>1</v>
      </c>
      <c r="O11" s="279" t="s">
        <v>552</v>
      </c>
      <c r="P11" s="279">
        <v>1</v>
      </c>
      <c r="Q11" s="279">
        <v>1</v>
      </c>
      <c r="R11" s="279" t="s">
        <v>553</v>
      </c>
      <c r="S11" s="279">
        <v>1</v>
      </c>
      <c r="T11" s="279">
        <v>1</v>
      </c>
      <c r="U11" s="279" t="s">
        <v>998</v>
      </c>
      <c r="V11" s="279">
        <v>1</v>
      </c>
      <c r="W11" s="279">
        <v>1</v>
      </c>
      <c r="X11" s="279" t="s">
        <v>999</v>
      </c>
      <c r="Y11" s="279">
        <v>1</v>
      </c>
      <c r="Z11" s="279">
        <v>1</v>
      </c>
      <c r="AA11" s="279" t="s">
        <v>1000</v>
      </c>
      <c r="AB11" s="279">
        <v>1</v>
      </c>
      <c r="AC11" s="279">
        <v>1</v>
      </c>
      <c r="AD11" s="279" t="s">
        <v>1001</v>
      </c>
      <c r="AE11" s="279">
        <v>1</v>
      </c>
      <c r="AF11" s="279">
        <v>1</v>
      </c>
      <c r="AG11" s="279" t="s">
        <v>1565</v>
      </c>
      <c r="AH11" s="279">
        <v>1</v>
      </c>
      <c r="AI11" s="279">
        <v>1</v>
      </c>
      <c r="AJ11" s="279" t="s">
        <v>1566</v>
      </c>
      <c r="AK11" s="279">
        <v>1</v>
      </c>
      <c r="AL11" s="279">
        <v>1</v>
      </c>
      <c r="AM11" s="279" t="s">
        <v>1567</v>
      </c>
      <c r="AN11" s="279">
        <v>1</v>
      </c>
      <c r="AO11" s="279">
        <v>1</v>
      </c>
      <c r="AP11" s="279" t="s">
        <v>2108</v>
      </c>
      <c r="AQ11" s="279">
        <v>1</v>
      </c>
      <c r="AR11" s="279">
        <v>1</v>
      </c>
      <c r="AS11" s="279" t="s">
        <v>2109</v>
      </c>
      <c r="AT11" s="279">
        <v>1</v>
      </c>
      <c r="AU11" s="279">
        <v>1</v>
      </c>
      <c r="AV11" s="279" t="s">
        <v>2110</v>
      </c>
      <c r="AW11" s="368" t="s">
        <v>93</v>
      </c>
      <c r="AX11" s="368"/>
      <c r="AY11" s="368"/>
      <c r="AZ11" s="69"/>
      <c r="BA11" s="71"/>
      <c r="BB11" s="69"/>
      <c r="BC11" s="69"/>
      <c r="BD11" s="71"/>
      <c r="BE11" s="69"/>
      <c r="BF11" s="69"/>
      <c r="BG11" s="71"/>
      <c r="BH11" s="69"/>
      <c r="BI11" s="69"/>
      <c r="BJ11" s="71"/>
      <c r="BK11" s="69"/>
      <c r="BL11" s="69"/>
      <c r="BM11" s="71"/>
      <c r="BN11" s="69"/>
      <c r="BO11" s="69"/>
      <c r="BP11" s="71"/>
      <c r="BQ11" s="69"/>
      <c r="BR11" s="69"/>
      <c r="BS11" s="71"/>
      <c r="BT11" s="69"/>
      <c r="BU11" s="69"/>
      <c r="BV11" s="71"/>
      <c r="BW11" s="69"/>
      <c r="BX11" s="69"/>
      <c r="BY11" s="71"/>
      <c r="BZ11" s="69"/>
      <c r="CA11" s="69"/>
      <c r="CB11" s="71"/>
      <c r="CC11" s="69"/>
      <c r="CD11" s="69"/>
      <c r="CE11" s="71"/>
      <c r="CF11" s="69"/>
      <c r="CG11" s="69"/>
      <c r="CH11" s="71"/>
      <c r="CI11" s="69"/>
      <c r="CJ11" s="11" t="s">
        <v>159</v>
      </c>
      <c r="CK11" s="11" t="s">
        <v>544</v>
      </c>
    </row>
    <row r="12" spans="1:174" ht="75" x14ac:dyDescent="0.25">
      <c r="H12" s="401"/>
      <c r="M12" s="56" t="s">
        <v>161</v>
      </c>
      <c r="N12" s="67">
        <f>AVERAGE(N8:N11)</f>
        <v>0.54</v>
      </c>
      <c r="P12" s="56" t="s">
        <v>161</v>
      </c>
      <c r="Q12" s="67">
        <f>AVERAGE(Q8:Q11)</f>
        <v>0.6</v>
      </c>
      <c r="S12" s="56" t="s">
        <v>161</v>
      </c>
      <c r="T12" s="67">
        <f>AVERAGE(T8:T11)</f>
        <v>0.64</v>
      </c>
      <c r="V12" s="56" t="s">
        <v>161</v>
      </c>
      <c r="W12" s="67">
        <f>AVERAGE(W8:W11)</f>
        <v>0.71167883211678828</v>
      </c>
      <c r="Y12" s="56" t="s">
        <v>161</v>
      </c>
      <c r="Z12" s="67">
        <f>AVERAGE(Z8:Z11)</f>
        <v>0.78102189781021902</v>
      </c>
      <c r="AB12" s="56" t="s">
        <v>161</v>
      </c>
      <c r="AC12" s="67">
        <f>AVERAGE(AC8:AC11)</f>
        <v>0.85499999999999998</v>
      </c>
      <c r="AE12" s="56" t="s">
        <v>161</v>
      </c>
      <c r="AF12" s="67">
        <f>AVERAGE(AF8:AF11)</f>
        <v>0.90500000000000003</v>
      </c>
      <c r="AH12" s="56" t="s">
        <v>161</v>
      </c>
      <c r="AI12" s="67">
        <f>AVERAGE(AI8:AI11)</f>
        <v>0.85499999999999998</v>
      </c>
      <c r="AK12" s="56" t="s">
        <v>161</v>
      </c>
      <c r="AL12" s="67">
        <f>AVERAGE(AL8:AL11)</f>
        <v>0.90500000000000003</v>
      </c>
      <c r="AN12" s="56" t="s">
        <v>161</v>
      </c>
      <c r="AO12" s="67">
        <f>AVERAGE(AO8:AO11)</f>
        <v>1.05</v>
      </c>
      <c r="AQ12" s="56" t="s">
        <v>161</v>
      </c>
      <c r="AR12" s="67">
        <f>AVERAGE(AR8:AR11)</f>
        <v>1</v>
      </c>
      <c r="AT12" s="56" t="s">
        <v>161</v>
      </c>
      <c r="AU12" s="67">
        <f>AVERAGE(AU8:AU11)</f>
        <v>1.0449999999999999</v>
      </c>
      <c r="AZ12" s="56" t="s">
        <v>162</v>
      </c>
      <c r="BA12" s="67">
        <f>AVERAGE(BA8:BA11)</f>
        <v>8.8600000000000012E-2</v>
      </c>
      <c r="BC12" s="56" t="s">
        <v>162</v>
      </c>
      <c r="BD12" s="67">
        <f>AVERAGE(BD8:BD11)</f>
        <v>0.19000000000000003</v>
      </c>
      <c r="BF12" s="56" t="s">
        <v>162</v>
      </c>
      <c r="BG12" s="67">
        <f>AVERAGE(BG8:BG11)</f>
        <v>0.26666666666666666</v>
      </c>
      <c r="BH12" s="292"/>
      <c r="BI12" s="56" t="s">
        <v>162</v>
      </c>
      <c r="BJ12" s="67">
        <f>AVERAGE(BJ8:BJ11)</f>
        <v>0.40000000000000008</v>
      </c>
      <c r="BL12" s="56" t="s">
        <v>162</v>
      </c>
      <c r="BM12" s="67">
        <f>AVERAGE(BM8:BM11)</f>
        <v>0.53333333333333333</v>
      </c>
      <c r="BO12" s="56" t="s">
        <v>162</v>
      </c>
      <c r="BP12" s="67">
        <f>AVERAGE(BP8:BP11)</f>
        <v>0.69333333333333336</v>
      </c>
      <c r="BQ12" s="292"/>
      <c r="BR12" s="56" t="s">
        <v>162</v>
      </c>
      <c r="BS12" s="67">
        <f>AVERAGE(BS8:BS11)</f>
        <v>0.79</v>
      </c>
      <c r="BU12" s="56" t="s">
        <v>162</v>
      </c>
      <c r="BV12" s="67">
        <f>AVERAGE(BV8:BV11)</f>
        <v>0.72333333333333327</v>
      </c>
      <c r="BX12" s="56" t="s">
        <v>162</v>
      </c>
      <c r="BY12" s="67">
        <f>AVERAGE(BY8:BY11)</f>
        <v>0.82</v>
      </c>
      <c r="BZ12" s="292"/>
      <c r="CA12" s="56" t="s">
        <v>162</v>
      </c>
      <c r="CB12" s="67">
        <f>AVERAGE(CB8:CB11)</f>
        <v>1.0733333333333333</v>
      </c>
      <c r="CD12" s="56" t="s">
        <v>162</v>
      </c>
      <c r="CE12" s="67">
        <f>AVERAGE(CE8:CE11)</f>
        <v>0.99333333333333329</v>
      </c>
      <c r="CG12" s="56" t="s">
        <v>162</v>
      </c>
      <c r="CH12" s="67">
        <f>AVERAGE(CH8:CH11)</f>
        <v>1.1066666666666667</v>
      </c>
      <c r="CI12" s="292"/>
      <c r="CJ12" s="292"/>
      <c r="CK12" s="292"/>
      <c r="FO12" s="296"/>
      <c r="FP12" s="296"/>
      <c r="FQ12" s="296"/>
      <c r="FR12" s="296"/>
    </row>
    <row r="13" spans="1:174" s="4" customFormat="1" ht="45" customHeight="1" x14ac:dyDescent="0.2">
      <c r="A13" s="368"/>
      <c r="B13" s="368" t="s">
        <v>85</v>
      </c>
      <c r="C13" s="393" t="s">
        <v>554</v>
      </c>
      <c r="D13" s="368" t="s">
        <v>8</v>
      </c>
      <c r="E13" s="373" t="s">
        <v>555</v>
      </c>
      <c r="F13" s="368" t="s">
        <v>88</v>
      </c>
      <c r="G13" s="368" t="s">
        <v>89</v>
      </c>
      <c r="H13" s="401"/>
      <c r="I13" s="434">
        <v>169931305</v>
      </c>
      <c r="J13" s="368" t="s">
        <v>556</v>
      </c>
      <c r="K13" s="368" t="s">
        <v>557</v>
      </c>
      <c r="L13" s="435">
        <v>1</v>
      </c>
      <c r="M13" s="366">
        <v>0.05</v>
      </c>
      <c r="N13" s="366">
        <v>0.05</v>
      </c>
      <c r="O13" s="366" t="s">
        <v>558</v>
      </c>
      <c r="P13" s="366">
        <v>0.13</v>
      </c>
      <c r="Q13" s="366">
        <v>0.13</v>
      </c>
      <c r="R13" s="366" t="s">
        <v>559</v>
      </c>
      <c r="S13" s="366">
        <v>0.19</v>
      </c>
      <c r="T13" s="366">
        <v>0.19</v>
      </c>
      <c r="U13" s="366" t="s">
        <v>560</v>
      </c>
      <c r="V13" s="366">
        <v>0.22</v>
      </c>
      <c r="W13" s="366">
        <v>0.22</v>
      </c>
      <c r="X13" s="366" t="s">
        <v>1002</v>
      </c>
      <c r="Y13" s="366">
        <v>0.33</v>
      </c>
      <c r="Z13" s="366">
        <v>0.33</v>
      </c>
      <c r="AA13" s="366" t="s">
        <v>1003</v>
      </c>
      <c r="AB13" s="366">
        <v>0.42</v>
      </c>
      <c r="AC13" s="366">
        <v>0.42</v>
      </c>
      <c r="AD13" s="366" t="s">
        <v>1004</v>
      </c>
      <c r="AE13" s="366">
        <v>0.37</v>
      </c>
      <c r="AF13" s="366">
        <v>0.37</v>
      </c>
      <c r="AG13" s="366" t="s">
        <v>1568</v>
      </c>
      <c r="AH13" s="366">
        <v>0.65</v>
      </c>
      <c r="AI13" s="366">
        <v>0.65</v>
      </c>
      <c r="AJ13" s="366" t="s">
        <v>1569</v>
      </c>
      <c r="AK13" s="366">
        <v>0.69</v>
      </c>
      <c r="AL13" s="366">
        <v>0.69</v>
      </c>
      <c r="AM13" s="366" t="s">
        <v>1570</v>
      </c>
      <c r="AN13" s="366">
        <v>0.56999999999999995</v>
      </c>
      <c r="AO13" s="366">
        <v>0.56999999999999995</v>
      </c>
      <c r="AP13" s="366" t="s">
        <v>2111</v>
      </c>
      <c r="AQ13" s="366">
        <v>0.68</v>
      </c>
      <c r="AR13" s="366">
        <v>0.68</v>
      </c>
      <c r="AS13" s="366" t="s">
        <v>2112</v>
      </c>
      <c r="AT13" s="366">
        <v>0.88</v>
      </c>
      <c r="AU13" s="366">
        <v>0.88</v>
      </c>
      <c r="AV13" s="366" t="s">
        <v>2113</v>
      </c>
      <c r="AW13" s="11" t="s">
        <v>561</v>
      </c>
      <c r="AX13" s="11" t="s">
        <v>562</v>
      </c>
      <c r="AY13" s="272">
        <v>1</v>
      </c>
      <c r="AZ13" s="279">
        <v>0.04</v>
      </c>
      <c r="BA13" s="279">
        <v>0.04</v>
      </c>
      <c r="BB13" s="279" t="s">
        <v>563</v>
      </c>
      <c r="BC13" s="279">
        <v>0.08</v>
      </c>
      <c r="BD13" s="279">
        <v>0.08</v>
      </c>
      <c r="BE13" s="279" t="s">
        <v>564</v>
      </c>
      <c r="BF13" s="279">
        <v>0.1</v>
      </c>
      <c r="BG13" s="279">
        <v>0.1</v>
      </c>
      <c r="BH13" s="279" t="s">
        <v>565</v>
      </c>
      <c r="BI13" s="279">
        <v>0.12</v>
      </c>
      <c r="BJ13" s="279">
        <v>0.12</v>
      </c>
      <c r="BK13" s="279" t="s">
        <v>1005</v>
      </c>
      <c r="BL13" s="279">
        <v>0.16</v>
      </c>
      <c r="BM13" s="279">
        <v>0.16</v>
      </c>
      <c r="BN13" s="279" t="s">
        <v>1006</v>
      </c>
      <c r="BO13" s="279">
        <v>0.17</v>
      </c>
      <c r="BP13" s="279">
        <v>0.17</v>
      </c>
      <c r="BQ13" s="279" t="s">
        <v>1007</v>
      </c>
      <c r="BR13" s="279">
        <v>0.18</v>
      </c>
      <c r="BS13" s="279">
        <v>0.18</v>
      </c>
      <c r="BT13" s="279" t="s">
        <v>1571</v>
      </c>
      <c r="BU13" s="279">
        <v>0.43</v>
      </c>
      <c r="BV13" s="279">
        <v>0.43</v>
      </c>
      <c r="BW13" s="279" t="s">
        <v>1572</v>
      </c>
      <c r="BX13" s="279">
        <v>0.64</v>
      </c>
      <c r="BY13" s="279">
        <v>0.64</v>
      </c>
      <c r="BZ13" s="279" t="s">
        <v>1573</v>
      </c>
      <c r="CA13" s="279">
        <v>0.6</v>
      </c>
      <c r="CB13" s="279">
        <v>0.6</v>
      </c>
      <c r="CC13" s="279" t="s">
        <v>2114</v>
      </c>
      <c r="CD13" s="279">
        <v>0.68</v>
      </c>
      <c r="CE13" s="279">
        <v>0.68</v>
      </c>
      <c r="CF13" s="279" t="s">
        <v>2115</v>
      </c>
      <c r="CG13" s="279">
        <v>1.04</v>
      </c>
      <c r="CH13" s="279">
        <v>1.04</v>
      </c>
      <c r="CI13" s="279" t="s">
        <v>2116</v>
      </c>
      <c r="CJ13" s="11" t="s">
        <v>246</v>
      </c>
      <c r="CK13" s="11" t="s">
        <v>566</v>
      </c>
    </row>
    <row r="14" spans="1:174" s="4" customFormat="1" ht="45" customHeight="1" x14ac:dyDescent="0.2">
      <c r="A14" s="368"/>
      <c r="B14" s="368"/>
      <c r="C14" s="393" t="s">
        <v>554</v>
      </c>
      <c r="D14" s="368" t="s">
        <v>8</v>
      </c>
      <c r="E14" s="373" t="s">
        <v>555</v>
      </c>
      <c r="F14" s="368"/>
      <c r="G14" s="368"/>
      <c r="H14" s="401"/>
      <c r="I14" s="434"/>
      <c r="J14" s="368" t="s">
        <v>556</v>
      </c>
      <c r="K14" s="368" t="s">
        <v>557</v>
      </c>
      <c r="L14" s="435"/>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7"/>
      <c r="AK14" s="367"/>
      <c r="AL14" s="367"/>
      <c r="AM14" s="367"/>
      <c r="AN14" s="367"/>
      <c r="AO14" s="367"/>
      <c r="AP14" s="367"/>
      <c r="AQ14" s="367"/>
      <c r="AR14" s="367"/>
      <c r="AS14" s="367"/>
      <c r="AT14" s="367"/>
      <c r="AU14" s="367"/>
      <c r="AV14" s="367"/>
      <c r="AW14" s="11" t="s">
        <v>567</v>
      </c>
      <c r="AX14" s="11" t="s">
        <v>568</v>
      </c>
      <c r="AY14" s="272">
        <v>1</v>
      </c>
      <c r="AZ14" s="279">
        <v>0.12</v>
      </c>
      <c r="BA14" s="279">
        <v>0.12</v>
      </c>
      <c r="BB14" s="279" t="s">
        <v>569</v>
      </c>
      <c r="BC14" s="279">
        <v>0.23</v>
      </c>
      <c r="BD14" s="279">
        <v>0.23</v>
      </c>
      <c r="BE14" s="279" t="s">
        <v>570</v>
      </c>
      <c r="BF14" s="279">
        <v>0.35</v>
      </c>
      <c r="BG14" s="279">
        <v>0.35</v>
      </c>
      <c r="BH14" s="279" t="s">
        <v>571</v>
      </c>
      <c r="BI14" s="279">
        <v>0.55000000000000004</v>
      </c>
      <c r="BJ14" s="279">
        <v>0.55000000000000004</v>
      </c>
      <c r="BK14" s="279" t="s">
        <v>1008</v>
      </c>
      <c r="BL14" s="279">
        <v>0.98</v>
      </c>
      <c r="BM14" s="279">
        <v>0.98</v>
      </c>
      <c r="BN14" s="279" t="s">
        <v>1009</v>
      </c>
      <c r="BO14" s="279">
        <v>1.57</v>
      </c>
      <c r="BP14" s="279">
        <v>1.57</v>
      </c>
      <c r="BQ14" s="279" t="s">
        <v>1010</v>
      </c>
      <c r="BR14" s="279">
        <v>0.8</v>
      </c>
      <c r="BS14" s="279">
        <v>0.8</v>
      </c>
      <c r="BT14" s="279" t="s">
        <v>1574</v>
      </c>
      <c r="BU14" s="279">
        <v>0.92</v>
      </c>
      <c r="BV14" s="279">
        <v>0.92</v>
      </c>
      <c r="BW14" s="279" t="s">
        <v>1575</v>
      </c>
      <c r="BX14" s="279">
        <v>0.73</v>
      </c>
      <c r="BY14" s="279">
        <v>0.73</v>
      </c>
      <c r="BZ14" s="279" t="s">
        <v>1576</v>
      </c>
      <c r="CA14" s="279">
        <v>0.54</v>
      </c>
      <c r="CB14" s="279">
        <v>0.54</v>
      </c>
      <c r="CC14" s="279" t="s">
        <v>2117</v>
      </c>
      <c r="CD14" s="279">
        <v>0.68</v>
      </c>
      <c r="CE14" s="279">
        <v>0.68</v>
      </c>
      <c r="CF14" s="279" t="s">
        <v>2118</v>
      </c>
      <c r="CG14" s="279">
        <v>0.71</v>
      </c>
      <c r="CH14" s="279">
        <v>0.71</v>
      </c>
      <c r="CI14" s="279" t="s">
        <v>2119</v>
      </c>
      <c r="CJ14" s="11" t="s">
        <v>246</v>
      </c>
      <c r="CK14" s="11" t="s">
        <v>566</v>
      </c>
    </row>
    <row r="15" spans="1:174" ht="75" x14ac:dyDescent="0.25">
      <c r="H15" s="401"/>
      <c r="M15" s="56" t="s">
        <v>161</v>
      </c>
      <c r="N15" s="67">
        <f>AVERAGE(N13:N14)</f>
        <v>0.05</v>
      </c>
      <c r="P15" s="56" t="s">
        <v>161</v>
      </c>
      <c r="Q15" s="67">
        <f>AVERAGE(Q13:Q14)</f>
        <v>0.13</v>
      </c>
      <c r="S15" s="56" t="s">
        <v>161</v>
      </c>
      <c r="T15" s="67">
        <f>AVERAGE(T13:T14)</f>
        <v>0.19</v>
      </c>
      <c r="V15" s="56" t="s">
        <v>161</v>
      </c>
      <c r="W15" s="67">
        <f>AVERAGE(W13:W14)</f>
        <v>0.22</v>
      </c>
      <c r="Y15" s="56" t="s">
        <v>161</v>
      </c>
      <c r="Z15" s="67">
        <f>AVERAGE(Z13:Z14)</f>
        <v>0.33</v>
      </c>
      <c r="AB15" s="56" t="s">
        <v>161</v>
      </c>
      <c r="AC15" s="67">
        <f>AVERAGE(AC13:AC14)</f>
        <v>0.42</v>
      </c>
      <c r="AE15" s="56" t="s">
        <v>161</v>
      </c>
      <c r="AF15" s="67">
        <f>AVERAGE(AF13:AF14)</f>
        <v>0.37</v>
      </c>
      <c r="AH15" s="56" t="s">
        <v>161</v>
      </c>
      <c r="AI15" s="67">
        <f>AVERAGE(AI13:AI14)</f>
        <v>0.65</v>
      </c>
      <c r="AK15" s="56" t="s">
        <v>161</v>
      </c>
      <c r="AL15" s="67">
        <f>AVERAGE(AL13:AL14)</f>
        <v>0.69</v>
      </c>
      <c r="AN15" s="56" t="s">
        <v>161</v>
      </c>
      <c r="AO15" s="67">
        <f>AVERAGE(AO13:AO14)</f>
        <v>0.56999999999999995</v>
      </c>
      <c r="AQ15" s="56" t="s">
        <v>161</v>
      </c>
      <c r="AR15" s="67">
        <f>AVERAGE(AR13:AR14)</f>
        <v>0.68</v>
      </c>
      <c r="AT15" s="56" t="s">
        <v>161</v>
      </c>
      <c r="AU15" s="67">
        <f>AVERAGE(AU13:AU14)</f>
        <v>0.88</v>
      </c>
      <c r="AZ15" s="56" t="s">
        <v>162</v>
      </c>
      <c r="BA15" s="67">
        <f>AVERAGE(BA13:BA14)</f>
        <v>0.08</v>
      </c>
      <c r="BC15" s="56" t="s">
        <v>162</v>
      </c>
      <c r="BD15" s="67">
        <f>AVERAGE(BD13:BD14)</f>
        <v>0.155</v>
      </c>
      <c r="BF15" s="56" t="s">
        <v>162</v>
      </c>
      <c r="BG15" s="67">
        <f>AVERAGE(BG13:BG14)</f>
        <v>0.22499999999999998</v>
      </c>
      <c r="BH15" s="292"/>
      <c r="BI15" s="56" t="s">
        <v>162</v>
      </c>
      <c r="BJ15" s="67">
        <f>AVERAGE(BJ13:BJ14)</f>
        <v>0.33500000000000002</v>
      </c>
      <c r="BL15" s="56" t="s">
        <v>162</v>
      </c>
      <c r="BM15" s="67">
        <f>AVERAGE(BM13:BM14)</f>
        <v>0.56999999999999995</v>
      </c>
      <c r="BO15" s="56" t="s">
        <v>162</v>
      </c>
      <c r="BP15" s="67">
        <f>AVERAGE(BP13:BP14)</f>
        <v>0.87</v>
      </c>
      <c r="BQ15" s="292"/>
      <c r="BR15" s="56" t="s">
        <v>162</v>
      </c>
      <c r="BS15" s="67">
        <f>AVERAGE(BS13:BS14)</f>
        <v>0.49</v>
      </c>
      <c r="BU15" s="56" t="s">
        <v>162</v>
      </c>
      <c r="BV15" s="67">
        <f>AVERAGE(BV13:BV14)</f>
        <v>0.67500000000000004</v>
      </c>
      <c r="BX15" s="56" t="s">
        <v>162</v>
      </c>
      <c r="BY15" s="67">
        <f>AVERAGE(BY13:BY14)</f>
        <v>0.68500000000000005</v>
      </c>
      <c r="BZ15" s="292"/>
      <c r="CA15" s="56" t="s">
        <v>162</v>
      </c>
      <c r="CB15" s="67">
        <f>AVERAGE(CB13:CB14)</f>
        <v>0.57000000000000006</v>
      </c>
      <c r="CD15" s="56" t="s">
        <v>162</v>
      </c>
      <c r="CE15" s="67">
        <f>AVERAGE(CE13:CE14)</f>
        <v>0.68</v>
      </c>
      <c r="CG15" s="56" t="s">
        <v>162</v>
      </c>
      <c r="CH15" s="67">
        <f>AVERAGE(CH13:CH14)</f>
        <v>0.875</v>
      </c>
      <c r="CI15" s="292"/>
      <c r="CJ15" s="292"/>
      <c r="CK15" s="292"/>
      <c r="FO15" s="296"/>
      <c r="FP15" s="296"/>
      <c r="FQ15" s="296"/>
      <c r="FR15" s="296"/>
    </row>
    <row r="16" spans="1:174" s="4" customFormat="1" ht="45" customHeight="1" x14ac:dyDescent="0.2">
      <c r="A16" s="265" t="s">
        <v>84</v>
      </c>
      <c r="B16" s="265" t="s">
        <v>85</v>
      </c>
      <c r="C16" s="268" t="s">
        <v>554</v>
      </c>
      <c r="D16" s="265" t="s">
        <v>8</v>
      </c>
      <c r="E16" s="263" t="s">
        <v>572</v>
      </c>
      <c r="F16" s="265" t="s">
        <v>88</v>
      </c>
      <c r="G16" s="265" t="s">
        <v>89</v>
      </c>
      <c r="H16" s="401"/>
      <c r="I16" s="271">
        <v>1620468881</v>
      </c>
      <c r="J16" s="265" t="s">
        <v>573</v>
      </c>
      <c r="K16" s="265" t="s">
        <v>574</v>
      </c>
      <c r="L16" s="272">
        <v>0.85</v>
      </c>
      <c r="M16" s="279">
        <v>1</v>
      </c>
      <c r="N16" s="60">
        <v>1.18</v>
      </c>
      <c r="O16" s="279" t="s">
        <v>575</v>
      </c>
      <c r="P16" s="279">
        <v>1</v>
      </c>
      <c r="Q16" s="60">
        <v>1.18</v>
      </c>
      <c r="R16" s="279" t="s">
        <v>576</v>
      </c>
      <c r="S16" s="279">
        <v>1</v>
      </c>
      <c r="T16" s="60">
        <v>1.18</v>
      </c>
      <c r="U16" s="279" t="s">
        <v>577</v>
      </c>
      <c r="V16" s="279">
        <v>1</v>
      </c>
      <c r="W16" s="60">
        <v>1.18</v>
      </c>
      <c r="X16" s="279" t="s">
        <v>1011</v>
      </c>
      <c r="Y16" s="279">
        <v>1</v>
      </c>
      <c r="Z16" s="60">
        <v>1.18</v>
      </c>
      <c r="AA16" s="279" t="s">
        <v>1012</v>
      </c>
      <c r="AB16" s="279">
        <v>1</v>
      </c>
      <c r="AC16" s="60">
        <v>1.18</v>
      </c>
      <c r="AD16" s="279" t="s">
        <v>1013</v>
      </c>
      <c r="AE16" s="279">
        <v>1</v>
      </c>
      <c r="AF16" s="60">
        <v>1.18</v>
      </c>
      <c r="AG16" s="279" t="s">
        <v>1577</v>
      </c>
      <c r="AH16" s="279">
        <v>1</v>
      </c>
      <c r="AI16" s="60">
        <v>1.18</v>
      </c>
      <c r="AJ16" s="279" t="s">
        <v>1578</v>
      </c>
      <c r="AK16" s="279">
        <v>1</v>
      </c>
      <c r="AL16" s="60">
        <v>1.18</v>
      </c>
      <c r="AM16" s="279" t="s">
        <v>1579</v>
      </c>
      <c r="AN16" s="279">
        <v>1</v>
      </c>
      <c r="AO16" s="60">
        <v>1.18</v>
      </c>
      <c r="AP16" s="279" t="s">
        <v>1577</v>
      </c>
      <c r="AQ16" s="279">
        <v>0.97</v>
      </c>
      <c r="AR16" s="60">
        <v>1.1399999999999999</v>
      </c>
      <c r="AS16" s="279" t="s">
        <v>1578</v>
      </c>
      <c r="AT16" s="279">
        <v>0.97</v>
      </c>
      <c r="AU16" s="60">
        <v>1.1399999999999999</v>
      </c>
      <c r="AV16" s="279" t="s">
        <v>1579</v>
      </c>
      <c r="AW16" s="368" t="s">
        <v>93</v>
      </c>
      <c r="AX16" s="368"/>
      <c r="AY16" s="368"/>
      <c r="AZ16" s="69"/>
      <c r="BA16" s="71"/>
      <c r="BB16" s="69"/>
      <c r="BC16" s="69"/>
      <c r="BD16" s="71"/>
      <c r="BE16" s="69"/>
      <c r="BF16" s="69"/>
      <c r="BG16" s="71"/>
      <c r="BH16" s="69"/>
      <c r="BI16" s="69"/>
      <c r="BJ16" s="71"/>
      <c r="BK16" s="69"/>
      <c r="BL16" s="69"/>
      <c r="BM16" s="71"/>
      <c r="BN16" s="69"/>
      <c r="BO16" s="69"/>
      <c r="BP16" s="71"/>
      <c r="BQ16" s="69"/>
      <c r="BR16" s="69"/>
      <c r="BS16" s="71"/>
      <c r="BT16" s="69"/>
      <c r="BU16" s="69"/>
      <c r="BV16" s="71"/>
      <c r="BW16" s="69"/>
      <c r="BX16" s="69"/>
      <c r="BY16" s="71"/>
      <c r="BZ16" s="69"/>
      <c r="CA16" s="69"/>
      <c r="CB16" s="71"/>
      <c r="CC16" s="69"/>
      <c r="CD16" s="69"/>
      <c r="CE16" s="71"/>
      <c r="CF16" s="69"/>
      <c r="CG16" s="69"/>
      <c r="CH16" s="71"/>
      <c r="CI16" s="69"/>
      <c r="CJ16" s="11" t="s">
        <v>159</v>
      </c>
      <c r="CK16" s="11" t="s">
        <v>544</v>
      </c>
    </row>
    <row r="17" spans="1:174" ht="75" x14ac:dyDescent="0.25">
      <c r="H17" s="401"/>
      <c r="M17" s="56" t="s">
        <v>161</v>
      </c>
      <c r="N17" s="67">
        <f>AVERAGE(N16)</f>
        <v>1.18</v>
      </c>
      <c r="P17" s="56" t="s">
        <v>161</v>
      </c>
      <c r="Q17" s="67">
        <f>AVERAGE(Q16)</f>
        <v>1.18</v>
      </c>
      <c r="S17" s="56" t="s">
        <v>161</v>
      </c>
      <c r="T17" s="67">
        <f>AVERAGE(T16)</f>
        <v>1.18</v>
      </c>
      <c r="V17" s="56" t="s">
        <v>161</v>
      </c>
      <c r="W17" s="67">
        <f>AVERAGE(W16)</f>
        <v>1.18</v>
      </c>
      <c r="Y17" s="56" t="s">
        <v>161</v>
      </c>
      <c r="Z17" s="67">
        <f>AVERAGE(Z16)</f>
        <v>1.18</v>
      </c>
      <c r="AB17" s="56" t="s">
        <v>161</v>
      </c>
      <c r="AC17" s="67">
        <f>AVERAGE(AC16)</f>
        <v>1.18</v>
      </c>
      <c r="AE17" s="56" t="s">
        <v>161</v>
      </c>
      <c r="AF17" s="67">
        <f>AVERAGE(AF16)</f>
        <v>1.18</v>
      </c>
      <c r="AH17" s="56" t="s">
        <v>161</v>
      </c>
      <c r="AI17" s="67">
        <f>AVERAGE(AI16)</f>
        <v>1.18</v>
      </c>
      <c r="AK17" s="56" t="s">
        <v>161</v>
      </c>
      <c r="AL17" s="67">
        <f>AVERAGE(AL16)</f>
        <v>1.18</v>
      </c>
      <c r="AN17" s="56" t="s">
        <v>161</v>
      </c>
      <c r="AO17" s="67">
        <f>AVERAGE(AO16)</f>
        <v>1.18</v>
      </c>
      <c r="AQ17" s="56" t="s">
        <v>161</v>
      </c>
      <c r="AR17" s="67">
        <f>AVERAGE(AR16)</f>
        <v>1.1399999999999999</v>
      </c>
      <c r="AT17" s="56" t="s">
        <v>161</v>
      </c>
      <c r="AU17" s="67">
        <f>AVERAGE(AU16)</f>
        <v>1.1399999999999999</v>
      </c>
      <c r="AZ17" s="56" t="s">
        <v>162</v>
      </c>
      <c r="BA17" s="67" t="s">
        <v>11</v>
      </c>
      <c r="BC17" s="56" t="s">
        <v>162</v>
      </c>
      <c r="BD17" s="67" t="s">
        <v>11</v>
      </c>
      <c r="BF17" s="56" t="s">
        <v>162</v>
      </c>
      <c r="BG17" s="67" t="s">
        <v>11</v>
      </c>
      <c r="BH17" s="292"/>
      <c r="BI17" s="56" t="s">
        <v>162</v>
      </c>
      <c r="BJ17" s="67" t="s">
        <v>11</v>
      </c>
      <c r="BL17" s="56" t="s">
        <v>162</v>
      </c>
      <c r="BM17" s="67" t="s">
        <v>11</v>
      </c>
      <c r="BO17" s="56" t="s">
        <v>162</v>
      </c>
      <c r="BP17" s="67" t="s">
        <v>11</v>
      </c>
      <c r="BQ17" s="292"/>
      <c r="BR17" s="56" t="s">
        <v>162</v>
      </c>
      <c r="BS17" s="67" t="s">
        <v>11</v>
      </c>
      <c r="BU17" s="56" t="s">
        <v>162</v>
      </c>
      <c r="BV17" s="67" t="s">
        <v>11</v>
      </c>
      <c r="BX17" s="56" t="s">
        <v>162</v>
      </c>
      <c r="BY17" s="67" t="s">
        <v>11</v>
      </c>
      <c r="BZ17" s="292"/>
      <c r="CA17" s="56" t="s">
        <v>162</v>
      </c>
      <c r="CB17" s="67" t="s">
        <v>11</v>
      </c>
      <c r="CD17" s="56" t="s">
        <v>162</v>
      </c>
      <c r="CE17" s="67" t="s">
        <v>11</v>
      </c>
      <c r="CG17" s="56" t="s">
        <v>162</v>
      </c>
      <c r="CH17" s="67" t="s">
        <v>11</v>
      </c>
      <c r="CI17" s="292"/>
      <c r="CJ17" s="292"/>
      <c r="CK17" s="292"/>
      <c r="FO17" s="296"/>
      <c r="FP17" s="296"/>
      <c r="FQ17" s="296"/>
      <c r="FR17" s="296"/>
    </row>
    <row r="18" spans="1:174" s="4" customFormat="1" ht="33.75" customHeight="1" x14ac:dyDescent="0.2">
      <c r="A18" s="368" t="s">
        <v>84</v>
      </c>
      <c r="B18" s="368" t="s">
        <v>85</v>
      </c>
      <c r="C18" s="393" t="s">
        <v>554</v>
      </c>
      <c r="D18" s="368" t="s">
        <v>8</v>
      </c>
      <c r="E18" s="373" t="s">
        <v>578</v>
      </c>
      <c r="F18" s="368" t="s">
        <v>88</v>
      </c>
      <c r="G18" s="368" t="s">
        <v>89</v>
      </c>
      <c r="H18" s="401"/>
      <c r="I18" s="13">
        <v>137448037</v>
      </c>
      <c r="J18" s="265" t="s">
        <v>579</v>
      </c>
      <c r="K18" s="14" t="s">
        <v>580</v>
      </c>
      <c r="L18" s="15">
        <v>2</v>
      </c>
      <c r="M18" s="279"/>
      <c r="N18" s="60"/>
      <c r="O18" s="279"/>
      <c r="P18" s="279"/>
      <c r="Q18" s="60"/>
      <c r="R18" s="279"/>
      <c r="S18" s="279"/>
      <c r="T18" s="60"/>
      <c r="U18" s="279"/>
      <c r="V18" s="279"/>
      <c r="W18" s="60"/>
      <c r="X18" s="279"/>
      <c r="Y18" s="279"/>
      <c r="Z18" s="60"/>
      <c r="AA18" s="279"/>
      <c r="AB18" s="77">
        <v>1</v>
      </c>
      <c r="AC18" s="60">
        <v>0.5</v>
      </c>
      <c r="AD18" s="279" t="s">
        <v>1014</v>
      </c>
      <c r="AE18" s="77">
        <v>1</v>
      </c>
      <c r="AF18" s="60">
        <v>0.5</v>
      </c>
      <c r="AG18" s="279" t="s">
        <v>1580</v>
      </c>
      <c r="AH18" s="77">
        <v>1</v>
      </c>
      <c r="AI18" s="60">
        <v>0.5</v>
      </c>
      <c r="AJ18" s="279" t="s">
        <v>1580</v>
      </c>
      <c r="AK18" s="77">
        <v>1</v>
      </c>
      <c r="AL18" s="60">
        <v>0.5</v>
      </c>
      <c r="AM18" s="279" t="s">
        <v>1580</v>
      </c>
      <c r="AN18" s="77">
        <v>1</v>
      </c>
      <c r="AO18" s="60">
        <v>0.5</v>
      </c>
      <c r="AP18" s="279" t="s">
        <v>1580</v>
      </c>
      <c r="AQ18" s="77">
        <v>1</v>
      </c>
      <c r="AR18" s="60">
        <v>0.5</v>
      </c>
      <c r="AS18" s="279" t="s">
        <v>1580</v>
      </c>
      <c r="AT18" s="77">
        <v>2</v>
      </c>
      <c r="AU18" s="60">
        <v>1</v>
      </c>
      <c r="AV18" s="279" t="s">
        <v>2120</v>
      </c>
      <c r="AW18" s="368" t="s">
        <v>93</v>
      </c>
      <c r="AX18" s="368"/>
      <c r="AY18" s="368"/>
      <c r="AZ18" s="69"/>
      <c r="BA18" s="71"/>
      <c r="BB18" s="69"/>
      <c r="BC18" s="69"/>
      <c r="BD18" s="71"/>
      <c r="BE18" s="69"/>
      <c r="BF18" s="69"/>
      <c r="BG18" s="71"/>
      <c r="BH18" s="69"/>
      <c r="BI18" s="69"/>
      <c r="BJ18" s="71"/>
      <c r="BK18" s="69"/>
      <c r="BL18" s="69"/>
      <c r="BM18" s="71"/>
      <c r="BN18" s="69"/>
      <c r="BO18" s="69"/>
      <c r="BP18" s="71"/>
      <c r="BQ18" s="69"/>
      <c r="BR18" s="69"/>
      <c r="BS18" s="71"/>
      <c r="BT18" s="69"/>
      <c r="BU18" s="69"/>
      <c r="BV18" s="71"/>
      <c r="BW18" s="69"/>
      <c r="BX18" s="69"/>
      <c r="BY18" s="71"/>
      <c r="BZ18" s="69"/>
      <c r="CA18" s="69"/>
      <c r="CB18" s="71"/>
      <c r="CC18" s="69"/>
      <c r="CD18" s="69"/>
      <c r="CE18" s="71"/>
      <c r="CF18" s="69"/>
      <c r="CG18" s="69"/>
      <c r="CH18" s="71"/>
      <c r="CI18" s="69"/>
      <c r="CJ18" s="11" t="s">
        <v>159</v>
      </c>
      <c r="CK18" s="11" t="s">
        <v>544</v>
      </c>
    </row>
    <row r="19" spans="1:174" s="4" customFormat="1" ht="33.75" customHeight="1" x14ac:dyDescent="0.2">
      <c r="A19" s="368"/>
      <c r="B19" s="368"/>
      <c r="C19" s="393" t="s">
        <v>554</v>
      </c>
      <c r="D19" s="368" t="s">
        <v>8</v>
      </c>
      <c r="E19" s="373" t="s">
        <v>555</v>
      </c>
      <c r="F19" s="368"/>
      <c r="G19" s="368"/>
      <c r="H19" s="375"/>
      <c r="I19" s="13">
        <v>122865919</v>
      </c>
      <c r="J19" s="265" t="s">
        <v>581</v>
      </c>
      <c r="K19" s="14" t="s">
        <v>582</v>
      </c>
      <c r="L19" s="272">
        <v>1</v>
      </c>
      <c r="M19" s="279">
        <v>0.87</v>
      </c>
      <c r="N19" s="60">
        <v>0.87</v>
      </c>
      <c r="O19" s="279" t="s">
        <v>583</v>
      </c>
      <c r="P19" s="279">
        <v>0.89</v>
      </c>
      <c r="Q19" s="60">
        <v>0.89</v>
      </c>
      <c r="R19" s="279" t="s">
        <v>584</v>
      </c>
      <c r="S19" s="279">
        <v>0.9</v>
      </c>
      <c r="T19" s="60">
        <v>0.9</v>
      </c>
      <c r="U19" s="279" t="s">
        <v>585</v>
      </c>
      <c r="V19" s="279">
        <v>0.92</v>
      </c>
      <c r="W19" s="60">
        <v>0.92</v>
      </c>
      <c r="X19" s="279" t="s">
        <v>1015</v>
      </c>
      <c r="Y19" s="279">
        <v>0.93</v>
      </c>
      <c r="Z19" s="60">
        <v>0.93</v>
      </c>
      <c r="AA19" s="279" t="s">
        <v>1016</v>
      </c>
      <c r="AB19" s="279">
        <v>0.94</v>
      </c>
      <c r="AC19" s="60">
        <v>0.94</v>
      </c>
      <c r="AD19" s="279"/>
      <c r="AE19" s="279">
        <v>0.95</v>
      </c>
      <c r="AF19" s="279">
        <v>0.95</v>
      </c>
      <c r="AG19" s="279" t="s">
        <v>1581</v>
      </c>
      <c r="AH19" s="279">
        <v>0.95</v>
      </c>
      <c r="AI19" s="279">
        <v>0.95</v>
      </c>
      <c r="AJ19" s="279" t="s">
        <v>1582</v>
      </c>
      <c r="AK19" s="279">
        <v>0.96</v>
      </c>
      <c r="AL19" s="60">
        <v>0.96</v>
      </c>
      <c r="AM19" s="279" t="s">
        <v>1583</v>
      </c>
      <c r="AN19" s="279">
        <v>0.97</v>
      </c>
      <c r="AO19" s="279">
        <v>0.97</v>
      </c>
      <c r="AP19" s="279" t="s">
        <v>2121</v>
      </c>
      <c r="AQ19" s="279">
        <v>0.97</v>
      </c>
      <c r="AR19" s="279">
        <v>0.97</v>
      </c>
      <c r="AS19" s="279" t="s">
        <v>2122</v>
      </c>
      <c r="AT19" s="279">
        <v>0.97</v>
      </c>
      <c r="AU19" s="60">
        <v>0.97</v>
      </c>
      <c r="AV19" s="279" t="s">
        <v>2123</v>
      </c>
      <c r="AW19" s="368" t="s">
        <v>93</v>
      </c>
      <c r="AX19" s="368"/>
      <c r="AY19" s="368"/>
      <c r="AZ19" s="69"/>
      <c r="BA19" s="71"/>
      <c r="BB19" s="69"/>
      <c r="BC19" s="69"/>
      <c r="BD19" s="71"/>
      <c r="BE19" s="69"/>
      <c r="BF19" s="69"/>
      <c r="BG19" s="71"/>
      <c r="BH19" s="69"/>
      <c r="BI19" s="69"/>
      <c r="BJ19" s="71"/>
      <c r="BK19" s="69"/>
      <c r="BL19" s="69"/>
      <c r="BM19" s="71"/>
      <c r="BN19" s="69"/>
      <c r="BO19" s="69"/>
      <c r="BP19" s="71"/>
      <c r="BQ19" s="69"/>
      <c r="BR19" s="69"/>
      <c r="BS19" s="71"/>
      <c r="BT19" s="69"/>
      <c r="BU19" s="69"/>
      <c r="BV19" s="71"/>
      <c r="BW19" s="69"/>
      <c r="BX19" s="69"/>
      <c r="BY19" s="71"/>
      <c r="BZ19" s="69"/>
      <c r="CA19" s="69"/>
      <c r="CB19" s="71"/>
      <c r="CC19" s="69"/>
      <c r="CD19" s="69"/>
      <c r="CE19" s="71"/>
      <c r="CF19" s="69"/>
      <c r="CG19" s="69"/>
      <c r="CH19" s="71"/>
      <c r="CI19" s="69"/>
      <c r="CJ19" s="11" t="s">
        <v>159</v>
      </c>
      <c r="CK19" s="11" t="s">
        <v>544</v>
      </c>
    </row>
    <row r="20" spans="1:174" ht="75" x14ac:dyDescent="0.25">
      <c r="M20" s="56" t="s">
        <v>161</v>
      </c>
      <c r="N20" s="67">
        <f>AVERAGE(N18:N19)</f>
        <v>0.87</v>
      </c>
      <c r="P20" s="56" t="s">
        <v>161</v>
      </c>
      <c r="Q20" s="67">
        <f>AVERAGE(Q18:Q19)</f>
        <v>0.89</v>
      </c>
      <c r="S20" s="56" t="s">
        <v>161</v>
      </c>
      <c r="T20" s="67">
        <f>AVERAGE(T18:T19)</f>
        <v>0.9</v>
      </c>
      <c r="V20" s="56" t="s">
        <v>161</v>
      </c>
      <c r="W20" s="67">
        <f>AVERAGE(W18:W19)</f>
        <v>0.92</v>
      </c>
      <c r="Y20" s="56" t="s">
        <v>161</v>
      </c>
      <c r="Z20" s="67">
        <f>AVERAGE(Z18:Z19)</f>
        <v>0.93</v>
      </c>
      <c r="AB20" s="56" t="s">
        <v>161</v>
      </c>
      <c r="AC20" s="67">
        <f>AVERAGE(AC18:AC19)</f>
        <v>0.72</v>
      </c>
      <c r="AE20" s="56" t="s">
        <v>161</v>
      </c>
      <c r="AF20" s="67">
        <f>AVERAGE(AF18:AF19)</f>
        <v>0.72499999999999998</v>
      </c>
      <c r="AH20" s="56" t="s">
        <v>161</v>
      </c>
      <c r="AI20" s="67">
        <f>AVERAGE(AI18:AI19)</f>
        <v>0.72499999999999998</v>
      </c>
      <c r="AK20" s="56" t="s">
        <v>161</v>
      </c>
      <c r="AL20" s="67">
        <f>AVERAGE(AL18:AL19)</f>
        <v>0.73</v>
      </c>
      <c r="AN20" s="56" t="s">
        <v>161</v>
      </c>
      <c r="AO20" s="67">
        <f>AVERAGE(AO18:AO19)</f>
        <v>0.73499999999999999</v>
      </c>
      <c r="AQ20" s="56" t="s">
        <v>161</v>
      </c>
      <c r="AR20" s="67">
        <f>AVERAGE(AR18:AR19)</f>
        <v>0.73499999999999999</v>
      </c>
      <c r="AT20" s="56" t="s">
        <v>161</v>
      </c>
      <c r="AU20" s="67">
        <f>AVERAGE(AU18:AU19)</f>
        <v>0.98499999999999999</v>
      </c>
      <c r="AZ20" s="56" t="s">
        <v>162</v>
      </c>
      <c r="BA20" s="67" t="s">
        <v>11</v>
      </c>
      <c r="BC20" s="56" t="s">
        <v>162</v>
      </c>
      <c r="BD20" s="67" t="s">
        <v>11</v>
      </c>
      <c r="BF20" s="56" t="s">
        <v>162</v>
      </c>
      <c r="BG20" s="67" t="s">
        <v>11</v>
      </c>
      <c r="BH20" s="292"/>
      <c r="BI20" s="56" t="s">
        <v>162</v>
      </c>
      <c r="BJ20" s="67" t="s">
        <v>11</v>
      </c>
      <c r="BL20" s="56" t="s">
        <v>162</v>
      </c>
      <c r="BM20" s="67" t="s">
        <v>11</v>
      </c>
      <c r="BO20" s="56" t="s">
        <v>162</v>
      </c>
      <c r="BP20" s="67" t="s">
        <v>11</v>
      </c>
      <c r="BQ20" s="292"/>
      <c r="BR20" s="56" t="s">
        <v>162</v>
      </c>
      <c r="BS20" s="67" t="s">
        <v>11</v>
      </c>
      <c r="BU20" s="56" t="s">
        <v>162</v>
      </c>
      <c r="BV20" s="67" t="s">
        <v>11</v>
      </c>
      <c r="BX20" s="56" t="s">
        <v>162</v>
      </c>
      <c r="BY20" s="67" t="s">
        <v>11</v>
      </c>
      <c r="BZ20" s="292"/>
      <c r="CA20" s="56" t="s">
        <v>162</v>
      </c>
      <c r="CB20" s="67" t="s">
        <v>11</v>
      </c>
      <c r="CD20" s="56" t="s">
        <v>162</v>
      </c>
      <c r="CE20" s="67" t="s">
        <v>11</v>
      </c>
      <c r="CG20" s="56" t="s">
        <v>162</v>
      </c>
      <c r="CH20" s="67" t="s">
        <v>11</v>
      </c>
      <c r="CI20" s="292"/>
      <c r="CJ20" s="292"/>
      <c r="CK20" s="292"/>
      <c r="FO20" s="296"/>
      <c r="FP20" s="296"/>
      <c r="FQ20" s="296"/>
      <c r="FR20" s="296"/>
    </row>
    <row r="21" spans="1:174" s="4" customFormat="1" ht="33.75" customHeight="1" x14ac:dyDescent="0.2">
      <c r="A21" s="297"/>
      <c r="B21" s="297"/>
      <c r="C21" s="117"/>
      <c r="D21" s="297"/>
      <c r="E21" s="117"/>
      <c r="F21" s="297"/>
      <c r="G21" s="297"/>
      <c r="H21" s="58"/>
      <c r="I21" s="58"/>
      <c r="J21" s="118"/>
      <c r="K21" s="118"/>
      <c r="L21" s="119"/>
      <c r="M21" s="59"/>
      <c r="N21" s="68"/>
      <c r="O21" s="59"/>
      <c r="P21" s="59"/>
      <c r="Q21" s="68"/>
      <c r="R21" s="59"/>
      <c r="S21" s="59"/>
      <c r="T21" s="68"/>
      <c r="U21" s="59"/>
      <c r="V21" s="59"/>
      <c r="W21" s="68"/>
      <c r="X21" s="59"/>
      <c r="Y21" s="59"/>
      <c r="Z21" s="68"/>
      <c r="AA21" s="59"/>
      <c r="AB21" s="59"/>
      <c r="AC21" s="68"/>
      <c r="AD21" s="59"/>
      <c r="AE21" s="59"/>
      <c r="AF21" s="68"/>
      <c r="AG21" s="59"/>
      <c r="AH21" s="59"/>
      <c r="AI21" s="68"/>
      <c r="AJ21" s="59"/>
      <c r="AK21" s="59"/>
      <c r="AL21" s="68"/>
      <c r="AM21" s="59"/>
      <c r="AN21" s="59"/>
      <c r="AO21" s="68"/>
      <c r="AP21" s="59"/>
      <c r="AQ21" s="59"/>
      <c r="AR21" s="68"/>
      <c r="AS21" s="59"/>
      <c r="AT21" s="59"/>
      <c r="AU21" s="68"/>
      <c r="AV21" s="59"/>
      <c r="AW21" s="120"/>
      <c r="AX21" s="120"/>
      <c r="AY21" s="119"/>
      <c r="AZ21" s="59"/>
      <c r="BA21" s="68"/>
      <c r="BB21" s="59"/>
      <c r="BC21" s="59"/>
      <c r="BD21" s="68"/>
      <c r="BE21" s="59"/>
      <c r="BF21" s="59"/>
      <c r="BG21" s="68"/>
      <c r="BH21" s="59"/>
      <c r="BI21" s="59"/>
      <c r="BJ21" s="68"/>
      <c r="BK21" s="59"/>
      <c r="BL21" s="59"/>
      <c r="BM21" s="68"/>
      <c r="BN21" s="59"/>
      <c r="BO21" s="59"/>
      <c r="BP21" s="68"/>
      <c r="BQ21" s="59"/>
      <c r="BR21" s="59"/>
      <c r="BS21" s="68"/>
      <c r="BT21" s="59"/>
      <c r="BU21" s="59"/>
      <c r="BV21" s="68"/>
      <c r="BW21" s="59"/>
      <c r="BX21" s="59"/>
      <c r="BY21" s="68"/>
      <c r="BZ21" s="59"/>
      <c r="CA21" s="59"/>
      <c r="CB21" s="68"/>
      <c r="CC21" s="59"/>
      <c r="CD21" s="59"/>
      <c r="CE21" s="68"/>
      <c r="CF21" s="59"/>
      <c r="CG21" s="59"/>
      <c r="CH21" s="68"/>
      <c r="CI21" s="59"/>
      <c r="CJ21" s="120"/>
      <c r="CK21" s="120"/>
    </row>
    <row r="22" spans="1:174" ht="75" x14ac:dyDescent="0.25">
      <c r="M22" s="56" t="s">
        <v>153</v>
      </c>
      <c r="N22" s="67">
        <f>AVERAGE(N12,N15,N17,N20)</f>
        <v>0.66</v>
      </c>
      <c r="P22" s="56" t="s">
        <v>153</v>
      </c>
      <c r="Q22" s="67">
        <f>AVERAGE(Q12,Q15,Q17,Q20)</f>
        <v>0.7</v>
      </c>
      <c r="S22" s="56" t="s">
        <v>153</v>
      </c>
      <c r="T22" s="67">
        <f>AVERAGE(T12,T15,T17,T20)</f>
        <v>0.72749999999999992</v>
      </c>
      <c r="V22" s="56" t="s">
        <v>153</v>
      </c>
      <c r="W22" s="67">
        <f>AVERAGE(W12,W15,W17,W20)</f>
        <v>0.75791970802919706</v>
      </c>
      <c r="Y22" s="56" t="s">
        <v>153</v>
      </c>
      <c r="Z22" s="67">
        <f>AVERAGE(Z12,Z15,Z17,Z20)</f>
        <v>0.80525547445255474</v>
      </c>
      <c r="AB22" s="56" t="s">
        <v>153</v>
      </c>
      <c r="AC22" s="67">
        <f>AVERAGE(AC12,AC15,AC17,AC20)</f>
        <v>0.79374999999999996</v>
      </c>
      <c r="AE22" s="56" t="s">
        <v>153</v>
      </c>
      <c r="AF22" s="67">
        <f>AVERAGE(AF12,AF15,AF17,AF20)</f>
        <v>0.79500000000000004</v>
      </c>
      <c r="AH22" s="56" t="s">
        <v>153</v>
      </c>
      <c r="AI22" s="67">
        <f>AVERAGE(AI12,AI15,AI17,AI20)</f>
        <v>0.85249999999999992</v>
      </c>
      <c r="AK22" s="56" t="s">
        <v>153</v>
      </c>
      <c r="AL22" s="67">
        <f>AVERAGE(AL12,AL15,AL17,AL20)</f>
        <v>0.87624999999999997</v>
      </c>
      <c r="AN22" s="56" t="s">
        <v>153</v>
      </c>
      <c r="AO22" s="67">
        <f>AVERAGE(AO12,AO15,AO17,AO20)</f>
        <v>0.88374999999999992</v>
      </c>
      <c r="AQ22" s="56" t="s">
        <v>153</v>
      </c>
      <c r="AR22" s="67">
        <f>AVERAGE(AR12,AR15,AR17,AR20)</f>
        <v>0.88875000000000004</v>
      </c>
      <c r="AT22" s="56" t="s">
        <v>153</v>
      </c>
      <c r="AU22" s="67">
        <f>AVERAGE(AU12,AU15,AU17,AU20)</f>
        <v>1.0125</v>
      </c>
      <c r="AZ22" s="56" t="s">
        <v>154</v>
      </c>
      <c r="BA22" s="67">
        <f>AVERAGE(BA20,BA17,BA15,BA12)</f>
        <v>8.4300000000000014E-2</v>
      </c>
      <c r="BC22" s="56" t="s">
        <v>154</v>
      </c>
      <c r="BD22" s="67">
        <f>AVERAGE(BD20,BD17,BD15,BD12)</f>
        <v>0.17250000000000001</v>
      </c>
      <c r="BF22" s="56" t="s">
        <v>154</v>
      </c>
      <c r="BG22" s="67">
        <f>AVERAGE(BG20,BG17,BG15,BG12)</f>
        <v>0.24583333333333332</v>
      </c>
      <c r="BH22" s="292"/>
      <c r="BI22" s="56" t="s">
        <v>154</v>
      </c>
      <c r="BJ22" s="67">
        <f>AVERAGE(BJ20,BJ17,BJ15,BJ12)</f>
        <v>0.36750000000000005</v>
      </c>
      <c r="BL22" s="56" t="s">
        <v>154</v>
      </c>
      <c r="BM22" s="67">
        <f>AVERAGE(BM20,BM17,BM15,BM12)</f>
        <v>0.55166666666666664</v>
      </c>
      <c r="BO22" s="56" t="s">
        <v>154</v>
      </c>
      <c r="BP22" s="67">
        <f>AVERAGE(BP20,BP17,BP15,BP12)</f>
        <v>0.78166666666666673</v>
      </c>
      <c r="BQ22" s="292"/>
      <c r="BR22" s="56" t="s">
        <v>154</v>
      </c>
      <c r="BS22" s="67">
        <f>AVERAGE(BS20,BS17,BS15,BS12)</f>
        <v>0.64</v>
      </c>
      <c r="BU22" s="56" t="s">
        <v>154</v>
      </c>
      <c r="BV22" s="67">
        <f>AVERAGE(BV20,BV17,BV15,BV12)</f>
        <v>0.69916666666666671</v>
      </c>
      <c r="BX22" s="56" t="s">
        <v>154</v>
      </c>
      <c r="BY22" s="67">
        <f>AVERAGE(BY20,BY17,BY15,BY12)</f>
        <v>0.75249999999999995</v>
      </c>
      <c r="BZ22" s="292"/>
      <c r="CA22" s="56" t="s">
        <v>154</v>
      </c>
      <c r="CB22" s="67">
        <f>AVERAGE(CB20,CB17,CB15,CB12)</f>
        <v>0.82166666666666666</v>
      </c>
      <c r="CD22" s="56" t="s">
        <v>154</v>
      </c>
      <c r="CE22" s="67">
        <f>AVERAGE(CE20,CE17,CE15,CE12)</f>
        <v>0.83666666666666667</v>
      </c>
      <c r="CG22" s="56" t="s">
        <v>154</v>
      </c>
      <c r="CH22" s="67">
        <f>AVERAGE(CH20,CH17,CH15,CH12)</f>
        <v>0.99083333333333334</v>
      </c>
      <c r="CI22" s="292"/>
      <c r="CJ22" s="292"/>
      <c r="CK22" s="292"/>
      <c r="FO22" s="296"/>
      <c r="FP22" s="296"/>
      <c r="FQ22" s="296"/>
      <c r="FR22" s="296"/>
    </row>
    <row r="23" spans="1:174" s="4" customFormat="1" ht="38.25" customHeight="1" x14ac:dyDescent="0.25">
      <c r="A23" s="296"/>
      <c r="B23" s="296"/>
      <c r="C23" s="5"/>
      <c r="D23" s="3"/>
      <c r="E23" s="17"/>
      <c r="F23" s="3"/>
      <c r="G23" s="3"/>
      <c r="H23" s="1"/>
      <c r="I23" s="1"/>
      <c r="J23" s="3"/>
      <c r="K23" s="3"/>
      <c r="L23" s="5"/>
      <c r="M23" s="3"/>
      <c r="N23" s="64"/>
      <c r="O23" s="5"/>
      <c r="P23" s="3"/>
      <c r="Q23" s="64"/>
      <c r="R23" s="5"/>
      <c r="S23" s="3"/>
      <c r="T23" s="64"/>
      <c r="U23" s="5"/>
      <c r="V23" s="3"/>
      <c r="W23" s="64"/>
      <c r="X23" s="5"/>
      <c r="Y23" s="3"/>
      <c r="Z23" s="64"/>
      <c r="AA23" s="5"/>
      <c r="AB23" s="3"/>
      <c r="AC23" s="64"/>
      <c r="AD23" s="5"/>
      <c r="AE23" s="3"/>
      <c r="AF23" s="64"/>
      <c r="AG23" s="5"/>
      <c r="AH23" s="3"/>
      <c r="AI23" s="64"/>
      <c r="AJ23" s="5"/>
      <c r="AK23" s="3"/>
      <c r="AL23" s="64"/>
      <c r="AM23" s="5"/>
      <c r="AN23" s="3"/>
      <c r="AO23" s="64"/>
      <c r="AP23" s="5"/>
      <c r="AQ23" s="3"/>
      <c r="AR23" s="64"/>
      <c r="AS23" s="5"/>
      <c r="AT23" s="3"/>
      <c r="AU23" s="64"/>
      <c r="AV23" s="5"/>
      <c r="AW23" s="2"/>
      <c r="AX23" s="2"/>
      <c r="AY23" s="298"/>
      <c r="AZ23" s="3"/>
      <c r="BA23" s="64"/>
      <c r="BB23" s="5"/>
      <c r="BC23" s="3"/>
      <c r="BD23" s="64"/>
      <c r="BE23" s="5"/>
      <c r="BF23" s="3"/>
      <c r="BG23" s="64"/>
      <c r="BH23" s="5"/>
      <c r="BI23" s="3"/>
      <c r="BJ23" s="64"/>
      <c r="BK23" s="5"/>
      <c r="BL23" s="3"/>
      <c r="BM23" s="64"/>
      <c r="BN23" s="5"/>
      <c r="BO23" s="3"/>
      <c r="BP23" s="64"/>
      <c r="BQ23" s="5"/>
      <c r="BR23" s="3"/>
      <c r="BS23" s="64"/>
      <c r="BT23" s="5"/>
      <c r="BU23" s="3"/>
      <c r="BV23" s="64"/>
      <c r="BW23" s="5"/>
      <c r="BX23" s="3"/>
      <c r="BY23" s="64"/>
      <c r="BZ23" s="5"/>
      <c r="CA23" s="3"/>
      <c r="CB23" s="64"/>
      <c r="CC23" s="5"/>
      <c r="CD23" s="3"/>
      <c r="CE23" s="64"/>
      <c r="CF23" s="5"/>
      <c r="CG23" s="3"/>
      <c r="CH23" s="64"/>
      <c r="CI23" s="5"/>
      <c r="CJ23" s="10"/>
      <c r="CK23" s="10"/>
    </row>
    <row r="24" spans="1:174" ht="38.25" customHeight="1" x14ac:dyDescent="0.25">
      <c r="C24" s="5"/>
      <c r="E24" s="17"/>
    </row>
    <row r="25" spans="1:174" ht="38.25" customHeight="1" x14ac:dyDescent="0.25">
      <c r="A25" s="296" t="s">
        <v>273</v>
      </c>
    </row>
  </sheetData>
  <autoFilter ref="A7:CJ25" xr:uid="{00000000-0009-0000-0000-000008000000}"/>
  <mergeCells count="135">
    <mergeCell ref="P6:R6"/>
    <mergeCell ref="CD6:CF6"/>
    <mergeCell ref="CG6:CI6"/>
    <mergeCell ref="CJ6:CK6"/>
    <mergeCell ref="BC6:BE6"/>
    <mergeCell ref="BF6:BH6"/>
    <mergeCell ref="BI6:BK6"/>
    <mergeCell ref="BL6:BN6"/>
    <mergeCell ref="BO6:BQ6"/>
    <mergeCell ref="BR6:BT6"/>
    <mergeCell ref="A8:A11"/>
    <mergeCell ref="B8:B11"/>
    <mergeCell ref="C8:C11"/>
    <mergeCell ref="D8:D11"/>
    <mergeCell ref="E8:E11"/>
    <mergeCell ref="BU6:BW6"/>
    <mergeCell ref="BX6:BZ6"/>
    <mergeCell ref="CA6:CC6"/>
    <mergeCell ref="AK6:AM6"/>
    <mergeCell ref="AN6:AP6"/>
    <mergeCell ref="AQ6:AS6"/>
    <mergeCell ref="AT6:AV6"/>
    <mergeCell ref="AW6:AY6"/>
    <mergeCell ref="AZ6:BB6"/>
    <mergeCell ref="S6:U6"/>
    <mergeCell ref="V6:X6"/>
    <mergeCell ref="Y6:AA6"/>
    <mergeCell ref="AB6:AD6"/>
    <mergeCell ref="AE6:AG6"/>
    <mergeCell ref="AH6:AJ6"/>
    <mergeCell ref="D6:E6"/>
    <mergeCell ref="F6:I6"/>
    <mergeCell ref="J6:L6"/>
    <mergeCell ref="M6:O6"/>
    <mergeCell ref="F8:F11"/>
    <mergeCell ref="G8:G11"/>
    <mergeCell ref="H8:H19"/>
    <mergeCell ref="I8:I10"/>
    <mergeCell ref="J8:J10"/>
    <mergeCell ref="K8:K10"/>
    <mergeCell ref="I13:I14"/>
    <mergeCell ref="J13:J14"/>
    <mergeCell ref="K13:K14"/>
    <mergeCell ref="R8:R10"/>
    <mergeCell ref="S8:S10"/>
    <mergeCell ref="T8:T10"/>
    <mergeCell ref="U8:U10"/>
    <mergeCell ref="V8:V10"/>
    <mergeCell ref="W8:W10"/>
    <mergeCell ref="L8:L10"/>
    <mergeCell ref="M8:M10"/>
    <mergeCell ref="N8:N10"/>
    <mergeCell ref="O8:O10"/>
    <mergeCell ref="P8:P10"/>
    <mergeCell ref="Q8:Q10"/>
    <mergeCell ref="AG8:AG10"/>
    <mergeCell ref="AH8:AH10"/>
    <mergeCell ref="AI8:AI10"/>
    <mergeCell ref="X8:X10"/>
    <mergeCell ref="Y8:Y10"/>
    <mergeCell ref="Z8:Z10"/>
    <mergeCell ref="AA8:AA10"/>
    <mergeCell ref="AB8:AB10"/>
    <mergeCell ref="AC8:AC10"/>
    <mergeCell ref="AV8:AV10"/>
    <mergeCell ref="AW11:AY11"/>
    <mergeCell ref="A13:A14"/>
    <mergeCell ref="B13:B14"/>
    <mergeCell ref="C13:C14"/>
    <mergeCell ref="D13:D14"/>
    <mergeCell ref="E13:E14"/>
    <mergeCell ref="F13:F14"/>
    <mergeCell ref="G13:G14"/>
    <mergeCell ref="AP8:AP10"/>
    <mergeCell ref="AQ8:AQ10"/>
    <mergeCell ref="AR8:AR10"/>
    <mergeCell ref="AS8:AS10"/>
    <mergeCell ref="AT8:AT10"/>
    <mergeCell ref="AU8:AU10"/>
    <mergeCell ref="AJ8:AJ10"/>
    <mergeCell ref="AK8:AK10"/>
    <mergeCell ref="AL8:AL10"/>
    <mergeCell ref="AM8:AM10"/>
    <mergeCell ref="AN8:AN10"/>
    <mergeCell ref="AO8:AO10"/>
    <mergeCell ref="AD8:AD10"/>
    <mergeCell ref="AE8:AE10"/>
    <mergeCell ref="AF8:AF10"/>
    <mergeCell ref="R13:R14"/>
    <mergeCell ref="S13:S14"/>
    <mergeCell ref="T13:T14"/>
    <mergeCell ref="U13:U14"/>
    <mergeCell ref="V13:V14"/>
    <mergeCell ref="W13:W14"/>
    <mergeCell ref="L13:L14"/>
    <mergeCell ref="M13:M14"/>
    <mergeCell ref="N13:N14"/>
    <mergeCell ref="O13:O14"/>
    <mergeCell ref="P13:P14"/>
    <mergeCell ref="Q13:Q14"/>
    <mergeCell ref="AE13:AE14"/>
    <mergeCell ref="AF13:AF14"/>
    <mergeCell ref="AG13:AG14"/>
    <mergeCell ref="AH13:AH14"/>
    <mergeCell ref="AI13:AI14"/>
    <mergeCell ref="X13:X14"/>
    <mergeCell ref="Y13:Y14"/>
    <mergeCell ref="Z13:Z14"/>
    <mergeCell ref="AA13:AA14"/>
    <mergeCell ref="AB13:AB14"/>
    <mergeCell ref="AC13:AC14"/>
    <mergeCell ref="AW18:AY18"/>
    <mergeCell ref="AW19:AY19"/>
    <mergeCell ref="AV13:AV14"/>
    <mergeCell ref="AW16:AY16"/>
    <mergeCell ref="A18:A19"/>
    <mergeCell ref="B18:B19"/>
    <mergeCell ref="C18:C19"/>
    <mergeCell ref="D18:D19"/>
    <mergeCell ref="E18:E19"/>
    <mergeCell ref="F18:F19"/>
    <mergeCell ref="G18:G19"/>
    <mergeCell ref="AP13:AP14"/>
    <mergeCell ref="AQ13:AQ14"/>
    <mergeCell ref="AR13:AR14"/>
    <mergeCell ref="AS13:AS14"/>
    <mergeCell ref="AT13:AT14"/>
    <mergeCell ref="AU13:AU14"/>
    <mergeCell ref="AJ13:AJ14"/>
    <mergeCell ref="AK13:AK14"/>
    <mergeCell ref="AL13:AL14"/>
    <mergeCell ref="AM13:AM14"/>
    <mergeCell ref="AN13:AN14"/>
    <mergeCell ref="AO13:AO14"/>
    <mergeCell ref="AD13:AD14"/>
  </mergeCells>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CONSOLIDADO ANLA REESTRUCTURA</vt:lpstr>
      <vt:lpstr>DIRECCIÓN GENERAL</vt:lpstr>
      <vt:lpstr>OAP</vt:lpstr>
      <vt:lpstr>OTI</vt:lpstr>
      <vt:lpstr>COMUNICACIONES</vt:lpstr>
      <vt:lpstr>SIPTA</vt:lpstr>
      <vt:lpstr>SELA</vt:lpstr>
      <vt:lpstr>SSLA</vt:lpstr>
      <vt:lpstr>OAJ</vt:lpstr>
      <vt:lpstr>SMPCA</vt:lpstr>
      <vt:lpstr>SAF</vt:lpstr>
      <vt:lpstr>OCI</vt:lpstr>
      <vt:lpstr>OCDI</vt:lpstr>
      <vt:lpstr>OCI!_FilterDatabase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Jazmin Torres Rodríguez</dc:creator>
  <cp:keywords/>
  <dc:description/>
  <cp:lastModifiedBy>JAZMIN</cp:lastModifiedBy>
  <cp:revision/>
  <dcterms:created xsi:type="dcterms:W3CDTF">2020-12-23T23:16:56Z</dcterms:created>
  <dcterms:modified xsi:type="dcterms:W3CDTF">2022-04-05T01:45:05Z</dcterms:modified>
  <cp:category/>
  <cp:contentStatus/>
</cp:coreProperties>
</file>