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JAZMIN\Downloads\"/>
    </mc:Choice>
  </mc:AlternateContent>
  <xr:revisionPtr revIDLastSave="0" documentId="13_ncr:1_{17A28519-85B5-4B3A-9C33-8DC102F6F282}" xr6:coauthVersionLast="47" xr6:coauthVersionMax="47" xr10:uidLastSave="{00000000-0000-0000-0000-000000000000}"/>
  <bookViews>
    <workbookView xWindow="-120" yWindow="-120" windowWidth="20730" windowHeight="11160" tabRatio="855" activeTab="12" xr2:uid="{00000000-000D-0000-FFFF-FFFF00000000}"/>
  </bookViews>
  <sheets>
    <sheet name="CONSOLIDADO ANLA" sheetId="20" r:id="rId1"/>
    <sheet name="DIRECCIÓN GENERAL" sheetId="12" r:id="rId2"/>
    <sheet name="OAP" sheetId="3" r:id="rId3"/>
    <sheet name="OTI" sheetId="15" r:id="rId4"/>
    <sheet name="COMUNICACIONES" sheetId="21" r:id="rId5"/>
    <sheet name="SIPTA" sheetId="6" r:id="rId6"/>
    <sheet name="SELA" sheetId="8" r:id="rId7"/>
    <sheet name="SSLA" sheetId="16" r:id="rId8"/>
    <sheet name="OAJ" sheetId="17" r:id="rId9"/>
    <sheet name="SAF" sheetId="5" r:id="rId10"/>
    <sheet name="SMPCA" sheetId="18" r:id="rId11"/>
    <sheet name="OCDI" sheetId="13" r:id="rId12"/>
    <sheet name="OCI" sheetId="19"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4" hidden="1">COMUNICACIONES!$A$7:$AZ$14</definedName>
    <definedName name="_xlnm._FilterDatabase" localSheetId="1" hidden="1">'DIRECCIÓN GENERAL'!$A$7:$AE$13</definedName>
    <definedName name="_xlnm._FilterDatabase" localSheetId="8" hidden="1">OAJ!$A$7:$AZ$25</definedName>
    <definedName name="_xlnm._FilterDatabase" localSheetId="2" hidden="1">OAP!$A$7:$AZ$18</definedName>
    <definedName name="_xlnm._FilterDatabase" localSheetId="11" hidden="1">OCDI!$A$7:$AZ$15</definedName>
    <definedName name="_xlnm._FilterDatabase" localSheetId="12">OCI!$A$7:$AR$10</definedName>
    <definedName name="_xlnm._FilterDatabase" localSheetId="3" hidden="1">OTI!$A$7:$AZ$31</definedName>
    <definedName name="_xlnm._FilterDatabase" localSheetId="9" hidden="1">SAF!$A$7:$AZ$41</definedName>
    <definedName name="_xlnm._FilterDatabase" localSheetId="6" hidden="1">SELA!$A$7:$AZ$57</definedName>
    <definedName name="_xlnm._FilterDatabase" localSheetId="5" hidden="1">SIPTA!$A$7:$AZ$34</definedName>
    <definedName name="_xlnm._FilterDatabase" localSheetId="10" hidden="1">SMPCA!$A$7:$AZ$31</definedName>
    <definedName name="_xlnm._FilterDatabase" localSheetId="7" hidden="1">SSLA!$A$7:$AZ$53</definedName>
    <definedName name="DepartamentoConsulta" localSheetId="4">#REF!</definedName>
    <definedName name="DepartamentoConsulta" localSheetId="0">#REF!</definedName>
    <definedName name="DepartamentoConsulta">#REF!</definedName>
    <definedName name="DeptoConsulta" localSheetId="4">#REF!</definedName>
    <definedName name="DeptoConsulta" localSheetId="0">#REF!</definedName>
    <definedName name="DeptoConsulta">#REF!</definedName>
    <definedName name="FactorSemanas">[1]Parametros!$G$5</definedName>
    <definedName name="FechaCierre" localSheetId="4">'[2]Registro Control Tiempos'!$C$9</definedName>
    <definedName name="FechaCierre">'[3]Registro Control Tiempos'!$C$9</definedName>
    <definedName name="FechaCorte" localSheetId="4">'[2]Registro Control Tiempos'!$C$7</definedName>
    <definedName name="FechaCorte">'[3]Registro Control Tiempos'!$C$7</definedName>
    <definedName name="FechaCorteModificacion" localSheetId="4">#REF!</definedName>
    <definedName name="FechaCorteModificacion" localSheetId="0">#REF!</definedName>
    <definedName name="FechaCorteModificacion">#REF!</definedName>
    <definedName name="festivos">[1]!Tabla4[TabDiasFestivos]</definedName>
    <definedName name="G" localSheetId="4">#REF!</definedName>
    <definedName name="G" localSheetId="0">#REF!</definedName>
    <definedName name="G">#REF!</definedName>
    <definedName name="Instrumentos" localSheetId="4">[4]Parametros!$F$11:$F$19</definedName>
    <definedName name="Instrumentos" localSheetId="0">[4]Parametros!$F$11:$F$19</definedName>
    <definedName name="Instrumentos">[5]Parametros!$F$11:$F$19</definedName>
    <definedName name="intrumento">[6]!TabInstrumentos[Instrumentos]</definedName>
    <definedName name="Mesfinal">[1]Parametros!$H$2</definedName>
    <definedName name="MesInicial">[1]Parametros!$G$2</definedName>
    <definedName name="MetaAnual" localSheetId="4">#REF!</definedName>
    <definedName name="MetaAnual" localSheetId="0">#REF!</definedName>
    <definedName name="MetaAnual">#REF!</definedName>
    <definedName name="MetaAnualIE">'[1]Indicador estrategico'!$AV$5</definedName>
    <definedName name="NativeTimeline_Fecha_Auto_Administrativo_Respuesta">#N/A</definedName>
    <definedName name="NombreContratista">[6]!TabRevisores[NOMBRE]</definedName>
    <definedName name="NormasAplicables" localSheetId="4">[7]Parametros!$BI$15:$BI$19</definedName>
    <definedName name="NormasAplicables" localSheetId="0">[7]Parametros!$BI$15:$BI$19</definedName>
    <definedName name="NormasAplicables">[6]Parametros!$BI$15:$BI$19</definedName>
    <definedName name="NotaAutoInicio" localSheetId="4">#REF!</definedName>
    <definedName name="NotaAutoInicio" localSheetId="0">#REF!</definedName>
    <definedName name="NotaAutoInicio">#REF!</definedName>
    <definedName name="pend" localSheetId="4">[8]Pendientes!$B$49:$E$49</definedName>
    <definedName name="pend">[9]Pendientes!$B$49:$E$49</definedName>
    <definedName name="PerfilActivo" localSheetId="4">#REF!</definedName>
    <definedName name="PerfilActivo" localSheetId="0">#REF!</definedName>
    <definedName name="PerfilActivo">#REF!</definedName>
    <definedName name="ProyectoConsulta" localSheetId="4">#REF!</definedName>
    <definedName name="ProyectoConsulta" localSheetId="0">#REF!</definedName>
    <definedName name="ProyectoConsulta">#REF!</definedName>
    <definedName name="RangoConsulta" localSheetId="4">'[2]Registro Control Tiempos'!#REF!</definedName>
    <definedName name="RangoConsulta" localSheetId="0">'[3]Registro Control Tiempos'!#REF!</definedName>
    <definedName name="RangoConsulta">'[3]Registro Control Tiempos'!#REF!</definedName>
    <definedName name="RegistroConsulta" localSheetId="4">#REF!</definedName>
    <definedName name="RegistroConsulta" localSheetId="0">#REF!</definedName>
    <definedName name="RegistroConsulta">#REF!</definedName>
    <definedName name="Sector" localSheetId="4">[10]Parametros!$N$11:$N$17</definedName>
    <definedName name="Sector">[11]Parametros!$N$11:$N$17</definedName>
    <definedName name="SectorAConsultar" localSheetId="4">#REF!</definedName>
    <definedName name="SectorAConsultar" localSheetId="0">#REF!</definedName>
    <definedName name="SectorAConsultar">#REF!</definedName>
    <definedName name="SectorConsultar">'[1]Indicador estrategico'!$I$2</definedName>
    <definedName name="SectorEstadisticas" localSheetId="4">#REF!</definedName>
    <definedName name="SectorEstadisticas" localSheetId="0">#REF!</definedName>
    <definedName name="SectorEstadisticas">#REF!</definedName>
    <definedName name="SectorTiempo" localSheetId="4">Ind Tiempos [12]Sectorial!$E$9</definedName>
    <definedName name="SectorTiempo" localSheetId="0">Ind Tiempos [12]Sectorial!$E$9</definedName>
    <definedName name="SectorTiempo">Ind Tiempos [12]Sectorial!$E$9</definedName>
    <definedName name="SiNo" localSheetId="4">[13]Parametros!$BI$12:$BI$13</definedName>
    <definedName name="SiNo" localSheetId="0">[13]Parametros!$BI$12:$BI$13</definedName>
    <definedName name="SiNo">[14]Parametros!$BI$12:$BI$13</definedName>
    <definedName name="ss">[6]!TabInstrumentos[Instrumentos]</definedName>
    <definedName name="TabDiasFestivos">[1]!Tabla4[TabDiasFestivos]</definedName>
    <definedName name="TabSabadoDomingo">[6]!SabadosDomingos[SabadosDomingos]</definedName>
    <definedName name="TipoActoAdministrativo" localSheetId="4">[15]Parametros!$T$11:$T$13</definedName>
    <definedName name="TipoActoAdministrativo">[16]Parametros!$T$11:$T$13</definedName>
    <definedName name="TipoDecision" localSheetId="4">[17]Parametros!$V$11:$V$18</definedName>
    <definedName name="TipoDecision">[18]Parametros!$V$11:$V$18</definedName>
    <definedName name="TipoRegistro" localSheetId="4">[19]Parametros!$L$11:$L$13</definedName>
    <definedName name="TipoRegistro" localSheetId="0">[19]Parametros!$L$11:$L$13</definedName>
    <definedName name="TipoRegistro">[20]Parametros!$L$11:$L$13</definedName>
    <definedName name="TipoSuspension">[1]Parametros!$R$11:$R$14</definedName>
    <definedName name="TipoTramite">[1]Parametros!$AB$11:$AB$13</definedName>
    <definedName name="UsuarioActivo" localSheetId="4">#REF!</definedName>
    <definedName name="UsuarioActivo" localSheetId="0">#REF!</definedName>
    <definedName name="UsuarioActivo">#REF!</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U41" i="16" l="1"/>
  <c r="AU31" i="16"/>
  <c r="AU25" i="16"/>
  <c r="AU19" i="16"/>
  <c r="AU13" i="16"/>
  <c r="AR19" i="16" l="1"/>
  <c r="AR13" i="16"/>
  <c r="AR41" i="16"/>
  <c r="AR31" i="16"/>
  <c r="AR25" i="16"/>
  <c r="AX48" i="16" l="1"/>
  <c r="AU48" i="16"/>
  <c r="AR48" i="16"/>
  <c r="AX41" i="16"/>
  <c r="AX34" i="16"/>
  <c r="AU34" i="16"/>
  <c r="AR34" i="16"/>
  <c r="AX31" i="16"/>
  <c r="AX25" i="16"/>
  <c r="AX19" i="16"/>
  <c r="AX13" i="16"/>
  <c r="AC48" i="16"/>
  <c r="Z48" i="16"/>
  <c r="W48" i="16"/>
  <c r="AC41" i="16"/>
  <c r="Z41" i="16"/>
  <c r="W41" i="16"/>
  <c r="Z34" i="16"/>
  <c r="AC34" i="16"/>
  <c r="W34" i="16"/>
  <c r="AC31" i="16"/>
  <c r="Z31" i="16"/>
  <c r="W31" i="16"/>
  <c r="AC25" i="16"/>
  <c r="Z25" i="16"/>
  <c r="W25" i="16"/>
  <c r="Z19" i="16"/>
  <c r="AC19" i="16"/>
  <c r="W19" i="16"/>
  <c r="AC13" i="16"/>
  <c r="Z13" i="16"/>
  <c r="W13" i="16"/>
  <c r="AX50" i="16" l="1"/>
  <c r="AC50" i="16"/>
  <c r="Z50" i="16"/>
  <c r="AR50" i="16"/>
  <c r="W50" i="16"/>
  <c r="AU50" i="16"/>
  <c r="AX27" i="15"/>
  <c r="AU27" i="15"/>
  <c r="AR27" i="15"/>
  <c r="AX14" i="15"/>
  <c r="AX29" i="15" s="1"/>
  <c r="AU14" i="15"/>
  <c r="AR14" i="15"/>
  <c r="AC27" i="15"/>
  <c r="Z27" i="15"/>
  <c r="W27" i="15"/>
  <c r="AC14" i="15"/>
  <c r="Z14" i="15"/>
  <c r="W14" i="15"/>
  <c r="W29" i="15" s="1"/>
  <c r="Z49" i="20"/>
  <c r="Y49" i="20"/>
  <c r="X49" i="20"/>
  <c r="W49" i="20"/>
  <c r="V49" i="20"/>
  <c r="U49" i="20"/>
  <c r="T49" i="20"/>
  <c r="S49" i="20"/>
  <c r="R49" i="20"/>
  <c r="Q49" i="20"/>
  <c r="P49" i="20"/>
  <c r="O49" i="20"/>
  <c r="M49" i="20"/>
  <c r="N47" i="20"/>
  <c r="N49" i="20" s="1"/>
  <c r="M47" i="20"/>
  <c r="L47" i="20"/>
  <c r="L49" i="20" s="1"/>
  <c r="K47" i="20"/>
  <c r="K49" i="20" s="1"/>
  <c r="J47" i="20"/>
  <c r="J49" i="20" s="1"/>
  <c r="I47" i="20"/>
  <c r="I49" i="20" s="1"/>
  <c r="H47" i="20"/>
  <c r="G47" i="20"/>
  <c r="F47" i="20"/>
  <c r="E47" i="20"/>
  <c r="D47" i="20"/>
  <c r="D49" i="20" s="1"/>
  <c r="C47" i="20"/>
  <c r="C49" i="20" s="1"/>
  <c r="D42" i="20"/>
  <c r="C42" i="20"/>
  <c r="H34" i="20"/>
  <c r="H49" i="20" s="1"/>
  <c r="G34" i="20"/>
  <c r="G49" i="20" s="1"/>
  <c r="F34" i="20"/>
  <c r="E34" i="20"/>
  <c r="E49" i="20" s="1"/>
  <c r="D34" i="20"/>
  <c r="C34" i="20"/>
  <c r="F15" i="20"/>
  <c r="F49" i="20" s="1"/>
  <c r="D15" i="20"/>
  <c r="C15" i="20"/>
  <c r="AZ11" i="19"/>
  <c r="AW11" i="19"/>
  <c r="AT11" i="19"/>
  <c r="AQ11" i="19"/>
  <c r="AN11" i="19"/>
  <c r="AK11" i="19"/>
  <c r="AE11" i="19"/>
  <c r="AB11" i="19"/>
  <c r="Y11" i="19"/>
  <c r="V11" i="19"/>
  <c r="S11" i="19"/>
  <c r="P11" i="19"/>
  <c r="AX26" i="18"/>
  <c r="AU26" i="18"/>
  <c r="AR26" i="18"/>
  <c r="AO26" i="18"/>
  <c r="AL26" i="18"/>
  <c r="AI26" i="18"/>
  <c r="AC26" i="18"/>
  <c r="Z26" i="18"/>
  <c r="W26" i="18"/>
  <c r="T26" i="18"/>
  <c r="Q26" i="18"/>
  <c r="N26" i="18"/>
  <c r="AX19" i="18"/>
  <c r="AO19" i="18"/>
  <c r="AC17" i="18"/>
  <c r="AC28" i="18" s="1"/>
  <c r="Z17" i="18"/>
  <c r="Z28" i="18" s="1"/>
  <c r="W17" i="18"/>
  <c r="W28" i="18" s="1"/>
  <c r="T17" i="18"/>
  <c r="T28" i="18" s="1"/>
  <c r="Q17" i="18"/>
  <c r="Q28" i="18" s="1"/>
  <c r="N17" i="18"/>
  <c r="N28" i="18" s="1"/>
  <c r="AX14" i="18"/>
  <c r="AX28" i="18" s="1"/>
  <c r="AU14" i="18"/>
  <c r="AU28" i="18" s="1"/>
  <c r="AR14" i="18"/>
  <c r="AR28" i="18" s="1"/>
  <c r="AO14" i="18"/>
  <c r="AL14" i="18"/>
  <c r="AL28" i="18" s="1"/>
  <c r="AI14" i="18"/>
  <c r="AC20" i="17"/>
  <c r="Z20" i="17"/>
  <c r="W20" i="17"/>
  <c r="T20" i="17"/>
  <c r="Q20" i="17"/>
  <c r="N20" i="17"/>
  <c r="AC17" i="17"/>
  <c r="Z17" i="17"/>
  <c r="W17" i="17"/>
  <c r="T17" i="17"/>
  <c r="Q17" i="17"/>
  <c r="N17" i="17"/>
  <c r="AX15" i="17"/>
  <c r="AU15" i="17"/>
  <c r="AR15" i="17"/>
  <c r="AO15" i="17"/>
  <c r="AL15" i="17"/>
  <c r="AI15" i="17"/>
  <c r="AC15" i="17"/>
  <c r="Z15" i="17"/>
  <c r="W15" i="17"/>
  <c r="T15" i="17"/>
  <c r="Q15" i="17"/>
  <c r="N15" i="17"/>
  <c r="AX12" i="17"/>
  <c r="AX22" i="17" s="1"/>
  <c r="AU12" i="17"/>
  <c r="AU22" i="17" s="1"/>
  <c r="AR12" i="17"/>
  <c r="AR22" i="17" s="1"/>
  <c r="AO12" i="17"/>
  <c r="AO22" i="17" s="1"/>
  <c r="AL12" i="17"/>
  <c r="AL22" i="17" s="1"/>
  <c r="AI12" i="17"/>
  <c r="AI22" i="17" s="1"/>
  <c r="AC12" i="17"/>
  <c r="AC22" i="17" s="1"/>
  <c r="Z12" i="17"/>
  <c r="W12" i="17"/>
  <c r="W22" i="17" s="1"/>
  <c r="T12" i="17"/>
  <c r="Q12" i="17"/>
  <c r="Q22" i="17" s="1"/>
  <c r="N12" i="17"/>
  <c r="N22" i="17" s="1"/>
  <c r="AX31" i="5"/>
  <c r="AU31" i="5"/>
  <c r="AR31" i="5"/>
  <c r="AX25" i="5"/>
  <c r="AU25" i="5"/>
  <c r="AR25" i="5"/>
  <c r="AR22" i="5"/>
  <c r="AX22" i="5"/>
  <c r="AU22" i="5"/>
  <c r="AX17" i="5"/>
  <c r="AU17" i="5"/>
  <c r="AU38" i="5" s="1"/>
  <c r="AR17" i="5"/>
  <c r="AR38" i="5" s="1"/>
  <c r="Z38" i="5"/>
  <c r="AC36" i="5"/>
  <c r="Z36" i="5"/>
  <c r="W36" i="5"/>
  <c r="AC33" i="5"/>
  <c r="Z33" i="5"/>
  <c r="W33" i="5"/>
  <c r="AC31" i="5"/>
  <c r="Z31" i="5"/>
  <c r="W31" i="5"/>
  <c r="AC25" i="5"/>
  <c r="AC38" i="5" s="1"/>
  <c r="Z25" i="5"/>
  <c r="W25" i="5"/>
  <c r="AC22" i="5"/>
  <c r="Z22" i="5"/>
  <c r="W22" i="5"/>
  <c r="AC17" i="5"/>
  <c r="Z17" i="5"/>
  <c r="W17" i="5"/>
  <c r="AC11" i="5"/>
  <c r="Z11" i="5"/>
  <c r="W11" i="5"/>
  <c r="W38" i="5" s="1"/>
  <c r="AC10" i="12"/>
  <c r="Z10" i="12"/>
  <c r="W10" i="12"/>
  <c r="AR26" i="6"/>
  <c r="AO26" i="6"/>
  <c r="AX20" i="6"/>
  <c r="AU20" i="6"/>
  <c r="AU26" i="6" s="1"/>
  <c r="AR20" i="6"/>
  <c r="AX16" i="6"/>
  <c r="AU16" i="6"/>
  <c r="AR16" i="6"/>
  <c r="AO16" i="6"/>
  <c r="AX29" i="6"/>
  <c r="AU29" i="6"/>
  <c r="AR29" i="6"/>
  <c r="AI28" i="18" l="1"/>
  <c r="AO28" i="18"/>
  <c r="AX38" i="5"/>
  <c r="T22" i="17"/>
  <c r="Z22" i="17"/>
  <c r="AC29" i="15"/>
  <c r="AU29" i="15"/>
  <c r="Z29" i="15"/>
  <c r="AR29" i="15"/>
  <c r="W20" i="6"/>
  <c r="Z16" i="6"/>
  <c r="Z31" i="6" s="1"/>
  <c r="W16" i="6"/>
  <c r="W31" i="6" s="1"/>
  <c r="AC16" i="6"/>
  <c r="AC31" i="6" s="1"/>
  <c r="AX10" i="13" l="1"/>
  <c r="AR11" i="13"/>
  <c r="AR12" i="13" s="1"/>
  <c r="AC12" i="13"/>
  <c r="AC8" i="13"/>
  <c r="AC9" i="13"/>
  <c r="Z9" i="13"/>
  <c r="Z8" i="13"/>
  <c r="Z12" i="13" s="1"/>
  <c r="W8" i="13"/>
  <c r="W9" i="13"/>
  <c r="AX11" i="13"/>
  <c r="AU11" i="13"/>
  <c r="AU12" i="13" s="1"/>
  <c r="AU31" i="8"/>
  <c r="AW41" i="8"/>
  <c r="AX41" i="8" s="1"/>
  <c r="AO41" i="8"/>
  <c r="AR41" i="8"/>
  <c r="AU41" i="8"/>
  <c r="AW36" i="8"/>
  <c r="AW33" i="8"/>
  <c r="AW32" i="8"/>
  <c r="AX32" i="8" s="1"/>
  <c r="AT36" i="8"/>
  <c r="AT33" i="8"/>
  <c r="AT32" i="8"/>
  <c r="AU32" i="8" s="1"/>
  <c r="AQ36" i="8"/>
  <c r="AQ33" i="8"/>
  <c r="AQ32" i="8"/>
  <c r="AX36" i="8"/>
  <c r="AW30" i="8"/>
  <c r="AX30" i="8" s="1"/>
  <c r="AW26" i="8"/>
  <c r="AX26" i="8" s="1"/>
  <c r="AT30" i="8"/>
  <c r="AU30" i="8" s="1"/>
  <c r="AQ30" i="8"/>
  <c r="AR30" i="8" s="1"/>
  <c r="AW24" i="8"/>
  <c r="AX24" i="8" s="1"/>
  <c r="AW23" i="8"/>
  <c r="AW22" i="8"/>
  <c r="AT24" i="8"/>
  <c r="AT23" i="8"/>
  <c r="AU23" i="8" s="1"/>
  <c r="AT22" i="8"/>
  <c r="AQ24" i="8"/>
  <c r="AR24" i="8" s="1"/>
  <c r="AQ23" i="8"/>
  <c r="AR23" i="8" s="1"/>
  <c r="AQ22" i="8"/>
  <c r="AW18" i="8"/>
  <c r="AW15" i="8"/>
  <c r="AX15" i="8"/>
  <c r="AW14" i="8"/>
  <c r="AX14" i="8" s="1"/>
  <c r="AT18" i="8"/>
  <c r="AT15" i="8"/>
  <c r="AT14" i="8"/>
  <c r="AQ15" i="8"/>
  <c r="AQ18" i="8"/>
  <c r="AQ14" i="8"/>
  <c r="AW8" i="8"/>
  <c r="AW9" i="8"/>
  <c r="AX9" i="8" s="1"/>
  <c r="AW12" i="8"/>
  <c r="AX12" i="8" s="1"/>
  <c r="AX35" i="8"/>
  <c r="AX34" i="8"/>
  <c r="AU35" i="8"/>
  <c r="AU34" i="8"/>
  <c r="AR35" i="8"/>
  <c r="AR34" i="8"/>
  <c r="AX29" i="8"/>
  <c r="AX28" i="8"/>
  <c r="AU29" i="8"/>
  <c r="AU28" i="8"/>
  <c r="AR29" i="8"/>
  <c r="AR28" i="8"/>
  <c r="AX21" i="8"/>
  <c r="AX20" i="8"/>
  <c r="AU21" i="8"/>
  <c r="AU20" i="8"/>
  <c r="AR21" i="8"/>
  <c r="AR20" i="8"/>
  <c r="AX17" i="8"/>
  <c r="AX16" i="8"/>
  <c r="AU17" i="8"/>
  <c r="AU16" i="8"/>
  <c r="AR17" i="8"/>
  <c r="AR16" i="8"/>
  <c r="AX11" i="8"/>
  <c r="AX10" i="8"/>
  <c r="AU11" i="8"/>
  <c r="AU10" i="8"/>
  <c r="AR10" i="8"/>
  <c r="AR11" i="8"/>
  <c r="AT12" i="8"/>
  <c r="AU12" i="8" s="1"/>
  <c r="AT9" i="8"/>
  <c r="AU9" i="8" s="1"/>
  <c r="AT8" i="8"/>
  <c r="AU8" i="8" s="1"/>
  <c r="AR36" i="8"/>
  <c r="AR33" i="8"/>
  <c r="AR32" i="8"/>
  <c r="AU36" i="8"/>
  <c r="AU33" i="8"/>
  <c r="AX33" i="8"/>
  <c r="AU27" i="8"/>
  <c r="AU26" i="8"/>
  <c r="AR27" i="8"/>
  <c r="AR31" i="8" s="1"/>
  <c r="AR26" i="8"/>
  <c r="AX23" i="8"/>
  <c r="AU24" i="8"/>
  <c r="AX22" i="8"/>
  <c r="AU22" i="8"/>
  <c r="AR22" i="8"/>
  <c r="AX18" i="8"/>
  <c r="AU18" i="8"/>
  <c r="AU15" i="8"/>
  <c r="AU14" i="8"/>
  <c r="AR18" i="8"/>
  <c r="AR15" i="8"/>
  <c r="AR14" i="8"/>
  <c r="AX8" i="8"/>
  <c r="AR9" i="8"/>
  <c r="AR8" i="8"/>
  <c r="AQ12" i="8"/>
  <c r="AR12" i="8" s="1"/>
  <c r="AQ8" i="8"/>
  <c r="Y51" i="8"/>
  <c r="Y50" i="8"/>
  <c r="Y49" i="8"/>
  <c r="Y48" i="8"/>
  <c r="Y47" i="8"/>
  <c r="Y46" i="8"/>
  <c r="V51" i="8"/>
  <c r="V50" i="8"/>
  <c r="V49" i="8"/>
  <c r="V48" i="8"/>
  <c r="V47" i="8"/>
  <c r="V46" i="8"/>
  <c r="AB51" i="8"/>
  <c r="AB50" i="8"/>
  <c r="AB49" i="8"/>
  <c r="AB48" i="8"/>
  <c r="AB47" i="8"/>
  <c r="AB46" i="8"/>
  <c r="AB44" i="8"/>
  <c r="AB43" i="8"/>
  <c r="AB38" i="8"/>
  <c r="Y44" i="8"/>
  <c r="Y43" i="8"/>
  <c r="Y38" i="8"/>
  <c r="V44" i="8"/>
  <c r="V43" i="8"/>
  <c r="V38" i="8"/>
  <c r="W42" i="8"/>
  <c r="Z42" i="8"/>
  <c r="V32" i="8"/>
  <c r="Y32" i="8"/>
  <c r="AB32" i="8"/>
  <c r="Y26" i="8"/>
  <c r="V26" i="8"/>
  <c r="AB23" i="8"/>
  <c r="Y23" i="8"/>
  <c r="V23" i="8"/>
  <c r="AB14" i="8"/>
  <c r="Y14" i="8"/>
  <c r="V14" i="8"/>
  <c r="AB8" i="8"/>
  <c r="AC8" i="8" s="1"/>
  <c r="Y8" i="8"/>
  <c r="W12" i="13" l="1"/>
  <c r="AX12" i="13"/>
  <c r="AX37" i="8"/>
  <c r="W51" i="8" l="1"/>
  <c r="W50" i="8"/>
  <c r="W49" i="8"/>
  <c r="W48" i="8"/>
  <c r="W47" i="8"/>
  <c r="Z51" i="8"/>
  <c r="Z50" i="8"/>
  <c r="Z49" i="8"/>
  <c r="Z48" i="8"/>
  <c r="Z47" i="8"/>
  <c r="AC51" i="8"/>
  <c r="AC50" i="8"/>
  <c r="AC49" i="8"/>
  <c r="AC48" i="8"/>
  <c r="AC47" i="8"/>
  <c r="AC46" i="8"/>
  <c r="Z46" i="8"/>
  <c r="W46" i="8"/>
  <c r="AC44" i="8"/>
  <c r="AC43" i="8"/>
  <c r="Z44" i="8"/>
  <c r="Z43" i="8"/>
  <c r="W44" i="8"/>
  <c r="W43" i="8"/>
  <c r="W38" i="8"/>
  <c r="Z38" i="8"/>
  <c r="AC38" i="8"/>
  <c r="AC32" i="8"/>
  <c r="Z32" i="8"/>
  <c r="W32" i="8"/>
  <c r="W26" i="8"/>
  <c r="Z26" i="8"/>
  <c r="AC14" i="8"/>
  <c r="Z23" i="8"/>
  <c r="AC23" i="8"/>
  <c r="AC20" i="8"/>
  <c r="Z20" i="8"/>
  <c r="W20" i="8"/>
  <c r="W23" i="8"/>
  <c r="W14" i="8"/>
  <c r="Z14" i="8"/>
  <c r="Z8" i="8"/>
  <c r="V8" i="8"/>
  <c r="W8" i="8" s="1"/>
  <c r="AX45" i="8"/>
  <c r="AX40" i="8"/>
  <c r="AU40" i="8"/>
  <c r="AU45" i="8" s="1"/>
  <c r="AR40" i="8"/>
  <c r="AX39" i="8"/>
  <c r="AU39" i="8"/>
  <c r="AR39" i="8"/>
  <c r="AU37" i="8"/>
  <c r="AR37" i="8"/>
  <c r="AW27" i="8"/>
  <c r="AX27" i="8" s="1"/>
  <c r="AX31" i="8" s="1"/>
  <c r="AR25" i="8"/>
  <c r="AU19" i="8"/>
  <c r="AR19" i="8"/>
  <c r="AU13" i="8"/>
  <c r="AR45" i="8" l="1"/>
  <c r="AR13" i="8"/>
  <c r="AR54" i="8" s="1"/>
  <c r="AU25" i="8"/>
  <c r="AX13" i="8"/>
  <c r="AX54" i="8" s="1"/>
  <c r="AX19" i="8"/>
  <c r="AX25" i="8"/>
  <c r="AU54" i="8" l="1"/>
  <c r="AC42" i="8" l="1"/>
  <c r="AC39" i="8"/>
  <c r="Z39" i="8"/>
  <c r="W39" i="8"/>
  <c r="Z45" i="8"/>
  <c r="W45" i="8"/>
  <c r="AC34" i="8"/>
  <c r="Z34" i="8"/>
  <c r="W34" i="8"/>
  <c r="AC28" i="8"/>
  <c r="Z28" i="8"/>
  <c r="Z31" i="8" s="1"/>
  <c r="W28" i="8"/>
  <c r="W31" i="8" s="1"/>
  <c r="AB26" i="8"/>
  <c r="Z25" i="8"/>
  <c r="W25" i="8"/>
  <c r="AC16" i="8"/>
  <c r="Z16" i="8"/>
  <c r="W16" i="8"/>
  <c r="W19" i="8" s="1"/>
  <c r="AC10" i="8"/>
  <c r="AC13" i="8" s="1"/>
  <c r="Z10" i="8"/>
  <c r="W10" i="8"/>
  <c r="T42" i="8"/>
  <c r="AO48" i="16"/>
  <c r="AL48" i="16"/>
  <c r="AI48" i="16"/>
  <c r="T48" i="16"/>
  <c r="Q48" i="16"/>
  <c r="N48" i="16"/>
  <c r="AO41" i="16"/>
  <c r="AL41" i="16"/>
  <c r="AI41" i="16"/>
  <c r="T35" i="16"/>
  <c r="T41" i="16" s="1"/>
  <c r="Q35" i="16"/>
  <c r="Q41" i="16" s="1"/>
  <c r="N35" i="16"/>
  <c r="N41" i="16" s="1"/>
  <c r="AO34" i="16"/>
  <c r="AL34" i="16"/>
  <c r="AI34" i="16"/>
  <c r="T32" i="16"/>
  <c r="T34" i="16" s="1"/>
  <c r="Q32" i="16"/>
  <c r="Q34" i="16" s="1"/>
  <c r="N32" i="16"/>
  <c r="N34" i="16" s="1"/>
  <c r="AO31" i="16"/>
  <c r="AL31" i="16"/>
  <c r="AI31" i="16"/>
  <c r="T26" i="16"/>
  <c r="T31" i="16" s="1"/>
  <c r="Q26" i="16"/>
  <c r="Q31" i="16" s="1"/>
  <c r="N26" i="16"/>
  <c r="N31" i="16" s="1"/>
  <c r="AO25" i="16"/>
  <c r="AL25" i="16"/>
  <c r="AI25" i="16"/>
  <c r="T20" i="16"/>
  <c r="T25" i="16" s="1"/>
  <c r="Q20" i="16"/>
  <c r="Q25" i="16" s="1"/>
  <c r="N20" i="16"/>
  <c r="N25" i="16" s="1"/>
  <c r="AO19" i="16"/>
  <c r="AL19" i="16"/>
  <c r="AI19" i="16"/>
  <c r="T14" i="16"/>
  <c r="T19" i="16" s="1"/>
  <c r="Q14" i="16"/>
  <c r="Q19" i="16" s="1"/>
  <c r="N14" i="16"/>
  <c r="N19" i="16" s="1"/>
  <c r="AO13" i="16"/>
  <c r="AL13" i="16"/>
  <c r="AI12" i="16"/>
  <c r="AI11" i="16"/>
  <c r="AI10" i="16"/>
  <c r="AI9" i="16"/>
  <c r="AI8" i="16"/>
  <c r="T8" i="16"/>
  <c r="T13" i="16" s="1"/>
  <c r="Q8" i="16"/>
  <c r="Q13" i="16" s="1"/>
  <c r="N8" i="16"/>
  <c r="N13" i="16" s="1"/>
  <c r="AO27" i="15"/>
  <c r="AL27" i="15"/>
  <c r="AI27" i="15"/>
  <c r="T27" i="15"/>
  <c r="Q27" i="15"/>
  <c r="N27" i="15"/>
  <c r="AO14" i="15"/>
  <c r="AO29" i="15" s="1"/>
  <c r="AL14" i="15"/>
  <c r="AI14" i="15"/>
  <c r="T14" i="15"/>
  <c r="Q14" i="15"/>
  <c r="N14" i="15"/>
  <c r="T29" i="15" l="1"/>
  <c r="AL50" i="16"/>
  <c r="AO50" i="16"/>
  <c r="Q50" i="16"/>
  <c r="AC26" i="8"/>
  <c r="AC31" i="8" s="1"/>
  <c r="T50" i="16"/>
  <c r="N50" i="16"/>
  <c r="AI13" i="16"/>
  <c r="AI50" i="16" s="1"/>
  <c r="Q29" i="15"/>
  <c r="AI29" i="15"/>
  <c r="N29" i="15"/>
  <c r="AL29" i="15"/>
  <c r="Z37" i="8"/>
  <c r="AC45" i="8"/>
  <c r="AC52" i="8"/>
  <c r="W13" i="8"/>
  <c r="AC25" i="8"/>
  <c r="AC37" i="8"/>
  <c r="Z52" i="8"/>
  <c r="W52" i="8"/>
  <c r="Z13" i="8"/>
  <c r="Z19" i="8"/>
  <c r="AC19" i="8"/>
  <c r="W37" i="8"/>
  <c r="AL26" i="6"/>
  <c r="AI26" i="6"/>
  <c r="AL16" i="6"/>
  <c r="AI16" i="6"/>
  <c r="AN33" i="8"/>
  <c r="AO33" i="8" s="1"/>
  <c r="AN32" i="8"/>
  <c r="AO32" i="8" s="1"/>
  <c r="AN36" i="8"/>
  <c r="AO36" i="8" s="1"/>
  <c r="AK33" i="8"/>
  <c r="AH33" i="8"/>
  <c r="AI33" i="8" s="1"/>
  <c r="AK30" i="8"/>
  <c r="AL30" i="8" s="1"/>
  <c r="AN30" i="8"/>
  <c r="AO30" i="8" s="1"/>
  <c r="AO29" i="8"/>
  <c r="AO28" i="8"/>
  <c r="AN27" i="8"/>
  <c r="AO27" i="8" s="1"/>
  <c r="AN24" i="8"/>
  <c r="AO24" i="8" s="1"/>
  <c r="AN23" i="8"/>
  <c r="AN22" i="8"/>
  <c r="AO22" i="8" s="1"/>
  <c r="AK24" i="8"/>
  <c r="AL24" i="8" s="1"/>
  <c r="AK23" i="8"/>
  <c r="AL23" i="8" s="1"/>
  <c r="AK22" i="8"/>
  <c r="AH24" i="8"/>
  <c r="AI24" i="8" s="1"/>
  <c r="AH23" i="8"/>
  <c r="AH22" i="8"/>
  <c r="AI22" i="8" s="1"/>
  <c r="AN18" i="8"/>
  <c r="AO18" i="8" s="1"/>
  <c r="AN15" i="8"/>
  <c r="AO15" i="8" s="1"/>
  <c r="AN14" i="8"/>
  <c r="AO14" i="8" s="1"/>
  <c r="AK18" i="8"/>
  <c r="AL18" i="8" s="1"/>
  <c r="AK14" i="8"/>
  <c r="AH18" i="8"/>
  <c r="AI18" i="8" s="1"/>
  <c r="AN12" i="8"/>
  <c r="AN9" i="8"/>
  <c r="AN8" i="8"/>
  <c r="AK12" i="8"/>
  <c r="AL12" i="8" s="1"/>
  <c r="AO35" i="8"/>
  <c r="AO34" i="8"/>
  <c r="AL35" i="8"/>
  <c r="AL34" i="8"/>
  <c r="AL33" i="8"/>
  <c r="AL29" i="8"/>
  <c r="AL28" i="8"/>
  <c r="AL27" i="8"/>
  <c r="AO23" i="8"/>
  <c r="AL22" i="8"/>
  <c r="AL17" i="8"/>
  <c r="AL16" i="8"/>
  <c r="AL15" i="8"/>
  <c r="AL14" i="8"/>
  <c r="AO17" i="8"/>
  <c r="AO16" i="8"/>
  <c r="AO12" i="8"/>
  <c r="AO9" i="8"/>
  <c r="AO8" i="8"/>
  <c r="AL9" i="8"/>
  <c r="AK8" i="8"/>
  <c r="AL8" i="8" s="1"/>
  <c r="AO40" i="8"/>
  <c r="AO45" i="8" s="1"/>
  <c r="AL40" i="8"/>
  <c r="AI40" i="8"/>
  <c r="AO39" i="8"/>
  <c r="AL39" i="8"/>
  <c r="AI39" i="8"/>
  <c r="AI23" i="8"/>
  <c r="AO21" i="8"/>
  <c r="AL21" i="8"/>
  <c r="AI21" i="8"/>
  <c r="AO20" i="8"/>
  <c r="AL20" i="8"/>
  <c r="AI20" i="8"/>
  <c r="AI36" i="8"/>
  <c r="AI35" i="8"/>
  <c r="AI34" i="8"/>
  <c r="AI32" i="8"/>
  <c r="AI30" i="8"/>
  <c r="AI29" i="8"/>
  <c r="AI28" i="8"/>
  <c r="AI27" i="8"/>
  <c r="AI26" i="8"/>
  <c r="AI17" i="8"/>
  <c r="AI16" i="8"/>
  <c r="AI15" i="8"/>
  <c r="AI14" i="8"/>
  <c r="AO11" i="8"/>
  <c r="AO10" i="8"/>
  <c r="AL11" i="8"/>
  <c r="AL10" i="8"/>
  <c r="AI11" i="8"/>
  <c r="AI10" i="8"/>
  <c r="AI9" i="8"/>
  <c r="AI12" i="8"/>
  <c r="AH12" i="8"/>
  <c r="AH8" i="8"/>
  <c r="AI8" i="8" s="1"/>
  <c r="S51" i="8"/>
  <c r="S50" i="8"/>
  <c r="S49" i="8"/>
  <c r="S48" i="8"/>
  <c r="S47" i="8"/>
  <c r="S46" i="8"/>
  <c r="S44" i="8"/>
  <c r="S43" i="8"/>
  <c r="T43" i="8" s="1"/>
  <c r="P51" i="8"/>
  <c r="Q51" i="8" s="1"/>
  <c r="P47" i="8"/>
  <c r="Q47" i="8" s="1"/>
  <c r="P46" i="8"/>
  <c r="Q46" i="8" s="1"/>
  <c r="M51" i="8"/>
  <c r="N51" i="8" s="1"/>
  <c r="M47" i="8"/>
  <c r="M46" i="8"/>
  <c r="N43" i="8"/>
  <c r="N44" i="8"/>
  <c r="T51" i="8"/>
  <c r="T50" i="8"/>
  <c r="T49" i="8"/>
  <c r="T48" i="8"/>
  <c r="T47" i="8"/>
  <c r="T46" i="8"/>
  <c r="Q50" i="8"/>
  <c r="Q49" i="8"/>
  <c r="Q48" i="8"/>
  <c r="N50" i="8"/>
  <c r="N49" i="8"/>
  <c r="N48" i="8"/>
  <c r="N47" i="8"/>
  <c r="N46" i="8"/>
  <c r="T44" i="8"/>
  <c r="Q44" i="8"/>
  <c r="Q43" i="8"/>
  <c r="S38" i="8"/>
  <c r="S32" i="8"/>
  <c r="S26" i="8"/>
  <c r="T26" i="8" s="1"/>
  <c r="T31" i="8" s="1"/>
  <c r="T20" i="8"/>
  <c r="Q20" i="8"/>
  <c r="S23" i="8"/>
  <c r="T23" i="8" s="1"/>
  <c r="S14" i="8"/>
  <c r="T14" i="8" s="1"/>
  <c r="T19" i="8" s="1"/>
  <c r="S8" i="8"/>
  <c r="T8" i="8" s="1"/>
  <c r="P32" i="8"/>
  <c r="P26" i="8"/>
  <c r="P23" i="8"/>
  <c r="Q23" i="8" s="1"/>
  <c r="Q25" i="8" s="1"/>
  <c r="P14" i="8"/>
  <c r="P8" i="8"/>
  <c r="Q8" i="8" s="1"/>
  <c r="M8" i="8"/>
  <c r="N8" i="8" s="1"/>
  <c r="N13" i="8" s="1"/>
  <c r="M23" i="8"/>
  <c r="N23" i="8" s="1"/>
  <c r="N25" i="8" s="1"/>
  <c r="M14" i="8"/>
  <c r="M32" i="8"/>
  <c r="M38" i="8"/>
  <c r="N20" i="8"/>
  <c r="T38" i="8"/>
  <c r="T39" i="8"/>
  <c r="T34" i="8"/>
  <c r="T32" i="8"/>
  <c r="T28" i="8"/>
  <c r="T16" i="8"/>
  <c r="T10" i="8"/>
  <c r="Q38" i="8"/>
  <c r="Q39" i="8"/>
  <c r="Q26" i="8"/>
  <c r="Q32" i="8"/>
  <c r="Q37" i="8" s="1"/>
  <c r="Q34" i="8"/>
  <c r="Q28" i="8"/>
  <c r="Q14" i="8"/>
  <c r="Q16" i="8"/>
  <c r="Q10" i="8"/>
  <c r="N39" i="8"/>
  <c r="N38" i="8"/>
  <c r="N34" i="8"/>
  <c r="N32" i="8"/>
  <c r="N37" i="8" s="1"/>
  <c r="N28" i="8"/>
  <c r="N26" i="8"/>
  <c r="N16" i="8"/>
  <c r="N14" i="8"/>
  <c r="N10" i="8"/>
  <c r="AO11" i="13"/>
  <c r="AO12" i="13" s="1"/>
  <c r="AL11" i="13"/>
  <c r="AL12" i="13" s="1"/>
  <c r="N9" i="13"/>
  <c r="N8" i="13"/>
  <c r="T8" i="13" s="1"/>
  <c r="AI12" i="13"/>
  <c r="T10" i="12"/>
  <c r="Q10" i="12"/>
  <c r="N10" i="12"/>
  <c r="AL45" i="8"/>
  <c r="AL37" i="8"/>
  <c r="T29" i="6"/>
  <c r="Q29" i="6"/>
  <c r="N29" i="6"/>
  <c r="AI29" i="6"/>
  <c r="AL29" i="6"/>
  <c r="AO29" i="6"/>
  <c r="T26" i="6"/>
  <c r="Q26" i="6"/>
  <c r="N26" i="6"/>
  <c r="AO20" i="6"/>
  <c r="AO31" i="6" s="1"/>
  <c r="AL20" i="6"/>
  <c r="AI20" i="6"/>
  <c r="T20" i="6"/>
  <c r="Q20" i="6"/>
  <c r="N20" i="6"/>
  <c r="T16" i="6"/>
  <c r="Q16" i="6"/>
  <c r="N16" i="6"/>
  <c r="AL31" i="8" l="1"/>
  <c r="AL25" i="8"/>
  <c r="Q19" i="8"/>
  <c r="T52" i="8"/>
  <c r="AI31" i="8"/>
  <c r="N31" i="8"/>
  <c r="Q31" i="8"/>
  <c r="AI31" i="6"/>
  <c r="AL31" i="6"/>
  <c r="T31" i="6"/>
  <c r="N31" i="6"/>
  <c r="Q31" i="6"/>
  <c r="Q8" i="13"/>
  <c r="Q12" i="13" s="1"/>
  <c r="Q9" i="13"/>
  <c r="T9" i="13"/>
  <c r="T12" i="13" s="1"/>
  <c r="N12" i="13"/>
  <c r="Z54" i="8"/>
  <c r="W54" i="8"/>
  <c r="AC54" i="8"/>
  <c r="AL13" i="8"/>
  <c r="T37" i="8"/>
  <c r="T13" i="8"/>
  <c r="T54" i="8" s="1"/>
  <c r="AO31" i="8"/>
  <c r="AI19" i="8"/>
  <c r="N19" i="8"/>
  <c r="Q45" i="8"/>
  <c r="T25" i="8"/>
  <c r="AL19" i="8"/>
  <c r="AO37" i="8"/>
  <c r="Q13" i="8"/>
  <c r="AO13" i="8"/>
  <c r="AO54" i="8" s="1"/>
  <c r="AI37" i="8"/>
  <c r="AI25" i="8"/>
  <c r="AO25" i="8"/>
  <c r="N52" i="8"/>
  <c r="Q52" i="8"/>
  <c r="N45" i="8"/>
  <c r="T45" i="8"/>
  <c r="AI13" i="8"/>
  <c r="AI54" i="8" s="1"/>
  <c r="AI45" i="8"/>
  <c r="AO19" i="8"/>
  <c r="Q54" i="8" l="1"/>
  <c r="N54" i="8"/>
  <c r="AL54" i="8"/>
  <c r="H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tc={A84D3D11-819E-4D86-9D55-3AFC9604E4F1}</author>
    <author>tc={503B01A2-6A68-40DE-ADE9-D99EE53799AE}</author>
    <author>tc={B2A12A56-353F-4873-9848-9A7635A549A1}</author>
  </authors>
  <commentList>
    <comment ref="AG41" authorId="0" shapeId="0" xr:uid="{A84D3D11-819E-4D86-9D55-3AFC9604E4F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Tipo de medicion y meta paso de 138 a 85% a partir de mayo, por lo que en JUNIO se ve normalizacion porcentual sobre el resultado.</t>
        </r>
      </text>
    </comment>
    <comment ref="T42" authorId="1" shapeId="0" xr:uid="{503B01A2-6A68-40DE-ADE9-D99EE53799AE}">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 mal el 4,15, debe ser 4%/24%= 16, 67%
Respuesta:
    Formula mala: =(T42/$M42)*(8,3%*3)</t>
        </r>
      </text>
    </comment>
    <comment ref="AC42" authorId="2" shapeId="0" xr:uid="{B2A12A56-353F-4873-9848-9A7635A549A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 mal el 4,15, debe ser 4%/24%= 16, 67%
Respuesta:
    Formula mala: =(T42/$M42)*(8,3%*3)</t>
        </r>
      </text>
    </comment>
  </commentList>
</comments>
</file>

<file path=xl/sharedStrings.xml><?xml version="1.0" encoding="utf-8"?>
<sst xmlns="http://schemas.openxmlformats.org/spreadsheetml/2006/main" count="8048" uniqueCount="1646">
  <si>
    <t>DEPENDENCIA</t>
  </si>
  <si>
    <t>GRUPO</t>
  </si>
  <si>
    <t>ENERO</t>
  </si>
  <si>
    <t>FEBRERO</t>
  </si>
  <si>
    <t>MARZO</t>
  </si>
  <si>
    <t>Indicadores producto</t>
  </si>
  <si>
    <t>Indicadores de Gestión</t>
  </si>
  <si>
    <t>OAP</t>
  </si>
  <si>
    <t>OAJ</t>
  </si>
  <si>
    <t>Sancionatorio</t>
  </si>
  <si>
    <t>Defensa Jurídica</t>
  </si>
  <si>
    <t>N.A</t>
  </si>
  <si>
    <t>Cobro Coactivo</t>
  </si>
  <si>
    <t>Conceptos</t>
  </si>
  <si>
    <t>PROMEDIO OAJ</t>
  </si>
  <si>
    <t>Control disciplinario</t>
  </si>
  <si>
    <t>Comunicaciones</t>
  </si>
  <si>
    <t>OCI</t>
  </si>
  <si>
    <t>OTI</t>
  </si>
  <si>
    <t>Geoespaciales</t>
  </si>
  <si>
    <t>Sistemas de Información e Infraestructura</t>
  </si>
  <si>
    <t>PROMEDIO OTI</t>
  </si>
  <si>
    <t>SAF</t>
  </si>
  <si>
    <t>Gestión contractual</t>
  </si>
  <si>
    <t>Gestión financiera</t>
  </si>
  <si>
    <t>Gestión documental</t>
  </si>
  <si>
    <t>Gestión administrativa</t>
  </si>
  <si>
    <t>Gestión humana</t>
  </si>
  <si>
    <t>Notificaciones</t>
  </si>
  <si>
    <t>PROMEDIO SAF</t>
  </si>
  <si>
    <t>SMPC</t>
  </si>
  <si>
    <t>Participación Ciudadana</t>
  </si>
  <si>
    <t>Atención al ciudadano</t>
  </si>
  <si>
    <t>PROMEDIO SMPC</t>
  </si>
  <si>
    <t>SELA</t>
  </si>
  <si>
    <t>Hidrocarburos</t>
  </si>
  <si>
    <t>Infraestructura</t>
  </si>
  <si>
    <t>Energía</t>
  </si>
  <si>
    <t>Minería</t>
  </si>
  <si>
    <t>Agroquímicos y Especiales</t>
  </si>
  <si>
    <t>Valoración y manejo de impactos</t>
  </si>
  <si>
    <t>NA</t>
  </si>
  <si>
    <t>PROMEDIO SELA</t>
  </si>
  <si>
    <t>SSLA</t>
  </si>
  <si>
    <t>Alto Magdalena-Cauca</t>
  </si>
  <si>
    <t>Caribe-Pacifico</t>
  </si>
  <si>
    <t>Medio Magdalena-Cauca Catatumbo</t>
  </si>
  <si>
    <t>Orinoquía-Amazonas</t>
  </si>
  <si>
    <t xml:space="preserve">Agroquímicos </t>
  </si>
  <si>
    <t>Valoración y Manejo de Impactos</t>
  </si>
  <si>
    <t>PROMEDIO SSLA</t>
  </si>
  <si>
    <t>SIPTA</t>
  </si>
  <si>
    <t>Permisos y trámites ambientales</t>
  </si>
  <si>
    <t>Certificaciones y vistos buenos</t>
  </si>
  <si>
    <t>Instrumentos</t>
  </si>
  <si>
    <t>Regionalización y centro de monitoreo</t>
  </si>
  <si>
    <t>PROMEDIO SIPTA</t>
  </si>
  <si>
    <t>PROMEDIO ENTIDAD</t>
  </si>
  <si>
    <t>* Aquellos indicadores que son constantes (todos los meses deben cumplir la meta propuesta) son normalizados según el tiempo promedio transcurridos, para no inflar el promedio de avance ni de los grupos, ni el de la entidad.</t>
  </si>
  <si>
    <t>** El avance presentado por cada indicador de las dependencias, se refleja en las hojas  del presente consolidado.</t>
  </si>
  <si>
    <t>*** El avance de aquellos indicadores que superan el 100% de su ejecución, para el promedio de grupo o dependencia su máximo será tomado como 100%, para no inflar el promedio de avance ni de los grupos, ni el de la entidad; e identificar alertas.</t>
  </si>
  <si>
    <t>PLAN NACIONAL DE DESARROLLO (2018-2022) PACTO POR COLOMBIA, PACTO POR LA EQUIDAD</t>
  </si>
  <si>
    <t>PLAN ESTRATÉGICO INSTITUCIONAL</t>
  </si>
  <si>
    <t>DEPENDENCIA/GRUPO</t>
  </si>
  <si>
    <t>RECURSOS</t>
  </si>
  <si>
    <t>INDICADOR DE PRODUCTO</t>
  </si>
  <si>
    <t>INDICADOR DE GESTIÓN</t>
  </si>
  <si>
    <t>MODELO INTEGRADO DE PLANEACIÓN Y GESTIÓN - MIPG</t>
  </si>
  <si>
    <t>Pacto transversal</t>
  </si>
  <si>
    <t>Línea Estratégica</t>
  </si>
  <si>
    <t>Proceso</t>
  </si>
  <si>
    <t>Dependencia</t>
  </si>
  <si>
    <t>Grupo</t>
  </si>
  <si>
    <t>FUENTE</t>
  </si>
  <si>
    <t>PROYECTO DE INVERSIÓN</t>
  </si>
  <si>
    <t>POR DEPENDENCIA</t>
  </si>
  <si>
    <t>POR GRUPO</t>
  </si>
  <si>
    <t>FÓRMULA INDICADOR DE PRODUCTO</t>
  </si>
  <si>
    <t>META DE PRODUCTO</t>
  </si>
  <si>
    <t xml:space="preserve">AVANCE REPORTADO </t>
  </si>
  <si>
    <t>PORCENTAJE DE AVANCE FRENTE A LA META</t>
  </si>
  <si>
    <t>AVANCE CUALITATIVO</t>
  </si>
  <si>
    <t>FÓRMULA INDICADOR DE GESTIÓN</t>
  </si>
  <si>
    <t>META DE GESTIÓN</t>
  </si>
  <si>
    <t>Dimensión</t>
  </si>
  <si>
    <t>Política MIPG</t>
  </si>
  <si>
    <t>IV. Pacto por la sostenibilidad: producir conservando y conservar produciendo</t>
  </si>
  <si>
    <t>Contribuir a la implementación de un modelo de gestión pública efectivo, orientado a resultados y a la satisfacción de sus grupos de interés</t>
  </si>
  <si>
    <t>Orientación estratégica</t>
  </si>
  <si>
    <t>Oficina Asesora de Planeación</t>
  </si>
  <si>
    <t>Inversión</t>
  </si>
  <si>
    <t>FORTALECIMIENTO DE LA GESTIÓN INSTITUCIONAL Y TECNOLOGICA DE LA AUTORIDAD NACIONAL DE LICENCIAS AMBIENTALES EN EL TERRITORIO NACIONAL</t>
  </si>
  <si>
    <t>Auditorías realizadas</t>
  </si>
  <si>
    <t>Número auditorías realizadas/ Número auditorías programadas</t>
  </si>
  <si>
    <t>Este indicador tiene frecuencia de medición anual</t>
  </si>
  <si>
    <t>NO TIENE INDICADORES DE GESTIÓN</t>
  </si>
  <si>
    <t>Control Interno</t>
  </si>
  <si>
    <t>Política de Control interno</t>
  </si>
  <si>
    <t>Herramientas para el seguimiento a metas institucionales</t>
  </si>
  <si>
    <t>Número herramientas diseñadas</t>
  </si>
  <si>
    <t>Durante el mes de enero se trabajó en el plan de trabajo de las herramientas a diseñar en la vigencia</t>
  </si>
  <si>
    <t>A corte 28 de febrero se cuenta con un 10% de avance ponderado en las 2 herramientas programadas para la vigencia</t>
  </si>
  <si>
    <t xml:space="preserve">A corte 31 de marzo se cuenta con un 10% de avance ponderado en las 2 herramientas programadas para la vigencia
</t>
  </si>
  <si>
    <t>Porcentaje de avance en el diseño de la herramienta de formulación y seguimiento del MIPG</t>
  </si>
  <si>
    <t>âˆ‘= Suma de todos los procesos programadas desde 1 hasta n (i); \\nwi= peso porcentual para cada proceso; Xi= Valor del proceso</t>
  </si>
  <si>
    <t>A corte 31 de enero se presenta un avance del 5% del plan de acción de este indicador</t>
  </si>
  <si>
    <t>A corte 28 de febrero se presenta un avance del 5% del plan de acción de este indicador</t>
  </si>
  <si>
    <t>A corte 31 de marzo se presenta un avance del 5% del plan de acción de este indicador</t>
  </si>
  <si>
    <t>Evaluación de Resultados</t>
  </si>
  <si>
    <t>Política de Seguimiento y evaluación del desempeño institucional</t>
  </si>
  <si>
    <t>Porcentaje de avance en el diseño de la herramienta de formulación y seguimiento del PAAC</t>
  </si>
  <si>
    <t>A corte 28 de febrero se presenta un avance del 25% del plan de acción de este indicador</t>
  </si>
  <si>
    <t>A corte 31 de marzo se presenta un avance del 25% del plan de acción de este indicador</t>
  </si>
  <si>
    <t>Porcentaje de avance en la documentación de herramientas institucionales</t>
  </si>
  <si>
    <t>âˆ‘= Suma de todos los procesos programadas desde 1 hasta n (i); \\\\\\\\nwi= peso porcentual para cada proceso; Xi= Valor del proceso</t>
  </si>
  <si>
    <t>Durante el mes de enero no se presentó avance para este indicador</t>
  </si>
  <si>
    <t>Durante el mes de febrero no se presentó avance para este indicador</t>
  </si>
  <si>
    <t>Durante el mes de marzo no se presentó avance para este indicador</t>
  </si>
  <si>
    <t>Porcentaje de ejecución del Plan de Acción Institucional</t>
  </si>
  <si>
    <t>Porcentaje de avance en la ejecución del Plan de Acción Institucional</t>
  </si>
  <si>
    <t>A corte 31 de enero la entidad tuvo un avance de 4.2% en indicadores de producto</t>
  </si>
  <si>
    <t>A corte  28 de febrero la entidad tuvo un avance de 13.2% en indicadores de producto</t>
  </si>
  <si>
    <t>A corte 31 de marzo la entidad tuvo un avance de 21.7% en indicadores de producto</t>
  </si>
  <si>
    <t>Número de Documentos de planeación con seguimiento realizado</t>
  </si>
  <si>
    <t>Número de documentos de planeación con seguimiento realizado</t>
  </si>
  <si>
    <t>A corte 31 de enero ningún documento de planeación tuvo seguimiento completo</t>
  </si>
  <si>
    <t>A corte 28 de febrero aún no se ha realizado un seguimiento completo para ninguno de los documentos de planeación priorizados para la vigencia</t>
  </si>
  <si>
    <t>A corte 31 de marzo aún no se ha realizado un seguimiento completo para ninguno de los documentos de planeación priorizados para la vigencia</t>
  </si>
  <si>
    <t>Número de seguimientos realizados a documentos de planeación</t>
  </si>
  <si>
    <t>Sumatoria de seguimientos realizados a los documentos de planeación</t>
  </si>
  <si>
    <t>A corte 31 de enero no se realizó ningún seguimiento a ningún documento de planeación</t>
  </si>
  <si>
    <t xml:space="preserve">A corte 28 de febrero se realizó el seguimiento al PAI de enero </t>
  </si>
  <si>
    <t>Durante el mes de marzo se realizó el segundo seguimiento al PAI y el seguimiento a la estrategia de evaluación. A corte 31 de marzo se tiene un acumulado de tres seguimientos</t>
  </si>
  <si>
    <t>Sistema de gestión implementado</t>
  </si>
  <si>
    <t xml:space="preserve">	
Número de sistemas de gestión implementados</t>
  </si>
  <si>
    <t>Durante el mes de enero se adelantaron mesas de trabajo con el equipo de calidad con el fin de elaborar el plan de trabajo para el 2021, estableciendo las actividades representativas y el plazo en que se deberán implementar para mejorar el sistema de gestión de calidad de la entidad. De igual manera se plantearon los compromisos para los gerentes púbicos con el objetivo de asegurar la implementación y mejora del SGC en todos los niveles de la organización.</t>
  </si>
  <si>
    <t>Durante el mes de febrero se adelantaron las siguientes actividades asociadas al plan de trabajo del SCG:
1. Se llevaron a cabo sesiones entre el equipo de calidad para revisar, ajustar y hacer pruebas de la metodología para formulación de contexto.
2. Reuniones con Fabio Garcia con el fin de ajustar la herramienta GESRIESGOS en cuanto a cambios menores en el flujo y en la publicación.
3. Avance en la publicación de riesgos de gestión en el aplicativo:  total 17/62 un: 27,42%
4. Se comunicaron directrices para la socialización de los documentos de GESPRO  de cada proceso tanto transversales a la entidad como internos.Estas directrices se divulgaron a los enlaces y a los jefes en comité directivo.
5. Reporte semestral de salidas NC 
6. Se envió correo por parte de la jefe de la OAP al jefe de la OCI solicitando apoyo para el cumplimiento de esta actividad, para la cual se dio respuesta en comité directivo indicando que las audidtorias internas al SGC estaran a cargo de la segunda linea de defensa (OAP). A la fecha se tiene propuesta de convocatoria y encuesta para seleccion y formación de auditores internos. Se tiene pendiente definir con la dirección general y la jefe de la OAP que drectriz se tomará al respecto.
7. Se definieron requerimientos  para la RXD  vigencia 2020.
8. Se ha avanzado en la ealaución de riesgos para la certificación ISO 9001:2015</t>
  </si>
  <si>
    <t>Durante el mes de marzo se avanzó en las siguientes acciones principales:
1. Se avanzó en la herrmienta y metodología del contexto de la entodad
2. Se planificó el módulo de monitoreo y seguimiento en la herramienta GESRIESGOS.
3. Se dio a compañamiento a los procesos en la revisión y actualización de los riesgos de gestión en el aplicativo GESRIESGOS. En total se evidencia 52 riesgos de egestión cargados en la herrramienta. 
4. Se llevó a cabo reunión para hacer seguimiento y análisis de los resultados reportados en las SNC del II semestre del 2020.
5. Se avanzó en el seguimiento plan de trabajo de las socialziación de los documentos en GESPRO.
6. Se elaboraron términos de referencia e invitaciones para cotizar con un proveedor externo la auditoria interna al SGC. Se tiene pendientes elaborar cuadro comprativo y análizar las propuestas que se reciban.
7. Con el equipo de calidad se revisaron los requisitos a implementar para la revisión de la dirección en cumplimiento del numeral 9.3 de los sistemas de gestión de la entidad (ISO 9001, ISO 14001 y D1072) vigencia restante de 2020.
Nota: Se  aclara que para el reporte de marzo se debió ajustar  la medición correspondiente a actividades  avanzadas en el mes de febrero en 3%.</t>
  </si>
  <si>
    <t>Porcentaje De Avance En La Implementación De Sistemas De Calidad De La Gestión</t>
  </si>
  <si>
    <t>Porcentaje de avance en la implementación de los planes de acción del MIPG</t>
  </si>
  <si>
    <t>âˆ‘= Suma de todos los procesos programados desde 1 hasta n (i); \\nwi= peso porcentual para cada proceso; Xi= Valor del proceso</t>
  </si>
  <si>
    <t>Este indicador tiene frecuencia de medición trimestral</t>
  </si>
  <si>
    <t>A corte 31 de marzo se cuenta con un avance consolidado de 27% del PIGD</t>
  </si>
  <si>
    <t>Planes institucionales implementados</t>
  </si>
  <si>
    <t>Número de planes institucionales implementados - MIPG</t>
  </si>
  <si>
    <t>A la fecha no se ha implementado ningún plan</t>
  </si>
  <si>
    <t>Índice de lucha contra la corrupción</t>
  </si>
  <si>
    <t xml:space="preserve">Por Definir metodología de medición </t>
  </si>
  <si>
    <t>0.85</t>
  </si>
  <si>
    <t>Este indicador es de medición anual</t>
  </si>
  <si>
    <t>Índice de desempeño institucional</t>
  </si>
  <si>
    <t>Avance alcanzado por la entidad en el IDI</t>
  </si>
  <si>
    <t>Porcentaje de transformación de conocimiento</t>
  </si>
  <si>
    <t>Número de acciones del inventario de conocimiento tácito efectuadas / Total de acciones del inventario de conocimiento tácito)</t>
  </si>
  <si>
    <t>Cumplido el primer trimestre de 2021 se tiene un avance del 37%, esto conforme al cumplimiento de 47 de las 126 acciones programadas.</t>
  </si>
  <si>
    <t>Promedio Total en metas de Producto</t>
  </si>
  <si>
    <t>Promedio Total en metas de Gestión</t>
  </si>
  <si>
    <t>Gestionar el conocimiento y la innovación en los procesos de evaluación y seguimiento de las licencias, permisos y trámites ambientales con transparencia</t>
  </si>
  <si>
    <t>Gestión de tecnologías comunicaciones y seguridad de la información</t>
  </si>
  <si>
    <t>Oficina de Tecnología de la Información</t>
  </si>
  <si>
    <t>Oficina de Tecnologías de la Información</t>
  </si>
  <si>
    <t>Sistemas de información implementados - SILA II implementado en su fase I</t>
  </si>
  <si>
    <t>Gestión con valores para resultados</t>
  </si>
  <si>
    <t>Política de Gobierno digital</t>
  </si>
  <si>
    <t>Promedio de avance en metas de Producto</t>
  </si>
  <si>
    <t>Promedio de avance en metas de Gestión</t>
  </si>
  <si>
    <t>Grupo Asuntos Geoespaciales</t>
  </si>
  <si>
    <t>Herramientas para consulta de datos geográficos- (Base de datos corporativa)</t>
  </si>
  <si>
    <t>Herramientas Implementadas/Herramientas aceptadas</t>
  </si>
  <si>
    <t>Sin avance al mes de enero</t>
  </si>
  <si>
    <t>De las 15 herramientas o acciones solicitadas, se implementaron las 15:
Ev001: Capacitación ÁGIL nivel 1
Ev002: Actualización de expedientes (15) en las capas de proyectos licenciados
Ev003: Metadato del servicio Núcleos de Deforestación
Ev004: Validación - prueba conexión VDA
Ev005: Levantamiento de requerimientos Proyecto CTS (13 sesiones)
Ev006: Alcance del Desarrollo de Concepto Técnico de Seguimiento
Ev007: Revisión sistema de recepción de monitoreo
Ev008: Capacitación complementaria al grupo de VPD sobre el Diligenciamiento FPO, depuración, edición y carga de Bases de Datos a la Base de Datos corporativa
Ev009: Solución mesa de ayuda 0009280 (envío de archivos shp)
Ev010: Soporte Acceso información Regionalización
Ev011: Solicitud de información ÁGIL (socioeconómico externos)
Ev012: Generación de Listado Expedientes_en_BDC_2021-02-25 (Para tema Flora)
Ev013: Se realizan ajustes a la consulta de lista de chequeo externa para el caso de los VPDs, visualización servicio AGIL Externo.
Ev014: Ajuste a la herramienta de exportar shapefile dependiendo el sistema de origen de coordenadas.
Ev015: Se continúa con el desarrollo del frontend y backend del aplicativo WEB para carga de Modelo de almacenamiento geográfico.</t>
  </si>
  <si>
    <t>Índice de capacidad en la prestación de servicios de tecnología.</t>
  </si>
  <si>
    <t xml:space="preserve">	Sistemas de información implementados - SILA II implementado en su fase I</t>
  </si>
  <si>
    <t>Implementación de Tableros de Control de la plataforma Geoespacial</t>
  </si>
  <si>
    <t>cantidad de tableros de control geoespacial implementados/cantidad de tableros de control geoespacial solicitados</t>
  </si>
  <si>
    <t>De los 5 tableros geoespaciales solicitados, cinco fueron implementados:
Ev001: Mejora completa del backend en C#, control de valores en ceros y actualización de datos: Monitoreo Hidrométrico HidroItuango Dashboard
Ev002: Mejora completa del backend en C#, control de valores en ceros y actualización de datos: Monitoreo Hidrométrico HidroItuango
Ev003: Mejora completa del backend en C#, control de valores en ceros y actualización de datos: Oferta vs Demanda HidroItuango
Ev004: Edición de widgets, actualización de dominios y edición de scripts de carga de datos: PQRSD ENTES DE CONTROL
Ev005: Modificación de la estructura de los feature class, tablas y vistas, edición y republicación del servicio, actualización de dominios: Monitor de Olores Proyecto Doña Juana</t>
  </si>
  <si>
    <t>Indicador acumulado. para en el mes no se recibieron solicitudes de tableros geoespaciales para implementar, por lo que se mantiene el avance a febrero de los implementados versus los solicitados</t>
  </si>
  <si>
    <t>Porcentaje de actualización de ÁGIL para la implementación de nuevos mapas temáticos de consulta</t>
  </si>
  <si>
    <t>Acciones ejecutadas/Acciones proyectadas</t>
  </si>
  <si>
    <t>Sin avance al mes de febrero</t>
  </si>
  <si>
    <t>16 acciones ejecutadas/50 acciones proyectadas= 32%
2021_02 Ev001: Publicación de Núcleos de Deforestación
2021_02 EV002: Publicación del servicio Regionalización Guajira 2021
2021_02 EV003: Publicación del servicio Regionalización Mojana
2021_02 EV004: Publicación del servicio Regionalización Rio Bogotá
2021_02 EV005: Publicación del servicio Regionalización Tribuga
2021_03 Ev001: Publicación de Ocupaciones de Cauce
2021_03 Ev002: Publicación de Captaciones de Agua Superficial (puntos)
2021_03 Ev003: Publicación de Captaciones de Agua Superficial (tramos)
2021_03 Ev004: Publicación de Vertimientos en Fuente Superficial (puntos)
2021_03 Ev005: Publicación de Vertimientos en Fuente Superficial (tramos)
2021_03 Ev006: Publicación de Aspersión en Vía (Gestión Residuos Líquidos)
2021_03 Ev007: Publicación de Vertimiento en Suelo
2021_03 Ev008: Publicación de Punto de Muestreo de Agua Superficial
2021_03 Ev009: Publicación de Captaciones de Agua Subterránea
2021_03 Ev010: Publicación de Punto de Muestreo de Agua Subterránea
2021_03 Ev011: Publicación de Inyección</t>
  </si>
  <si>
    <t>SISTEMAS DE INFORMACIÓN E INFRAESTRUCTURA</t>
  </si>
  <si>
    <t>Procesos de adquisición de equipos de hardware y/o herramientas de software</t>
  </si>
  <si>
    <t>Número de procesos de adquisición de equipos de hardware y/o herramientas de software</t>
  </si>
  <si>
    <t>Sin avance en el mes, debido a cambio de enfoque y método de trabajo.</t>
  </si>
  <si>
    <t>Se ha avanzado en el contrato CONECTIVIDAD PARA LA ANLA - VIGENCIAS y en un 0,25 del contrato de ARRENDAMIENTO DE IMPRESORAS Y PERIFERICOS</t>
  </si>
  <si>
    <t>Se ha avanzado en 4 procesos contractuales</t>
  </si>
  <si>
    <t>Número de ataques materializados contra los servicios tecnológicos de la entidad.</t>
  </si>
  <si>
    <t># de ataques materializados contra los servicios tecnológicos de la entidad.</t>
  </si>
  <si>
    <t>Durante el mes de Enero no se materializaron ataques a la infraestructura y sistemas de información de la Entidad.</t>
  </si>
  <si>
    <t>El calculo de avance de este indicador se da de la siguiente forma, es un indicador acumulado:
100 (total) / 12 (meses vencidos al año) = 8,03% mensual * 2 meses (enero y febero) = 16,7%</t>
  </si>
  <si>
    <t>No se han materializado ataques contra los servicios tecnológicos de la entidad a marzo</t>
  </si>
  <si>
    <t>Software y hardware en funcionamiento para la operación de la entidad</t>
  </si>
  <si>
    <t># de Software y hardware adquiridos y/o renovados en funcionamiento al 100% / total de adquisiciones de Software y hardware en la entidad</t>
  </si>
  <si>
    <t xml:space="preserve">En el mes de enero de 2021 no se gestionaron adquisiciones TI (denominador del indicador). Solo contratación de recurso humano. </t>
  </si>
  <si>
    <t>Se ha avanzado en un 4% de la CONECTIVIDAD PARA LA ANLA - VIGENCIAS</t>
  </si>
  <si>
    <t>De las 27 adquisiciones propuestas para 2021, 4 ya se encuentran implementadas y en funcionamiento con licencimianto, soporte y garantia.</t>
  </si>
  <si>
    <t>A-CAPACIDAD TÉCNICA Y HUMANA PARA RESOLVER EN PRIMERA LÍNEA LAS SOLICITUDES DE MESA DE AYUDA (0,50) B-CAPACIDAD TÉCNICA Y HUMANA DE MONITORIZACIÓN DE LA INFRAESTRUCTURA Y LOS SERVICIOS TI (0,25) C-SATISFACCIÓN DEL CLIENTE EN LA RESOLUCIÓN DE CASOS DE MESA DE AYUDA (0,25) D-INCIDENTES QUE AFECTAN LA DISPONIBILIDAD, INTEGRIDAD O CONFIDENCIALIDAD OCASIONADOS POR FALTA DE CAPACIDAD TI (0,05) Y E-CAPACIDAD OTI EN LA GESTIÓN DEL CAMBIO DE LA PLATAFORMA(0,05). LAS CIFRAS RESULTADO DE CADA INDICADOR SON INCORPORADAS EN UN TABLERO DE CONTROL Y REPORTADAS MENSUALMENTE SEGÚN LA FÓRMULA ICPST=[A(0,50)+B(0.25)+C(0,25)]-[D(0,05)}+E(0,05)]</t>
  </si>
  <si>
    <t xml:space="preserve">Se calcula el valor del indicador, teniendo en cuenta los % de avance y ponderaciones a cada indicador del índice </t>
  </si>
  <si>
    <t>Se calcula el valor del indicador, teniendo en cuenta los % de avance y ponderaciones a cada indicador del índice, alcanzando el 95% al mes de marzo de la vigencia</t>
  </si>
  <si>
    <t>Servicios de soporte informático atendidos</t>
  </si>
  <si>
    <t>Cantidad de solicitudes resueltas en primera línea / Cantidad total de solicitudes recibidas a través de Mesa de Ayuda acumulada en el periodo</t>
  </si>
  <si>
    <t>Los casos de soporte técnico de mesa de ayuda resueltos en primera línea durante el mes de enero fueron 2086 sobre 2286 reportados.</t>
  </si>
  <si>
    <t>Se realiza avance de acuerdo al tablero errojado mensualmente por mesa de ayuda: de las 1887 mesas de ayuda reportadas, se atendieron 1710 mess de ayuda lo cual representa el 90,6%</t>
  </si>
  <si>
    <t xml:space="preserve">En el mes de marzo de 2021 se realizaron 1668 solicitudes por mesa de ayuda, de las cuales se atendieron en primera linea 1531. </t>
  </si>
  <si>
    <t>Módulos Del Sistema De Información Actualizados - (Mantenimiento y actualización de software)</t>
  </si>
  <si>
    <t>Número de módulos actualizados</t>
  </si>
  <si>
    <t>Este indicador, se reporta de acuerdo con información extraida de la mesa de ayuda, donde se reportan la cantidad de RFC radicados en el mes. RFC es el formato que se utiliza en TI para pasar un desarrollo a ambiente de producción toda vez que ya fue probado y aceptado por el usuario final. En el mes de febrero se reportaron 6 RFC.</t>
  </si>
  <si>
    <t xml:space="preserve">Se realizaron en marzo 17 más los 6 realizados en febrero se alcanza 23 módulos actualizados. Se evidencia la necesidad de modificar la meta, dado que se supero lo planteado para la vigencia
</t>
  </si>
  <si>
    <t>Proyectos priorizados - Estratégicos Comité Directivo</t>
  </si>
  <si>
    <t>Número de proyectos priorizados</t>
  </si>
  <si>
    <t>No se presenta avance en este indicador, toda vez que no se ha llevado a comité Directivo la priorización de los proyectos. Lo anterior, teniendo en cuenta que en OTI esta diseñando una nueva estrategia para atender los proyectos de software requeridos por las dependencias, la cual será socializada a Comite en el mes de abril.</t>
  </si>
  <si>
    <t>Porcentaje de implementación de los nuevos proyectos priorizados por Comité Directivo</t>
  </si>
  <si>
    <t>Número de proyectos priorizados implementados / Total de proyectos priorizados por Comité Directivo</t>
  </si>
  <si>
    <t>no se ha realizado la priorización de proyectos en Comité Directivo.</t>
  </si>
  <si>
    <t>No se reporta avance en febrero para este indicador, toda vez que aún no se ha realizado la priorización de proyectos en comité directivo.</t>
  </si>
  <si>
    <t>Grupo de Sistemas de Información e Infraestructura</t>
  </si>
  <si>
    <t>Implementación del Plan Estratégico de Tecnologías de la Información PETI 2020 -2022</t>
  </si>
  <si>
    <t># de actividades ejecutadas / # actividades proyectadas para 2021</t>
  </si>
  <si>
    <t>Se formuló, aprobó y publicó en el portal web de la ANLA, el Plan Estratégico de Tecnologías de la Información PETI 2020 -2023</t>
  </si>
  <si>
    <t>La dependencia ha avanzado en un 7% del plan de trabajo establecido para el cumplimiento de las apuestas del PETI en 2021</t>
  </si>
  <si>
    <t>La dependencia ha avanzado en un 20% del plan de trabajo establecido para el cumplimiento de las apuestas del PETI en 2021</t>
  </si>
  <si>
    <t>Implementación del Plan de Seguridad y Privacidad de la Información 2020 -2022</t>
  </si>
  <si>
    <t>Se formuló, aprobó y publicó en el portal web de la ANLA, el PLAN DE SEGURIDAD Y PRIVACIDAD DE LA INFORMACIÓN 2021 como parte integral del PETI.</t>
  </si>
  <si>
    <t>El avance del plan de seguridad de la información se toma de las actividades establecidas en el archivo adjunto "Plan de seguridad digital"</t>
  </si>
  <si>
    <t>El avance del plan de seguridad de la información se toma de las actividades establecidas en el "Plan de seguridad digital" donde se evidencia un avance a corte de marzo de 19,96%</t>
  </si>
  <si>
    <t>Implementación del Plan de Tratamiento de Riesgos de Seguridad y Privacidad de la Información 2020 -2022</t>
  </si>
  <si>
    <t>Se formuló, aprobó y publicó en el portal web de la ANLA, el PLAN DE TRATAMIENTO DE RIESGOS DE SEGURIDAD DE LA INFORMACIÓN como parte integral del PETI.</t>
  </si>
  <si>
    <t>El calculo de este indicador se realizó mediante el avance de las actividades del plan de tratamiento de riesgos plasmado en la tabla llamada "PLan tratamiento riesgos" actividad que presenta avance "GESTIÓN DE RIESGOS DE SEGURIDAD Y LA PRIVACIDAD DE LA INFORMACIÓN - Se realizan sesiones para diligenciamiento del BIA"</t>
  </si>
  <si>
    <t xml:space="preserve">El calculo de este indicador se realizó mediante el avance de las actividades del plan de tratamiento de riesgos plasmado en la tabla llamada "PLan tratamiento riesgos" actividad que presenta avance "GESTIÓN DE RIESGOS DE SEGURIDAD Y LA PRIVACIDAD DE LA INFORMACIÓN </t>
  </si>
  <si>
    <t>Implementación del Plan de implementación tecnologías emergentes (Transformación digital)</t>
  </si>
  <si>
    <t>Porcentaje de avance en la implementación del Plan de tecnologías emergentes</t>
  </si>
  <si>
    <t>En este mes no se presenta avance de este indicador toda vez que se esta recolectando información para realizar pilotos de prueba de concepto</t>
  </si>
  <si>
    <t>Se realizó el documento de entendimiento para identificar tendencias y posibles proveedores para la realización de pruebas de concepto de tecnologías de la revolución 4.0, del plan de trabajo, para un avance del 6%</t>
  </si>
  <si>
    <t>Número de sistemas de información implementados</t>
  </si>
  <si>
    <t>No se presenta avance en este indicador, toda vez que se esta revaluando la estructura y metodologia para el analisis y diseño del SILA II</t>
  </si>
  <si>
    <t>Uso de los sistemas de información</t>
  </si>
  <si>
    <t>Número de usuarios que utilizan los sistemas de información / Número de usuarios programados para utilizar los sistemas de información</t>
  </si>
  <si>
    <t>Sin avance en el mes, debido a cambio de enfoque y método de trabajo. Indicador pendiente de validacion estratégica.</t>
  </si>
  <si>
    <t>Este indicador se obtiene del calculo porcentual de usuarios queingresan a los Sistemas de Información SILAy SIGPRO:
SILA: 477 Usuarios ingresaron en el mes / 1324 usuarios cuentan con aceso = 36%
SIGPRO: 300 usuario ingresaron en el mes / 1343 usuarios cuentan con acceso = 22%
PROMEDIO: 29%</t>
  </si>
  <si>
    <t>El cálculo se basa en el uso de los sitemas más utilizados en la entidad:
SILA: 438/1326= 33%
SIGPRO: 343/1331= 25%
GESPRO: 161/1331 = 12%
SPGI: 69/84= 82%
GESRIESGOS: 40/57=70%
OELA: 47/55= 85%
OESA: 27/42=64%
Avance 59% frente a la meta</t>
  </si>
  <si>
    <t>Porcentaje de satisfacción de los sistemas de información</t>
  </si>
  <si>
    <t>Porcentaje de satisfacción de los usuarios internos de la entidad con los sistemas de información</t>
  </si>
  <si>
    <t>ANUAL</t>
  </si>
  <si>
    <t xml:space="preserve">* El presupuesto por dependencia no inlcuye la asignación a viaticos, tiquetes, nómina y servicios administrativos para funcionamiento de la entidad, esto se verá registrado en el Plan Anual de Adquisiciones.
** En los indicadores se refleja el presupuesto programado, pero queda presupuesto sin programar del total de presupuesto asignado a la dependencia 
</t>
  </si>
  <si>
    <t>Incrementar la credibilidad en la entidad por parte de sus grupos de interés</t>
  </si>
  <si>
    <t>COMUNICACIONES</t>
  </si>
  <si>
    <t>Porcentaje de Posicionamiento de la ANLA a nivel externo</t>
  </si>
  <si>
    <t>(Porcentaje de Posicionamiento de la ANLA a nivel externo 2021/Porcentaje de Posicionamiento de la ANLA a nivel externo 2020)-1</t>
  </si>
  <si>
    <t>7,3%</t>
  </si>
  <si>
    <t>Durante este mes de enero el porcentaje de pocicionamiento positivo de la ANLA en los medios de comunicación nacional y regional, llegó a un 51%, destacando principalmente temas como:  archivó solicitud de licencia de Minesa en el Páramo de Santurbán; multa a Sociedad de Hidroituango por $ 5.500 millones y ANLA e iNNpulsa firman alianza para promover innovación sostenible.</t>
  </si>
  <si>
    <t>14,7%</t>
  </si>
  <si>
    <t>Para el mes de febrero se registraron 69 noticias positivas que equivalen al 51% gestionadas en medios de comunicación, relacionados en los siguientes contenidos: *Beneficios tributarios, logros ANLA, Lizama, Contingencia Campo Moriche, Fracking, Cerro Matoso, Glifosato, Hidroituango </t>
  </si>
  <si>
    <t>51,6%</t>
  </si>
  <si>
    <t>22,2%</t>
  </si>
  <si>
    <t>Notas periodisticas gestionadas y elaboradas por la ANLA</t>
  </si>
  <si>
    <t>No. De notas e información gestionada en medios de comunicación</t>
  </si>
  <si>
    <t>14,8%</t>
  </si>
  <si>
    <t>Durante el mes de enero se gestionaron 65 notas de prensa en los diferentes medios comunicación Nacionales y regionales relacionados con temas como: la alianza de la ANLA con iNNpulsa; Hidroituango; Archivo de licencia de Minesa en páramos de Santurbán y evaluación del proyectos del sector minero.</t>
  </si>
  <si>
    <t>24,3%</t>
  </si>
  <si>
    <t>En el mes de febrero obtuvimos 42 notas gestionadas en medios de comunicación, relacionado con los siguientes temas: Lizama, Glifosato, Cerro Matoso, Petróleo en Boyaca, Hidroituango, Fracking, Contingencia Morichara</t>
  </si>
  <si>
    <t>Para este mes se gestionaron 47 noticias las cuales fueron publicadas en los medios de comunicación en el mes de marzo</t>
  </si>
  <si>
    <t>Direccionamiento Estratégico y Planeación</t>
  </si>
  <si>
    <t>Política de Planeación Institucional</t>
  </si>
  <si>
    <t>Porcentaje de posicionamiento de la ANLA a nivel interno</t>
  </si>
  <si>
    <t>Grado de satisfacción de los colaboradores dela ANLA frente a la comunicación interna.</t>
  </si>
  <si>
    <t>La encuestas a usuarios internos se realizará en el mes de octubre, a patir de este instrumento se obtiene la medición del indicador.</t>
  </si>
  <si>
    <t>Campañas realizadas</t>
  </si>
  <si>
    <t>Número de campañas priorizadas publicadas</t>
  </si>
  <si>
    <t>Se realizó una campaña junto a la Subdirección Administrativa y Financiera, sobre las 13 vacantes de empleo para jóvenes sin experiencia profesional. Esta campaña tuvo acciones en canales de comunicación como el correo electrónico, La Ronda Semanal, Intranet, Carteleras Digitales y página web.</t>
  </si>
  <si>
    <t>Durante el mes de febrero se realizaron 2 campañas correspondientes a: Trabajo en equipo #JuntosPodemosHacerGrandesCosas y	Línea Ética</t>
  </si>
  <si>
    <t>Para este mes se registraron dos campañas:1) Gracias Mujeres Anla (Dìa Internacional de los Derechos de la Mujer y 2) Logros ANLA</t>
  </si>
  <si>
    <t>Contenidos publicados en canales de comunicación externo en servicio</t>
  </si>
  <si>
    <t>Número de contenidos publicados realizadas en canales de comunicación externos</t>
  </si>
  <si>
    <t>Durante este mes se realizaron 345 publicaciones en los principales canales de comunicación externa de la entidad como: Redes sociales Facebook, Twitter, Linkdin y página web de la ANLA</t>
  </si>
  <si>
    <t>Durante el mes de febrero se realizaron 157 publicaciones en página web y 306 publicaciones en redes sociales. El contenido asociado a estos dos canales correspondió a la creación de la línea ética, participación de Audiencias Públicas, contenidos generados desde comunicaciones, tales como: logros ANLA 2020, participación de eventos con entidades para impulsar el desarrollo sostenible, ANLA al día.</t>
  </si>
  <si>
    <t>Para este mes se registraron 108 publicaciones en la página web y 320 publicaciones en redes sociales (Twitter, Facebook, LinkedIn, Youtube</t>
  </si>
  <si>
    <t>Contenidos publicados en canales de comunicación interno en servicio</t>
  </si>
  <si>
    <t>Número de contenidos publicados en canales de comunicación internos</t>
  </si>
  <si>
    <t>6,7%</t>
  </si>
  <si>
    <t>Canales de comunicación en servicio</t>
  </si>
  <si>
    <t>Número de Canales gestionados en servicio</t>
  </si>
  <si>
    <t>Durante este mes se dio uso a 8 canales en servicio institucionales en los que encontramos: Intranet, Videos internos, carteleras digitales, Facebook, Twitter, Linkedin, correo electrónico, Ronda Semanal y página web.</t>
  </si>
  <si>
    <t>En febrero se utilizaron 10 canales de comunicación internos y externos con contenidos creados para cada uno de estos.</t>
  </si>
  <si>
    <t>En marzo se utilizaron 10 canales de comunicación internos y externoscon contenidos creados para cada uno de estos</t>
  </si>
  <si>
    <t>7,6%</t>
  </si>
  <si>
    <t>18,28%</t>
  </si>
  <si>
    <t>8,81%</t>
  </si>
  <si>
    <t>18,11%</t>
  </si>
  <si>
    <t>27,78%</t>
  </si>
  <si>
    <t>* El presupuesto por dependencia no inlcuye la asignación a viaticos, tiquetes, nómina y servicios administrativos para funcionamiento de la entidad, esto se verá registrado en el Plan Anual de Adquisiciones.</t>
  </si>
  <si>
    <t>Contribuir al desarrollo sostenible ambiental a partir de un efectivo proceso de evaluación y seguimiento.</t>
  </si>
  <si>
    <t>Grupo de Permisos y Autorizaciones</t>
  </si>
  <si>
    <t>FORTALECIMIENTO DE LOS PROCESOS DE LA EVALUACIÓN Y EL SEGUIMIENTO DE LAS LICENCIAS, PERMISOS Y TRÁMITES AMBIENTALES EN EL TERRITORIO NACIONAL</t>
  </si>
  <si>
    <t>Actos administrativos expedidos para resolver las solicitudes de evaluación de los permisos y trámites ambientales.</t>
  </si>
  <si>
    <t># de actos administrativos que resuelven solicitudes de permisos ambientales.</t>
  </si>
  <si>
    <t>Para enero de 2021 se emitieron 32 AA  que acogieron la evaluación  de solicitudes de permisos, de las cuales 25 son del trámite No Cites y corresponden al 78.13% de los AA, 4 AA de Diversidad Biológica y 3 de Permisos Fuera de Licencia.</t>
  </si>
  <si>
    <t>Al 28 de febrero de 2021 se emitieron  75 AA  que acogieron la evaluación  de solicitudes de permisos, de las cuales 51 son del trámite No Cites y corresponden al 68% de los AA, 13 AA de Diversidad Biológica  con el 17,33% y 11 de Permisos Fuera de Licencia con el 14,67%.</t>
  </si>
  <si>
    <t>Al 31 de marzo de 2021 se emitieron  121 AA  que acogieron la evaluación  de solicitudes de permisos, de éstas, 75 correspoden al trámite No Cites y corresponden al 61,98% de los AA, 25 AA de Diversidad Biológica  con el 20,66%, 19 de Permisos Fuera de Licencia con el 15,70% y  2 AA de Posconsumo</t>
  </si>
  <si>
    <t>Conceptos técnicos emitidos para resolver las solicitudes de evaluación a permisos y trámites ambientales.</t>
  </si>
  <si>
    <t># de conceptos técnicos realizados para resolver las solicitudes de evaluación de permisos ambientales.</t>
  </si>
  <si>
    <t>Con corte al 28 de febrero, se realizaron 78 ct técnicos de evaluación de solicitudes de permisos, de las cuales 51 fueron sobre el trámite nct y representan el 65.38% de los ct de evaluación de permisos realizados, seguido de idb con el 19.23%, 15 ct, pfl 10 ct correspondientes al 12.82% y posconsumo 2 ct con el 2.56%.</t>
  </si>
  <si>
    <t>Con corte al 31 de marzo, se realizaron 117 CT técnicos de evaluación de solicitudes de permisos, de las cuales 75  fueron sobre el trámite NCT y representan el 64.10% de los CT de evaluación de permisos realizados, seguido  de IDB con el 23.93%, 28 CT,  PFL  12 CT correspondientes al 10.26% y Posconsumo 2 CT con el 1.71%</t>
  </si>
  <si>
    <t>Permisos y trámites ambientales otorgados</t>
  </si>
  <si>
    <t>Sumatoria del número de permisos y trámites otorgados</t>
  </si>
  <si>
    <t>En enero de otorgaron 28 permisos solicitados, de las cuales 25 son del trámite NCT y 3 de Diversidad Biológica.</t>
  </si>
  <si>
    <t>Al 28 de febrero de 2021 se otorgaron 65 permisos solicitados, de las cuales 51 son del trámite NCT, 10 de Diversidad Biológica y 4 de Permisos Fuera de Licencia</t>
  </si>
  <si>
    <t>Al 31 de marzo de 2021 se otorgaron 99 permisos solicitados, de las cuales 75 son del trámite NCT, 20 de Diversidad Biológica y 4 de PFL.</t>
  </si>
  <si>
    <t>Actos administrativos expedidos para resolver el seguimiento de los permisos y trámites ambientales.</t>
  </si>
  <si>
    <t># de actos administrativos que acogen el seguimiento realizado a permisos otorgados.</t>
  </si>
  <si>
    <t>Durante enero no se emitieron actos administrativos que acogieran el seguimiento de permisos otorgados.</t>
  </si>
  <si>
    <t>Al 28 de febrero se emitiron 31 actos administrativos para acoger los seguimientos realizados a permisos otorgados, 22 del grupo idb correspondientes al 71%, 8 de posconsumo y 1 de pfl.</t>
  </si>
  <si>
    <t>Al 31 de marzo se emitiron 96 actos administrativos para acoger los seguimientos realizados a permisos otorgados, 51 del grupo IDB correspondientes al 53%,  30 de Posconsumo con el 31%  y 15 de PFL con el 16%</t>
  </si>
  <si>
    <t>Conceptos técnicos de seguimiento a permisos y trámites ambientales otorgados.</t>
  </si>
  <si>
    <t># de conceptos técnicos realizados para acoger el seguimiento realizado a los permisos otorgados.</t>
  </si>
  <si>
    <t>Durante enero de realizaron 8 CT de seguimiento a permisos otogados de Diversidad Biológica</t>
  </si>
  <si>
    <t>Al cierre de febrero se realizaron 54 CT para hacer seguimiento a los permisos otorgados, el 53.7% de estos seguimientos corresponden a los trámites de IDB, 29 CT;  Posconsumo realizó 16 CT, es decir el 29.6% de participación en el avance y 16.7% Permisos Fuera de Licencia con 9 CT.</t>
  </si>
  <si>
    <t>Al cierre de marzo se realizaron 121 CT para hacer seguimiento a los permisos otorgados, el 52.1% de estos seguimientos corresponden a los trámites de IDB, 63 CT;  Posconsumo realizó 36 CT, es decir el 29.8% de participación en el avance y 18.2% Permisos Fuera de Licencia con 22 CT.</t>
  </si>
  <si>
    <t>Porcentaje de cumplimiento de la meta de gestión de Baterías Plomo Acido</t>
  </si>
  <si>
    <t>Sumatoria total de BUPAS validadas/ sumatoria total de BUPAS de meta de gestión</t>
  </si>
  <si>
    <t>Porcentaje de cumplimiento de la meta de gestión de Bombillas</t>
  </si>
  <si>
    <t>Sumatoria total de bombillas validadas/ sumatoria total de bombillas de meta de gestión</t>
  </si>
  <si>
    <t>Porcentaje de cumplimiento de la meta de gestión de computadores y/o perifericos validadas</t>
  </si>
  <si>
    <t>Sumatoria total de computadores y/o perifericos validadas/ sumatoria total de computadores y/o perifericos de meta de gestión</t>
  </si>
  <si>
    <t>Porcentaje de cumplimiento de la meta de gestión de llantas</t>
  </si>
  <si>
    <t>Sumatoria total de llantas validadas/ sumatoria total de llantas de meta de gestión</t>
  </si>
  <si>
    <t>Porcentaje de cumplimiento de la meta de gestión de pilas y/o acumuladores</t>
  </si>
  <si>
    <t>Sumatoria total de pilas y/o acumuladoras validadas/ sumatoria total de pilas y/o acumuladoras de meta de gestión</t>
  </si>
  <si>
    <t>Grupo de Instrumentos</t>
  </si>
  <si>
    <t>Porcentaje de Instrumentos de evaluación y seguimiento elaborados, optimizados y/o actualizados</t>
  </si>
  <si>
    <t>Con corte a 30 de enero se registra un avance en el porcentaje de gestion de instrumentos del 3, 22 % el cual corresponde al promedio de avance de 18 instrumentos contemplados para el calculo del indicador</t>
  </si>
  <si>
    <t>Para el periodo de febrero no se registra la completitud en un 100% de los instrumentos relacionados con la optimizacion de los procesos de evaluacion y seguimiento de Licencias Ambientales , sin embargo se registra un avance en cuanto al porcentaje de gestion del 10.39% el cual corresponde al promedio de avance de cada uno de los hitos establecidos segun la naturaleza de cada instrument</t>
  </si>
  <si>
    <t>Para el mes de marzo no se registra la completitud en un 100% de los instrumentos relacionados con la optimizacion de los procesos de evaluacion y seguimiento de Licencias Ambientales , sin embargo se registra un avance en cuanto al porcentaje de gestion del 19.0% el cual corresponde al promedio de avance de cada uno de los hitos establecidos segun la naturaleza de cada instrumento</t>
  </si>
  <si>
    <t>Instrumentos de evaluación y seguimiento elaborados, optimizados y/o actualizados</t>
  </si>
  <si>
    <t>Número de instrumentos de evaluación y seguimiento elaborados, optimizados y/o actualizados</t>
  </si>
  <si>
    <t>Para el mes de enero no se ha completado ningun instrumento en un 100% , sin embargo se iniciaron actividades de gestión.</t>
  </si>
  <si>
    <t>Para el periodo de febrero no se registra la completitud en un 100% de los instrumentos relacionados con la optimizacion de los procesos de evaluacion y seguimiento de Licencias Ambientales , sin embargo se registra un avance en cuanto al porcentaje de gestion del 12% el cual corresponde al promedio de avance de cada uno de los hitos establecidos segun la naturaleza de cada instrumento.</t>
  </si>
  <si>
    <t>Para el periodo de marzo no se registra la completitud en un 100% de los instrumentos relacionados con la optimizacion de los procesos de evaluacion y seguimiento de Licencias Ambientales , sin embargo se registra un avance en cuanto al porcentaje de gestion del 21% el cual corresponde al promedio de avance de cada uno de los hitos establecidos segun la naturaleza de cada instrumento.</t>
  </si>
  <si>
    <t>Usuarios beneficiados con acciones de racionalización</t>
  </si>
  <si>
    <t>Sumatoria de usuarios beneficiados con acciones de racionalización</t>
  </si>
  <si>
    <t>Para el mes de enero no se reporto avance del indicador desde la optica de usuarios beneficiados sin embargo se inician las acciones de planeacion y gestion para la implementacion de acciones de racionalizaciòn</t>
  </si>
  <si>
    <t>En el mes no se registra avance del indicador de usuarios beneficiados</t>
  </si>
  <si>
    <t>A corte del mes de marzo se registra un impacto en terminos de usuarios beneficiados correspendiente a 158 gracias a la implementacion de la accion de racionalización que correspondio a formulario único de beneficios tributarios para la radicacion en linea A través de VITAL.</t>
  </si>
  <si>
    <t>Estimación de costos ambientales evitados</t>
  </si>
  <si>
    <t>Valor de los costos internalizados de los proyectos con PMA/ Gasto total de las actividades de proteccion Ambiental</t>
  </si>
  <si>
    <t>Grupo de Certificaciones y Vistos Buenos</t>
  </si>
  <si>
    <t>Actos administrativos expedidos para resolver las solicitudes de evaluación de certificaciones</t>
  </si>
  <si>
    <t># de actos administrativos que acogen la evaluación realizada a certificaciones</t>
  </si>
  <si>
    <t xml:space="preserve">Hasta el 31 de enero de 2021 se emitieron 1884 AA de evaluación de cetificaciones
</t>
  </si>
  <si>
    <t>Hasta el 28 de febrero de 2021 se emitieron 3,888 AA de evaluación de cetificaciones, de los cuales 3.675 corresponden a VUCE, trámite que aporta el 94.52% dentro de este avance, 157 fueron de Prueba Dinámica con una participación de 4.04% y por último Beneficios Tributarios con 56 actos administrativos</t>
  </si>
  <si>
    <t>Hasta el 31 de marzo de 2021 se emitieron 5.989 AA de evaluación de cetificaciones, de los cuales 5.646 corresponden a VUCE, trámite que aporta el 94.27% dentro de este avance, 247 fueron de Prueba Dinámica con una participación de 4.12% y por último Beneficios Tributarios con 96 actos administrativos.</t>
  </si>
  <si>
    <t>Conceptos técnicos emitidos para resolver las solicitudes de evaluación a certificaciones</t>
  </si>
  <si>
    <t># de conceptos técnicos realizados de evaluación realizado a certificaciones</t>
  </si>
  <si>
    <t>Durante enero de 2021 se emitieron 82 CT de evaluación para cetificaciones, de los cuales 60 CT corresponden al trámite de Prueba Dinámica y representan 73.17% del avance y Beneficios Tributarios aportó el 26.83% con 22 actos administrativos</t>
  </si>
  <si>
    <t>Con corte al  28 de febrero de 2021 se emitieron 271 CT de evaluación para cetificaciones, de los cuales 202 CT corresponden al trámite de Prueba Dinámica y representan 74.54% del avance y Beneficios Tributarios aportó el 25.46% con 69 conceptos técnicos.</t>
  </si>
  <si>
    <t>Con corte al 31 de marzo de 2021 se emitieron 446 CT de evaluación para cetificaciones, de los cuales 325 CT corresponden al trámite de Prueba Dinámica y representan 72.87% del avance y Beneficios Tributarios aportó el 27.13% con 121 conceptos técnicos</t>
  </si>
  <si>
    <t>Certificaciones ambientales otorgadas</t>
  </si>
  <si>
    <t>Sumatoria de certificaciones ambientales otorgadas</t>
  </si>
  <si>
    <t>Durante enero  se otorgaron 1.874 certificaciones, 1.804 de VUCE, 49 de Prueba DInámica y 21 de Beneficios Tributarios.</t>
  </si>
  <si>
    <t>Al finalizar febrero de  2021 se otorgaron 3.755 certificaciones, 3.562 de VUCE, 143 de Prueba Dinámica y 50 de Beneficios Tributarios.</t>
  </si>
  <si>
    <t>Al finalizar marzo de  2021 se otorgaron 5.791 certificaciones, 5.489 de VUCE, 218 de Prueba Dinámica y 84 de Beneficios Tributarios.</t>
  </si>
  <si>
    <t>Promedio de la reducción porcentual de los contaminantes emitidos por la flota de vehículos pesados al implementar la normativa vigente (Resolución 910 del 2008, modificada por la Resolución 1111 del 2013, o Resolución 2604 del 2009)</t>
  </si>
  <si>
    <t>x ̅=1/n ∑_i^n▒x_i \n\nx ̅: Promedio de la reducción en porcentaje de los contaminantes emitidos por la flota de vehículos pesados al implementar la normativa vigente.\nn: Cantidad de contaminantes\nx_i: Reducción en porcentaje del contaminante i emitido por la flota de vehículos pesados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</si>
  <si>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Este indicador es de medición semestral</t>
  </si>
  <si>
    <t>Promedio de la reducción porcentual de los contaminantes emitidos por la flota de vehículos livianos y motocicletas al implementar la normativa vigente</t>
  </si>
  <si>
    <t>x ̅=1/n ∑_i^n▒x_i \n\nx ̅: Promedio de la reducción en porcentaje de los contaminantes emitidos por la flota de vehículos livianos y motocicletas al implementar la normativa vigente.\nn: Cantidad de contaminantes\nx_i: Reducción en porcentaje del contaminante i emitido por la flota de vehículos livianos y motocicletas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</si>
  <si>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Porcentaje de reprocesos por verificación de documentos inicial</t>
  </si>
  <si>
    <t>Número de devoluciones por verificación de documentos inicial /Número total de solicitudes</t>
  </si>
  <si>
    <t>El porcentaje de reproceso por verificación de documentos de inicio fue de 5.13%, así que, de un universo de 1.988 solicitudes, se realizó requerimiento a 102.</t>
  </si>
  <si>
    <t>El porcentaje de reproceso por verificación de documentos de inicio fue de 5,58%, así que, de un universo de 3,964 solicitudes recibidas a febrero, se realizó requerimiento a 221 solicitudes.</t>
  </si>
  <si>
    <t>El porcentaje de reproceso por verificación de documentos de inicio fue de 5,76%, así que, de un universo de 6.026 solicitudes recibidas a marzo, se realizó requerimiento a 347 solicitudes</t>
  </si>
  <si>
    <t>Grupo de Regionalización y centro de Monitoreo</t>
  </si>
  <si>
    <t>Documentos técnicos de modelación regional de medios biótico, abiótico y social elaborados</t>
  </si>
  <si>
    <t># de documentos técnicos de modelación regional elaborados</t>
  </si>
  <si>
    <t>A corte 30 de enero de 2021, se registra un  5,38% de avance en la meta, la cual corresponde al Reporte de Alertas de Metica (el reporte tiene un avance del 43%). REG0004-00-2016.
Se avanzó en el diagnóstico y formulación de la estrategia de monitoreo del acuífero de Casanare -REG0003-00-2016 y se está elaborando la estrategia de monitoreo de hidroeléctricas - REG0011-00-2021</t>
  </si>
  <si>
    <t xml:space="preserve">A corte 28 de febrero de 2021, se registra un  avance del 5,38% de avance en la meta, lo que corresponde Reporte de Alertas de Metica- Expediente REG0004-00-2016.
A corte 28 de febrero de 2021, se registra un avance Reporte SZH Río Sogamoso del 10% - Expediente REG0007-00-2016.
1.2. Avance Actualizaciones:
No se reporta avance en actualizaciones para este período.
1.3. Avance Diagnosticos Estrategias:
Se avanzó en el diagnóstico y formulación de la estrategia de monitoreo del acuífero de Casanare del 73% -REG0003-00-2016.
Se avanzó en el diagnóstico y formulación de la estrategia de monitoreo de hidroeléctricas (avancel del 75%) - REG0011-00-2021. 
Se avanzó en el diagnóstico y formulación de la estrategia de biodiversidad  (Flora - avance del 20% y Fauna - avance del 30%) región Orinoquia-Amazonía. 
Se avanzó en el diagnóstico y formulación de la estrategia de monitoreo de la Bahía Cartagena (Atmosfera - avance del  10% y Recurso Hídrico Superficial - avance del 15%). </t>
  </si>
  <si>
    <t>A corte 31 de marzo de 2021, se registra culminación (100%) en el Reporte de Alertas Río Metica - Expediente REG0004-00-2016.
A corte 31 de marzo de 2021, se registra un avance Reporte SZH Río Sogamoso del 18% - Expediente REG0007-00-2016.
A corte 31 de marzo de 2021, se registra un avance del 2% en el Reporte Bahía de Cartagena y Canal del Dique - Expediente REG0012-00-2016.
1.2. Avance Actualizaciones:
No se reporta avance en actualizaciones para este período.
1.3. Avance Diagnosticos Estrategias:
Se avanzó en el diagnóstico y formulación de la estrategia de monitoreo del acuífero Yopal - Casanare en un 95% -REG0003-00-2016.
Se avanzó en el diagnóstico y formulación de la estrategia de monitoreo de hidroeléctricas en un 98% - REG0011-00-2021. 
Se avanzó en el diagnóstico y formulación de la estrategia de monitoreo recurso hídrico superficial Putumayo en un 58%. - REG0016-00-2016.
Se avanzó en el diagnóstico y formulación de la estrategia de biodiversidad  (Flora - avance del 35% y Fauna - avance del 43%) región Orinoquia-Amazonía. REG0011-00-2021.
Se avanzó en el diagnóstico y formulación de la estrategia de monitoreo de la Bahía Cartagena (Componente Atmosférico) en 23%. REG0012-00-2016. 
Se avanzó en el diagnóstico y formulación de la estrategia de monitoreo de la Bahía Cartagena (Recurso Hídrico Superficial) en 15%).  REG0012-00-2016."
https://anla-my.sharepoint.com/:f:/g/personal/aromero_anla_gov_co/Er71n3XnrdhJtv-9lE7UxHkBcAUKwgat0Iy9lE2wB-bR-A?e=PgWAUD</t>
  </si>
  <si>
    <t>Informes elaborados para acompañar la toma de decisiones de autoridades ambientales</t>
  </si>
  <si>
    <t>Sumatoria de informes elaborados para acompañar la toma de decisiones</t>
  </si>
  <si>
    <t>Sobre el avance de indicador de informes elaborados se registra lo siguiente:
Acompañamiento Proceso de Seguimiento
A corte 30 de enero de 2021 se registra 8 CT numerados de 36 solicitudes de acompáñamiento para la toma de decisiones en el marco de Seguimiento de LA,los cuales se detallan a continuación: 1. Explotación Carbonífera Mina La Loma. (LAM0027), Explotación Minera de Carbón El Hatillo (LAM1862), Extracción de Carbón a Cielo Abierto - Mina La Francia. (LAM3199), Mina La Francia (ASB0008), Concesión de Aguas Superficiales Proyecto carbonífero mina “La Francia”. (ASU0019), Quimbo (LAM4090), "El Descanso" (LAM3271), Aeropuerto Internacional El Dorado (LAM0209).
Acompañamiento Proceso de Evaluación
Adicionalmente se registran 41 solicitudes de acompañamiento de visión regional para el proceso de evaluación de LA, las cuales se encuentran en gestión. Por lo anterior para el reporte del indicador, solo se registra lo efectivamente numerado.
Los soportes se pueden evidenciar en el siguiente link: https://anla-my.sharepoint.com/:f:/g/personal/aromero_anla_gov_co/EjP1pR8AeF9CozLpqjEl-BIB99eBcCDYd9Q2gshwDK6IQQ?e=BPrbOG</t>
  </si>
  <si>
    <t>2.1. Avance Sentencias:
1. En cumplimiento de la sentencia del parque Tayrona T-606, se realizaron gestiones con CORPAMAG (Solicitud de información via correo electronico 16-02-2021) e INVEMAR (Reunión 15-02-2021), se envio a la corrdinación del Plan Maestro los ajustes del indicador al seguimiento y se participo en la elaboración del CT LAM0150.
2. En cumplimiento de la sentencia de acción popular 2017-009871-01 Bahia de Cartagena se realizó reunión interna ANLA (12-02-2021) revisión propuesta CARDIQUE, se envia a la OAJ propuesta de oficio para dar respuesta a CARDIQUE (19-02-2021) y elaboro cronograma SIPTA - SSLA para seguimiento proyectos región Caribe - Pacífico (febrero)
2.2. Avance Actos Administrativos de Evaluación
A corte 28 de febrero de 2021, se registran 5 Actos Administrativos de 41 solicitudes de acompañamiento para el proceso de evaluación de LA, los cuales se detallan a continuación:
1.    LAV0032-00-2019 Bloque Colombia Offshore 3
2.    VAR0032 Mina “La Francia”
3.    LAV0012-00-2019 Soto Norte
4.    LAM3271 ""El Descanso""
5.    LAV0037-002019 Construcción de la doble Calzada Pamplona
2.3. Avance Conceptos Técnicos de Seguimiento:
Se registra 17 CT numerados (8CT Enero y 9 Febrero) de 49 solicitudes de acompañamiento para la toma de decisiones en el marco de Seguimiento de LA, los CT de Febrero se detallan a continuación:
9.    LAM0180 Refinería de Barrancabermeja
10.    LAM1801 Estación Vasconia
11.    LAV0002-00-2020 Cerro Matoso
12.    LAV0005-12 Subestación Armenia a 230 kV
13.    LAM0464 Poliducto Yumbo Buenaventura
14.    LAM2327 Trasvase del río Manso al embalse de la Central Miel 
15.    LAM6420 Relleno Sanitario El Carrasco
16.    LAM4121 Variante Chicoral
17.    LAM 2233 Hidroeléctrica Pescadero Ituango
"
https://anla-my.sharepoint.com/:f:/g/personal/aromero_anla_gov_co/EnunWejylDhEqY8vzJhuaoEBFSdiXupEglPDa9RAIRlWQA?e=hoMaEm</t>
  </si>
  <si>
    <t>2.1 Sentencias
2.1.1. Sentencia PNN Tayrona (T-606/2015): A corte 31 de marzo de 2021, se  genera un (1) documento de 5 que se tiene como meta asociado al informe del segundo semestre 2020  para la sentencia en mención.
2.1.2 Sentencia Amazonas (T-4360-2018): para este mes no se realizaron actividades en cumplimiento de ésta sentencia.
2.1.3 Sentencia Bahía de Cartagena - Acción Popular 2017-009871-01: reunión para determinar el alcance de apoyo grupo Caribe – Pacífico – Sistematización Reporte de Alertas y Estrategia de Monitoreo en el marco de la mencionada sentencia. (17-03-2021); envío correo interno a grupo Caribe- Pacifico (18-03-2021) Definición del área de estudio – estrategia bahía de Cartagena – Canal del Dique (18-03-2021); Oficio MADS Mesas técnicas para el cumplimiento de la Sentencia. Reunión con la OAJ seguimiento mensual de avance a compromisos (19-03-2021). 
2.1.4 Sentencia Guajira - Población Wayuu municipios Riohacha, Manaure y Uribia (T-302 de 2017): para este mes no se realizaron actividades en cumplimiento de ésta sentencia.
2.1.5 Sentencia Guajira (T-614/2019): apoyo respuesta Contraloría General de la Nación en relación con la sentencia (17/03/2021).
2.2. Avance Actos Administrativos de Evaluación
A corte 31 de marzo de 2021, se registra un total de 12 Actos Administrativos  de 49 solicitudes de acompañamiento para el proceso de evaluación de LA, los cuales se detallan a continuación:
6. LAV0037-00-2019 Doble Calzada Pamplona - Cúcuta
7. LAV0044-00-2016 Subestación Chivor II
8. LAM3816 Campo Capella
9. PEA0011 La Loma mina Pribbenow
10. LAM1901 Capachos
11. VAR0018 MINA LA DIVISA
12. VAR0032 Caño Bautista
2.3. Avance Conceptos Técnicos de Seguimiento:
Se registra 29 CT numerados (8 CT Enero, 9 CT Febrero y 12 CT Marzo) de 54 solicitudes de acompañamiento para la toma de decisiones en el marco de Seguimiento de LA, los CT de Marzo se detallan a continuación:
18. LAM4005 Llano grande
19. LAM1499 Calizas en Payandé.
20. LAV0066-00-2016 Calzada Túnel - San Jerónimo
21. LAM1568 Variante de Pamplona
22. LAM1894 Variante de Fuemia y Dabeiba
23. LAM7752 Relleno Sanitario Carapacho
24. LAM1094 Arroyo Bruno
25. LAM0368 PTAR Salitre
26. LAM4656 Gecelca
27. LAM0150 Puerto Drummond
28. LAM0464 Los Naranjos
29. LAM1179 Termoguajira</t>
  </si>
  <si>
    <t>Diagnósticos Desarrollados</t>
  </si>
  <si>
    <t>Número de documentos de diagnóstico</t>
  </si>
  <si>
    <t>El documento diagnóstico de Modelación del área regionalizada de alto San Jorge se encuentra actualmente en fase de simulación de escenarios y generación de resultados y productos: El porcentaje de avance de este ejercicio corresponde a un 80% conforme con el plan de trabajo de modelación. El expediente asociado a este documento diagnóstico es REG0004-00-2017.</t>
  </si>
  <si>
    <t>.Diagnósticos 
3.1 Documento diagnóstico de Modelación del área regionalizada de Alto San Jorge: se encuentra actualmente en fase generación de resultados y productos: El porcentaje de avance de este ejercicio corresponde a un 94% conforme con el plan de trabajo de modelación. El expediente asociado a este documento diagnóstico es REG0004-00-2017.
3.2 Documento diagnóstico de Modelación  del área regionalizada (Componente Atmósfera) de la Zona Minera del Cesar se encuentra actualmente en fase de Análisis y/o procesamiento de información: El porcentaje de avance de este ejercicio corresponde a un 58% conforme con el plan de trabajo de modelación. El expediente asociado a este documento diagnóstico es REG0011-00-2017.
3.3. Documento diagnóstico de Modelación (Ruido) Aeropuerto El Dorado se encuentra actualmente en fase de Preparación e implementación de modelo: El porcentaje de avance de este ejercicio corresponde a un 22%  (tierra) y un 20% (aire) conforme con el plan de trabajo de modelación, lo cual da un promedio de porcentaje total de 21%. El expediente asociado a este documento diagnóstico es REG0002-00-2017.
3.4 Documento diagnóstico de Modelación SZH Río Sogamoso (recurso hídrico superficial, recurso hídrico subterráneo y medio biótico, presenta un avance del 5.5%. REG0002-00-2016.
"
https://anla-my.sharepoint.com/:f:/g/personal/aromero_anla_gov_co/EgGril5nRIdMkUHnZHElegcBE71CKT4F5RzXCeDulUuQAA?e=morbfM</t>
  </si>
  <si>
    <t>Grupo de Energía, Presas, Represas, Trasvases y Embalses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</si>
  <si>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</si>
  <si>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</si>
  <si>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A corte del 31 de enero se resolvio el 100% de Se remite Solicitudes de evaluación a licencias ambientales (nuevas y modificaciones) resueltas dentro de los tiempos establecidos en la normatividad vigente.</t>
  </si>
  <si>
    <t>A corte del 28 de febrero se evaluación 3 licencias ambientales (nuevas y modificaciones) resueltas dentro de los tiempos establecidos en la normatividad vigente.</t>
  </si>
  <si>
    <t>A corte del 31 de marzo se han realizado cuatro (4) solicitudes de evaluación a licencias ambientales (nuevas y modificaciones) resueltas dentro de los tiempos establecidos en la normatividad vigente.</t>
  </si>
  <si>
    <t>Porcentaje de visitas a solicitudes de evaluación (nuevas y modificaciones)efectuadas dentro de los tiempos establecidos en la normatividad vigente.</t>
  </si>
  <si>
    <t>(# de visitas de evaluación realizadas dentro de téminos del decreto 1076 /# de expedientes de evaluación que requieran visita con vencimiento de términos de la etapa) * 100</t>
  </si>
  <si>
    <t>A corte del 31 de enero se han realizado el 100 % de visitas a solicitudes de evaluación (nuevas y modificaciones)efectuadas dentro de los tiempos establecidos en la normatividad vigente.</t>
  </si>
  <si>
    <t xml:space="preserve">A corte del 28 de febrero se han realizao 3  visitas a solicitudes de evaluación (nuevas y modificaciones) efectuadas dentro de los tiempos establecidos en la normatividad vigente.
</t>
  </si>
  <si>
    <t>A corte del 31 de marzo se han realizado cinco (5) visitas lo que corresponde al 100% de solicitudes de licenciamiento ambiental a atender dentro de términos del decreto 1076.</t>
  </si>
  <si>
    <t>Porcentaje de Conceptos Técnicos finalizados a solicitudes de evaluación (nuevas y modificaciones) dentro de los tiempos establecidos internamente</t>
  </si>
  <si>
    <t>(# de conceptos técnicos de evaluación finalizados dentro de téminos internos / # de expedientes de evaluación con vencimiento de términos de la etapa de finalización del concepto técnico) * 100</t>
  </si>
  <si>
    <t>A corte del 31 de enero el sector de energia no tenia conceptos tecnicos con vencimiento de terminos.</t>
  </si>
  <si>
    <t>A corte del 28 de febrero se genero 1 concepto técnico finalizado fuera de los terminos.</t>
  </si>
  <si>
    <t>A corte de 31 de marzo no se finalizaron conceptos técnicos (CT) dentro de términos internos, de los dos (2) CT generados.</t>
  </si>
  <si>
    <t>Número de Licencias ambientales evaluadas</t>
  </si>
  <si>
    <t>Número de actos administrativos que resuelven solicitudes de evaluación de licenciamiento ambiental</t>
  </si>
  <si>
    <t>A corte del 31 de enero se han resuelto 3 solicitudes de Licencias ambientales evaluadas.</t>
  </si>
  <si>
    <t>A corte 28 de febrero se generaron 3 Licencias ambientales evaluadas.</t>
  </si>
  <si>
    <t>A corte del 31 de marzo se han generado cuatro (4) actos administrativos que resuelven solicitudes de evaluación de licenciamiento ambiental.</t>
  </si>
  <si>
    <t>Visitas técnicas de evaluación de solicitudes de licenciamiento ambiental</t>
  </si>
  <si>
    <t>Número de visitas técnicas realizadas para el proceso de evaluación de licencias ambientales</t>
  </si>
  <si>
    <t>A corte del 31 de enero se han realizado 1 visita técnica de evaluación de solicitudes de licenciamiento ambiental.</t>
  </si>
  <si>
    <t>A corte del 28 de febrero se realizaron 4 visitas técnicas de evaluación de solicitudes de licenciamiento ambiental.</t>
  </si>
  <si>
    <t>A corte del 31 de marzo se han generado diez (10) visitas técnicas realizadas para el proceso de evaluación de licencias ambientales.</t>
  </si>
  <si>
    <t>Conceptos técnicos emitidos para resolver las solicitudes de evaluación de licenciamiento ambiental</t>
  </si>
  <si>
    <t>Número de conceptos técnicos realizados para resolver las solicitudes de evaluación de licenciamiento ambiental</t>
  </si>
  <si>
    <t>A corte del 31 de enero se tienen 2 conceptos técnicos emitidos para resolver las solicitudes de evaluación de licenciamiento ambiental.</t>
  </si>
  <si>
    <t>A corte del 28 de febrero se han generado 2 conceptos técnicos emitidos para resolver las solicitudes de evaluación de licenciamiento ambiental.</t>
  </si>
  <si>
    <t>A corte del 31 de marzo se han generado tres (3) conceptos técnicos realizados para resolver las solicitudes de evaluación de licenciamiento ambiental.</t>
  </si>
  <si>
    <t>Número de conceptos técnicos con instrumentos acogidos en la etapa de evaluación de licenciamiento ambiental</t>
  </si>
  <si>
    <t>Número de conceptos técnicos de evaluación finalizados que implementan los instrumentos acogidos</t>
  </si>
  <si>
    <t>A corte del 31 de enero se realizaron 2  conceptos técnicos con instrumentos acogidos en la etapa de evaluación de licenciamiento ambiental.</t>
  </si>
  <si>
    <t>A corte del 28 de febrero se han generado 2 conceptos técnicos con instrumentos acogidos en la etapa de evaluación de licenciamiento ambiental.</t>
  </si>
  <si>
    <t>A corte del 31 de marzo se han aplicado a un total de tres (3) Conceptos Tecnicos con instrumentos acogidos.</t>
  </si>
  <si>
    <t>Grupo De Hidrocarburos</t>
  </si>
  <si>
    <t>A corte de 31 de enero se resolvieron el 100% de las solicitudes de evaluación a licencias ambientales (nuevas y modificaciones) resueltas dentro de los tiempos establecidos en la normatividad vigente.</t>
  </si>
  <si>
    <t>Se han generado 3 Actos Administrativos como respuesta a las solicitudes de evaluación a licencias ambientales (nuevas y modificaciones) resueltas dentro de los tiempos establecidos en la normatividad vigente.</t>
  </si>
  <si>
    <t>A corte del 31 de marzo se han realizado cinco (5) solicitudes de evaluación a licencias ambientales (nuevas y modificaciones) resueltas dentro de los tiempos establecidos en la normatividad vigente.</t>
  </si>
  <si>
    <t>A corte de 31 de enero no tenemos visitas con vencimiento de terminos.</t>
  </si>
  <si>
    <t>Se han realizado 2 visitas a solicitudes de licenciamiento ambiental (nuevas y modificaciones)efectuadas dentro de los tiempos establecidos en la normatividad vigente.</t>
  </si>
  <si>
    <t>A corte del 31 de marzo se han realizado siete (7) visitas lo que corresponde al 100% de solicitudes de licenciamiento ambiental a atender dentro de términos del decreto 1076.</t>
  </si>
  <si>
    <t>A corte de 31 de enero se realizaron 2 Conceptos Técnicos finalizados a solicitudes de evaluación (nuevas y modificaciones) fuera de los tiempos establecidos internamente, por lo tanto el reporte es 0.</t>
  </si>
  <si>
    <t>A corte del 28 de febrero se han generado 4 Conceptos Técnicos finalizados fuera de los tiempos establecidos.</t>
  </si>
  <si>
    <t>A corte de 31 de marzo se finalizó un (1) concepto técnico dentro de los términos internos, de ocho (8) conceptos técnicos aprobados .</t>
  </si>
  <si>
    <t>A corte del 31 de enero se han expedido 2 actos administrativos que resuelven solicitudes de evaluación de licenciamiento ambiental.</t>
  </si>
  <si>
    <t>Se generaron 6 Actos administrativos en respuesta a la evaluación de solicitudes de licenciamiento ambiental.</t>
  </si>
  <si>
    <t>A corte del 31 de marzo se han generado seis (6) actos administrativos que resuelven solicitudes de evaluación de licenciamiento ambiental.</t>
  </si>
  <si>
    <t>A corte del 31 de enero se han realizado 2 visitas tecnicas de evaluación finalizados que implementan los instrumentos acogidos.</t>
  </si>
  <si>
    <t>A corte del 28 de febrero se han realizado 3 visitas técnicas de evaluación de solicitudes de licenciamiento ambiental.</t>
  </si>
  <si>
    <t>A corte del 31 de marzo se han generado ocho (8) visitas técnicas realizadas para el proceso de evaluación de licencias ambientales.</t>
  </si>
  <si>
    <t>A corte del 31 de enero se expidio 3 conceptos técnicos de evaluación emitidos.</t>
  </si>
  <si>
    <t>Se han generado 6 conceptos técnicos realizados para resolver las solicitudes de evaluación de licenciamiento ambiental.</t>
  </si>
  <si>
    <t>A corte del 31 de marzo se han generado siete (7) conceptos técnicos realizados para resolver las solicitudes de evaluación de licenciamiento ambiental.</t>
  </si>
  <si>
    <t>A corte del 31 de enero se expidio 1 conceptos técnicos de evaluación finalizados que implementan los instrumentos acogidos.</t>
  </si>
  <si>
    <t>A corte del 28 de febrero se han generado 4 conceptos tecnicos de evaluación finalizados que implementan los instrumentos acogidos.</t>
  </si>
  <si>
    <t>A corte del 31 de marzo se aplicado a un total de siete (7) CT con instrumentos acogidos.</t>
  </si>
  <si>
    <t>Grupo De Infraestructura</t>
  </si>
  <si>
    <t>Durante el mes de enero, se finalizaron 6 AA, de los cuales fueron para NAD y los 4 restantes, para modificaciones.</t>
  </si>
  <si>
    <t>A corte 28 de febrero de  2021 se han expedido10 actos administrativos para resolver las solicitudes de evaluación de licencianto ambiental.</t>
  </si>
  <si>
    <t>A corte 31 de marzo de  2021 se han expedido 14 actos administrativos para resolver las solicitudes de evaluación de licencianto ambiental, de los caules tres (3) se resolvieron en marzo, todas en términos.</t>
  </si>
  <si>
    <t>Durante el mes de enero se realizón una visita de evaluación .</t>
  </si>
  <si>
    <t xml:space="preserve">A corte 28 de febrero de  2021 se han realizado 4 visitas técnicas  para el proceso de evaluación de licenciamiento ambiental.  </t>
  </si>
  <si>
    <t>A corte 31 de marzo de 2021 el sector realizó ocho (8) visitas de licenciamiento ambiental, de las cuales tres (3) se realizaron en marzo.</t>
  </si>
  <si>
    <t>Durante el mes de enero se finalizaron 5 CT, de los cuales 2 fueron para NDA.</t>
  </si>
  <si>
    <t>A corte  28 de febrero de  2021 se han elaborado 9 conceptos técnicos para resolver las solicitudes de evaluación de licencias ambientales.</t>
  </si>
  <si>
    <t>A corte 31 de marzo de 2021 el sector finalizó 13 CT para resolver las solicitudes de evaluación de licenciamiento ambiental, de los cuales cuatro (4) se finalizaron en marzo.</t>
  </si>
  <si>
    <t>Durante este periodo se le implementaron instrumentos a 3 CT de los 3 a los cuales les aplica. (Modificaciones de LA).</t>
  </si>
  <si>
    <t>A cotrte de 28 de febrero se aplicaron los instrumentos a los 5 Conceptos técnicos acogidos mediante AA.</t>
  </si>
  <si>
    <t>Se implementaron instrumentos a ocho (8) CT acogidos con instrumento.</t>
  </si>
  <si>
    <t>Se finalizaron en términos 5 Actos Administrativos en términos, de los 5 programados para este mes; de los cuales 2 son para LA nuevas y 3 pra modificiones.</t>
  </si>
  <si>
    <t>A corte 28 de febrero de  2021 el sector debían resolver 9 solicitudes de licenciamiento ambiental;  (3) Nuevas, (6) Modificaciones, las cuales se resolvieron oportunamente.</t>
  </si>
  <si>
    <t xml:space="preserve">A corte 31 de marzo de  2021 el sector debía resolver 12 solicitudes de licenciamiento ambiental;  tres (3) Nuevas y nueve (9) Modificaciones, las cuales se resolvieron oportunamente. </t>
  </si>
  <si>
    <t>El sector tenía una visita programada en términos para enero, la cual se relaizó en tiempos .</t>
  </si>
  <si>
    <t>A corte 28 de febrero de  2021  el sector debia realizar 5 visitas técnicas, las cuales se realizaron oportunamente.</t>
  </si>
  <si>
    <t>A corte 31 de marzo de  2021  el sector debia realizar 6 visitas técnicas, las cuales se realizaron oportunamente.</t>
  </si>
  <si>
    <t>De los 4 CT programados para finalizar en el mes, se finalizaron 2 en términos .</t>
  </si>
  <si>
    <t>A corte 28 de febrero de  2021  el sector debian elaborar 8 conceptos tecnicos, de los cuales 4 se realizaron oportunamente.</t>
  </si>
  <si>
    <t>A corte 31 de marzo de  2021  el sector debia elaborar 11 conceptos tecnicos, de los cuales 4 se realizaron oportunamente.</t>
  </si>
  <si>
    <t>Grupo De Minería</t>
  </si>
  <si>
    <t>A corte 31 de enero de 2021 el sector no tiene solicitudes con vencimiento de términos.</t>
  </si>
  <si>
    <t xml:space="preserve">A corte 28 de febrero de 2021 el sector debía resolver 2 solicitudes de licenciamiento ambiental; (1) Nueva, (1) Modificación, de las cuales 1 fue resuelta oportumamente.
</t>
  </si>
  <si>
    <t>A corte 31 de marzo de 2021 el sector debía resolver 2 solicitudes de licenciamiento ambiental; (1) Nueva, (1) Modificación, de las cuales 1 fue resuelta oportumamente.</t>
  </si>
  <si>
    <t>A corte 31 de enero de 2021 el sector de minería no tiene visitas pendientes por resolver con vencimiento de términos.</t>
  </si>
  <si>
    <t>A corte 28 de febrero de 2021 el sector de Mineria no tenia visitas con vencimiento de términos para el proceso de evaluación de licenciamiento ambiental.</t>
  </si>
  <si>
    <t>A corte 31 de marzo de 2021 el sector de Mineria no tenia visitas con vencimiento de términos para el proceso de evaluación de licenciamiento ambiental.</t>
  </si>
  <si>
    <t>A corte 31 de enero de 2021 el sector de Minería  no tenía conceptos técnicos con vencimiento de términos (indicador por demanda).</t>
  </si>
  <si>
    <t>A corte 28 de febrero de 2021 el sector de Minería debía finalizar 1 concepto técnico el cual fue finalizado fuera de términos.</t>
  </si>
  <si>
    <t>A corte 31 de marzo de 2021 el sector de Minería debía finalizar 1 concepto técnico el cual fue finalizado fuera de términos.</t>
  </si>
  <si>
    <t>A corte 31 de enero de 2021 el sector de Minería no ha expedido actos administrativos para resolver las solicitudes de evaluación de licenciamiento ambiental (Indicador por demanda).</t>
  </si>
  <si>
    <t xml:space="preserve">A corte 28 de febrero de 2021 el sector de Minería ha expedido 1 acto administrativo para resolver la solicitud de evaluación de licenciamiento ambiental y 1 acto administrativo para resolver la solicitud de permiso fuera de licencia.
</t>
  </si>
  <si>
    <t>A corte 31 de marzo de 2021 el sector de Minería ha expedido 1 acto administrativo para resolver la solicitud de evaluación de licenciamiento ambiental y 5 actos administrativos para resolver la solicitud de permiso fuera de licencia.</t>
  </si>
  <si>
    <t>A corte 31 de enero de 2021 el sector de Minería ha realizado  (1) visita técnica para el proceso de evaluación de licenciamiento ambiental.</t>
  </si>
  <si>
    <t>A corte 28 de febrero de 2021 el sector de Mineria ha realizado 1  visita técnica para el proceso de evaluación de licenciamiento ambiental y 2 visitas técnicas para el proceso de permisos fuera de licencia.</t>
  </si>
  <si>
    <t>A corte 31 de marzo de 2021 el sector de Mineria ha realizado 1  visita técnica para el proceso de evaluación de licenciamiento ambiental y 3 visitas técnicas para el proceso de permisos fuera de licencia.</t>
  </si>
  <si>
    <t>A corte 28 de febreo de 2021 el sector de Mineria ha expedido 1 concepto técnico para resolver las solicitudes de evaluación de licenciamiento ambiental y 3 conceptos técnicos para resolver las solicitudes de permisos fuera de licencia.</t>
  </si>
  <si>
    <t>A corte 31 de marzo de 2021 el sector de Mineria ha expedido 1 concepto técnico para resolver las solicitudes de evaluación de licenciamiento ambiental y 5 conceptos técnicos para resolver las solicitudes de permisos fuera de licencia.</t>
  </si>
  <si>
    <t>A corte 31 de enero de 2021 el sector no finalizó ningun CT, por lo tanto no se realizó la aplicacion de ningun de instrumento.</t>
  </si>
  <si>
    <t>A corte 28 de febrero el sector de minería finalizó un Concepto Técnico con instrumentos acogido.</t>
  </si>
  <si>
    <t xml:space="preserve">Acorte 31 de marzo de 2021 el sector de mineria registra 1 concepto técnico de evaluación finalizado, que implementa los instrumentos acogidos. </t>
  </si>
  <si>
    <t>Grupo de Evaluación de Agroquímicos y Proyectos Especiales</t>
  </si>
  <si>
    <t>A corte 31 de enero de 2021 el Grupo de Agroquímicos debía resolver 2 solicitudes de Licenciamiento Ambiental;  (1) Nueva y (1) Modificación, de las cuales se resolvio (1) Nueva oportunamente.</t>
  </si>
  <si>
    <t>A corte del 28 de  febrero  de 2021 el grupo de agroquimios y Proyectos Especiales debía resolver 5 solicitudes; (4) Nuevas, (1) Modificacion, de las cuales   se resolvieron   (4) Nuevas oportunamente.</t>
  </si>
  <si>
    <t>A corte del 31 de marzo  de 2021 el grupo de Agroquimios y Proyectos Especiales debía resolver 8 solicitudes; (7) Nuevas, (1) Modificacion de las cuales   se resolvieron   (7) Nuevas oportunamente.</t>
  </si>
  <si>
    <t>A corte 31 de de enero de 2021 el sector de Agroquímicos no tenia visitas con vencimiento de términos.</t>
  </si>
  <si>
    <t>A corte 28 de febrero de 2021 el Sector de Agroquímcios y Proyectos Especiales no tenia visitas con venciminto de términos en el mes de febrero de 2021.</t>
  </si>
  <si>
    <t>A corte 31 de marzo de 2021 el Sector de Agroquímcios y Proyectos Especiales tenia 4 visitas con venciminto de términos las cuales se realizaron oportunamente.</t>
  </si>
  <si>
    <t>A corte 31 de enero de 2021 el Grupo de Evaluación de Agroquímicos y Proyectos Especiales debía  expedir un Concepto Técnico, el cual se salió en términos.</t>
  </si>
  <si>
    <t>A corte 28 de febrero de 2021 el Grupo de Agroquímcios y Proyectos Especiales  debía emitir 4 CT  los cuales se finalizaron oportunamente.</t>
  </si>
  <si>
    <t>A corte 31 de marzo de 2021 el Grupo de Agroquímcios y Proyectos Especiales  debía emitir 5 CT  los cuales se finalizaron oportunamente.</t>
  </si>
  <si>
    <t>A corte 31 de enero de 2021 el sector de Evalaución de Agroquímicos y Proyectos Especiales ha expedido 5 actos administrativos para resolver las solicitudes de evaluación de licenciamiento ambiental.</t>
  </si>
  <si>
    <t>A corte 28 de febrero de 2021 el Grupo de Agroquímicos y Proyectos Especiales   Expidio  45 Actos administratvios de los cuales fueorn 39 DTA, 5 LA y 1 PMA.</t>
  </si>
  <si>
    <t>A corte 31 de Marzo de 2021 el Grupo de Agroquímicos y Proyectos Especiales  expidio  56 Actos administratvios de los cuales fueron 48 DTA, 6 LA y 2 PMA.</t>
  </si>
  <si>
    <t>A corte 31 de enero de 2021 el sector no realizo  visitas técnicas de evalauicón.</t>
  </si>
  <si>
    <t>A corte 28 de febrero de 2021 el Grupo de Agroquímicos y Proyectos especiales  realizó 4 visitas correspondientes a 3 LA y 1 PMA.</t>
  </si>
  <si>
    <t>A corte 31 de MArzo de 2021 el Grupo de Agroquímicos y Proyectos especiales  realizó 5 visitas correspondientes a 4 LA y 1 PMA.</t>
  </si>
  <si>
    <t>A corte 31 de enero de 2021 el   Grupo de Evalaución de Agroquímicos y Proyectos Especiales  ha expedido 13 CT  para resolver las solicitudes de evaluación de licenciamiento ambiental.</t>
  </si>
  <si>
    <t>A corte 28 de febrero de 2021 el Grupo de agroquímcios y Proyectos Especiales emitió   34 CT de los cuales correponden a  33 DTA y 1 LA.</t>
  </si>
  <si>
    <t>Acorte 31 de Marzo de 2021 el Grupo de agroquímcios y Proyectos Especiales emitió   44 CT de los cuales correponden a  42 DTA, 1 LA y 1 PMA.</t>
  </si>
  <si>
    <t>A corte 31 de enero de 2021, el sector de Agroquimico y PE finalizó 13 CT correspondientes a solicitudes de DTA, a estos tràmites no les aplica la implementación de instrumentos.</t>
  </si>
  <si>
    <t>A corte 28 de febrero de 2021, el sector de Agroquímicos y PE finalizó 34 CT correspondientes a solicitudes de 33 DTA y 1 LA, a estos trámites no les aplica la implementación de instrumentos.</t>
  </si>
  <si>
    <t>A corte 31 de marzo de 2021 se registra un total de 2 conceptos técnicos de evaluación finalizados que implementan los instrumentos acogidos.</t>
  </si>
  <si>
    <t>Subdirección de Evaluación de Licencias Ambientales</t>
  </si>
  <si>
    <t>A corte 31 de enero de 2021 la entidad debía resolver 11 solicitudes de licenciamiento ambiental; (6) Nuevas y (5) Modificaciones, de las cuales 10 se resolvieron oportunamente, como se muestra a continuación: E1.</t>
  </si>
  <si>
    <t>A corte 28 de febrero de 2021 la entidad debía resolver 22 solicitudes de licenciamiento ambiental; (11) Nuevas y (10) Modificaciones, de las cuales 20 se resolvieron oportunamente (10) Nuevas, (10) modificaciones., como se muestra a continuación: E4.</t>
  </si>
  <si>
    <t>A corte 31 de marzo de 2021 la entidad debía resolver 31 solicitudes de licenciamiento ambiental; (15) Nuevas y (16) Modificaciones, de las cuales 29 se resolvieron oportunamente (14) Nuevas, (15) modificaciones.</t>
  </si>
  <si>
    <t>A corte 31 de enero de  2021 se han expedido 16 actos administrativos para resolver las solicitudes de evaluación de licenciamiento ambiental, distribuidas por sector de la siguiente manera: E2.</t>
  </si>
  <si>
    <t>A corte 28 de febrero de  2021 se han expedido 66 actos administrativos para resolver las solicitudes de evaluación de licenciamiento ambiental, distribuidas por sector e instrumento de la siguiente manera: E1.</t>
  </si>
  <si>
    <t>A corte 31 de marzo de 2021 se han expedido 86 actos administrativos para resolver las solicitudes de evaluación de licenciamiento ambiental, distribuidas por sector e instrumento.</t>
  </si>
  <si>
    <t>A corte 31 de enero de  2021 se han realizado 5 visitas técnicas para el proceso de evaluación de licenciamiento ambiental, distribuidas por sector asi: E3</t>
  </si>
  <si>
    <t>A corte 28 de febrero de  2021 se han realizado 18 visitas técnicas para el proceso de evaluación de licenciamiento ambiental, distribuidas por instrumento y sector asi: E3.</t>
  </si>
  <si>
    <t>A corte 31 de marzo de 2021 se han realizado 35 visitas técnicas para el proceso de evaluación de licenciamiento ambiental, distribuidas por instrumento y sector.</t>
  </si>
  <si>
    <t>Conceptos técnicos de seguimiento a licencias ambientales</t>
  </si>
  <si>
    <t>Número de Conceptos técnicos de seguimiento a licencias ambientales</t>
  </si>
  <si>
    <t>A corte 31 de enero de  2021 se han elaborado 23 conceptos técnicos para resolver las solicitudes de evaluación de licenciamiento ambiental, distribuidos por sector de la siguiente manera: E4</t>
  </si>
  <si>
    <t>A corte 28 de febrero de  2021 se han elaborado 55 conceptos técnicos para resolver las solicitudes de evaluación de licenciamiento ambiental, distribuidos por sector e instrumento de la siguiente manera: E2.</t>
  </si>
  <si>
    <t>A corte 31 de marzo de 2021 se han elaborado 73 conceptos técnicos para resolver las solicitudes de evaluación de licenciamiento ambiental, distribuidos por sector e instrumento.</t>
  </si>
  <si>
    <t>Reporte Trimestral</t>
  </si>
  <si>
    <t>A corte 31 de marzo de 2021 se registra un total de 21 conceptos técnicos de evaluación finalizados que implementan los instrumentos acogidos, estos CT corresponden a tramites de Licencia Ambiental (LA), Plan de Manejo Ambiental (PMA) y Diagnostico Ambiental Alternativas (DAA) en los casos que aplique.</t>
  </si>
  <si>
    <t>Planes institucionales implementados - Implementación de la estrategia de evaluación de licenciamiento ambiental</t>
  </si>
  <si>
    <t>Número de actividades ejecutadas del plan de trabajo establecido / Total de actividades programadas del plan de trabajo</t>
  </si>
  <si>
    <t>Trimestral</t>
  </si>
  <si>
    <t>A corte 31 de marzo de 2021 la implementación de la estrategia de evaluación de licenciamiento ambiental registra un porcentaje de avance del 4% frente a la meta de 24% programada en la vigencia, a la fecha se ha elaborado el plan de trabajo y se han adelantado 54 de las 55 actividades programadas para el primer trimestre en los diferentes componentes.</t>
  </si>
  <si>
    <t>Porcentaje de cambios menores no reglados resueltos oportunamente</t>
  </si>
  <si>
    <t>(Número de Cambios menores no reglados resueltos en términos /Total de Cambios menores no reglados con vencimiento de términos) * 100</t>
  </si>
  <si>
    <t>A corte 31 de enero de 2021, el grupo  tenia 40 activiades de cambios menores no reglados por gestionar con vencimientos de términos, de las cuales 39 fueron atendidos oportunamente distribuidos asi: Infraestructura (13), Hidrocarburos (12), Energía (4), Minería (2) y Agroquímicos (8).</t>
  </si>
  <si>
    <t xml:space="preserve">A corte 28 de febrero de 2021, el grupo tenía 71 actividades de cambios menores no reglados por gestionar con vencimiento de términos, de las cuales 70 fueron atendidas oportunamente distribuidas asi: Infraestructura (21), Hidrocarburos (16), Energía (8), Minería (5) y Agroquímicos (20).
</t>
  </si>
  <si>
    <t>A corte 31 de marzo de 2021, el grupo tenía 94 actividades de cambios menores no reglados por gestionar con vencimiento de términos, de las cuales 93 fueron atendidas oportunamente, distribuidas asi: Infraestructura (26), Hidrocarburos (21), Energía (9), Minería (8) y Agroquímicos (29).</t>
  </si>
  <si>
    <t>Porcentaje de VPD con respuesta oportuna</t>
  </si>
  <si>
    <t>(Numero VPD finalizados en términos / Número de VPD con vencimiento de términos)*100</t>
  </si>
  <si>
    <t>A corte 31 de enero de 2021, el grupo tenía 32 VPD para gestionar con vencimientos de términos, de las cuales 3 fueron atendidas oportunamente. Este bajo porcentaje se debe al aumento del número de VPD por motivo de la reactivación económica al finalizar la vigencia 2020, a la transición del proceso de VPD de la SMPC a SELA y a la falta de personal suficiente al inicio del año 2021 para atender estos trámites.</t>
  </si>
  <si>
    <t>A corte 28 de febrero de 2021, el grupo tenia 61 VPD para gestionar con vencimientos de términos, de las cuales 31 fueron atendidas oportunamente. Es importante resaltar que para el mes de febrero se atendieron oportunamente el 96% de las VPD asignadas.</t>
  </si>
  <si>
    <t>A corte 31 de marzo de 2021, el grupo tenia 111 VPD para gestionar con vencimientos de términos, de las cuales 82 fueron atendidas oportunamente. Es importante resaltar que para el mes de marzo se atendieron oportunamente el 100% de las VPD asignadas.</t>
  </si>
  <si>
    <t>Grupo Valoración y Manejo de Impactos</t>
  </si>
  <si>
    <t>A corte 31 de enero de 2021, el grupo de Servicios Geoespaciales efectuó la verificación de 2 cambios menores no reglados con vencimiento de terminos, los cuales se atendieron oportunamente.</t>
  </si>
  <si>
    <t>A corte 28 de Febrero de 2021, el grupo de Servicios Geoespaciales efectuó la verificación de 7 cambios menores no reglados con vencimiento de terminos a la fecha, los cuales se atendieron oportunamente, para un porcentaje total acumulado del 100% y obteniendo un Porcentaje de cumplimiento frente a la meta de producto del 105%.</t>
  </si>
  <si>
    <t>A corte 31 de Marzo de 2021, el grupo de Servicios Geoespaciales efectuó la verificación de 10 cambios menores no reglados con vencimiento de terminos a la fecha, los cuales se atendieron oportunamente, para un porcentaje total acumulado del 100% y obteniendo un porcentaje de  cumplimiento frente a la meta de producto del 105%.</t>
  </si>
  <si>
    <t>A corte 31 de enero de 2021, el grupo efectuó la verificación de 4 sobre 24 en terminos, los cuales se atendieron oportunamente.</t>
  </si>
  <si>
    <t xml:space="preserve">A corte 28 de Febrero de 2021, el grupo de Servicios Geoespaciales efectuó la verificación de 51 VPD con vencimiento de términos a la fecha, de las cuales para 31 se realizó su revisión en términos alcanzando un porcentaje total acumulado del 61%, obteniendo un porcentaje de cumpliento frente a la meta de producto del 72%. Es importante resaltar que para el mes de febrero se revisaron oportunamente el 100% de las VPD asignadas (27).
</t>
  </si>
  <si>
    <t>A corte 31 de Marzo de 2021, el grupo de Servicios Geoespaciales efectuó la verificación de 87 VPD, de las cuales para 67 se realizó su revisión en términos alcanzando un porcentaje total acumulado del 77,01%, obteniendo un Porcentaje de cumplimiento frente a la meta de producto del 91%. Es importante resaltar que para el mes de marzo se revisaron oportunamente el 100% de las VPD asignadas (38).</t>
  </si>
  <si>
    <t>Porcentaje de proyectos en evaluación revisados desde el componente de compensación e inversión del 1%</t>
  </si>
  <si>
    <t>(Numero de conceptos técnicos numerados que incluyen el componente de compensación e inversión del 1% en etapa de evaluación / Total de conceptos técnicos de evaluación revisados por profesionales del equipo de Compensación e Inversión del 1%) * 100</t>
  </si>
  <si>
    <t>Durante el mes de enero desde el grupo de compensaciones se ha finalizado la revisión de 2 (dos) expedientes yno se ha tenido finalizaciones de actividades desde los sectores que incluyan conceptos finalizados y numerados de compensación y 1%..</t>
  </si>
  <si>
    <t>A corte de febrero se finalizaron desde los sectores con concepto técnico numerado un total de  3 (tres) expedientes y desde Compensaciones_1% fueron finalizadas la revisión para 9 (nueve) expedientes.</t>
  </si>
  <si>
    <t>A corte de marzo se finalizaron desde los sectores con concepto técnico numerado un total de  6 (seis) expedientes y desde Compensaciones_1% fueron finalizadas la revisión para 14 (catorce) expedientes.</t>
  </si>
  <si>
    <t>Porcentaje de Conceptos técnicos de evaluación que incluyen el componente de Riesgos y Contingencias</t>
  </si>
  <si>
    <t>(Numero de Conceptos técnicos de evaluación finalizados que incluyen el componente de Riesgos y Contingencias en etapa de evaluación /Total de conceptos técnicos de evaluación revisados por profesionales de Riesgos y Contingencias) * 100</t>
  </si>
  <si>
    <t xml:space="preserve">Durante el mes de enero se finalizaron desde los sectores con concepto técnico numerado un total de 6 (seis) expedientes y desde Contingencias fueron finalizadas la revisión para 11 (ONCE) expedientes.
</t>
  </si>
  <si>
    <t>A corte de febrero se finalizaron desde los sectores con concepto técnico numerado un total de 14 (catorce) expedientes y desde Contingencias fueron finalizadas la revisión para 21 (veintiuno) expedientes.</t>
  </si>
  <si>
    <t>A corte de marzo se finalizaron desde los sectores con concepto técnico numerado un total de 24 (veinticuatro) expedientes y desde Contingencias fueron finalizadas la revisión para 36 (treintayseis) expedientes.</t>
  </si>
  <si>
    <t>Porcentaje de Conceptos técnicos de evaluación que incluyen el componente de Valoración Económica</t>
  </si>
  <si>
    <t>(Numero de conceptos técnicos de evaluación finalizados que incluyen el componente de valoración económica en etapa de evaluación /Total de conceptos técnicos de evaluación revisados por profesionales de Valoración Económica) * 100</t>
  </si>
  <si>
    <t>A corte 31 de enero de 2021, el grupo efectuó la verificación de 5 sobre 6 en terminos, los cuales se atendieron oportunamente.</t>
  </si>
  <si>
    <t xml:space="preserve">A corte del mes de febrero se finalizaron desde los sectores con concepto técnico numerado un total de 11 (once) expedientes y desde valoración económica fueron finalizadas la revisión para 14 (catorce) expedientes.
</t>
  </si>
  <si>
    <t>A corte del mes de marzo se finalizaron desde los sectores con concepto técnico numerado un total de 19 (diecinueve) expedientes y desde valoración económica fueron finalizadas la revisión para 22 (veintidos) expedientes.</t>
  </si>
  <si>
    <t>Porcentaje de información Adicional revisada</t>
  </si>
  <si>
    <t>Número revisiones de información Adicional / Número solicitudes de información adicional de proyectos obras o actividades allegadas</t>
  </si>
  <si>
    <t>A corte 31 de enero de 2021, el grupo de Servicios Geoespaciales efectuó la verificación de 9 informaciones adicionales de las 9 allegadas en el mes.</t>
  </si>
  <si>
    <t xml:space="preserve">A corte 28 de febrero de 2021, el grupo de Servicios Geoespaciales efectuó la verificación de 16 informaciones adicionales, para un porcentaje total acumulado del 100%. </t>
  </si>
  <si>
    <t>A corte 31 de Marzo de 2021, el grupo de Servicios Geoespaciales efectuó la verificación de 23 informaciónes adicionales,  para un porcentaje total acumulado del 100%.</t>
  </si>
  <si>
    <t>Grupo de Alto Magdalena - Cauca</t>
  </si>
  <si>
    <t>Número de Proyectos licenciados con seguimiento realizado</t>
  </si>
  <si>
    <t>Número de actos administrativos que acogen el seguimiento realizado a los proyectos licenciados</t>
  </si>
  <si>
    <t>En el mes de Enero se finalizaron 8 actos administrativos, distribuidos asi: 7 autos y 1 oralidad correspondientes a rezgos vigencia 2020</t>
  </si>
  <si>
    <t>En el mes de febrero se reportan 13 actos administrativos acumulados correspondiente a : 9 rezagos y 4 actas de oralidad de la vigencia 2021.</t>
  </si>
  <si>
    <t>Se realizaron 15 oralidades y 6 autos para un total de 21 actos administrativos en el mes de marzo.</t>
  </si>
  <si>
    <t>Visitas técnicas de seguimiento a proyectos con licenciamiento ambiental</t>
  </si>
  <si>
    <t>Número de Visitas técnicas de seguimiento a proyectos con licenciamiento ambiental</t>
  </si>
  <si>
    <t>En enero se realizaron 2 visitas de seguimiento, 1 presencial y 1 visita guiada</t>
  </si>
  <si>
    <t>En el mes de febrero acumulado van 21 visitas correspondintes a: 
-Guiadas: 4 (1 en enero-3 en febrero)
-Presenciales: 17 (2 en enero-15 en febrero)</t>
  </si>
  <si>
    <t>En marzo se realizaron 15 visitas, 13 presenciales y 2 guiadas las cuales se suman a las visitas realizadas en enero 2 y febrero 21 para un total de 38</t>
  </si>
  <si>
    <t>Conceptos técnicos de seguimiento con visita realizado a proyectos programados en la vigencia actual</t>
  </si>
  <si>
    <t>Número de conceptos técnicos de seguimiento con visita aprobados en la vigencia actual</t>
  </si>
  <si>
    <t>En Enero no se genero ningun concepto con visita de la vigencia actual</t>
  </si>
  <si>
    <t>Para el mes de febrero se finalizaron 10 conceptos con visita vigencia 2021</t>
  </si>
  <si>
    <t>En marzo se realizaron 16 conceptos técnicos con visita correspondientes a 12 presenciales y 4 guiadas. Se aclara que el concepto técnico del exp LAM0138 No. 1598 del 31 de marzo fue un concepto que se realizó para corregir otro concepto que se numero en febrero y que se reportó en el mes de febrero, por lo tanto no lo estamos reportando en marzo.</t>
  </si>
  <si>
    <t>Conceptos técnicos de seguimiento documental de proyectos priorizados en la vigencia actual</t>
  </si>
  <si>
    <t>Número de conceptos técnicos de seguimiento documental aprobados en la vigencia actual</t>
  </si>
  <si>
    <t>En enero se realizaron 2 conceptos técnicos documentales</t>
  </si>
  <si>
    <t>Se finalizaron 3 conceptos documentales en el mes de febrero y 2 conceptos documentales en el mes de enero de la vigencia 2021.</t>
  </si>
  <si>
    <t>Se realizaron 7 conceptos tecnicos documentales para el mes de marzo.</t>
  </si>
  <si>
    <t>Porcentaje de seguimientos de licenciamiento ambiental con oralidad</t>
  </si>
  <si>
    <t>(Número de seguimientos finalizados con oralidad / Número total de seguimientos de licenciamiento ambiental realizados)*100</t>
  </si>
  <si>
    <t>En enero hubo un avance del 13%  de seguimientos  con oralidad</t>
  </si>
  <si>
    <t>Para el mes de febrero se realizaron 4 oralidades de la vigencia 2021 y en el mes de enero se realizo una oralidad correspondiente a rezago.</t>
  </si>
  <si>
    <t>Se Tiene un total de 19 oralidades a marzo de 34 A.A. de seguimientos de los expedientes reportados</t>
  </si>
  <si>
    <t>Porcentaje de implementación de instrumentos acogidos en la etapa de seguimiento ambiental</t>
  </si>
  <si>
    <t>Número de conceptos técnicos que implementaron los instrumentos generados por SIPTA/ Número de conceptos técnicos de proyectos con seguimiento finalizados durante la vigencia</t>
  </si>
  <si>
    <t>TRIMESTRAL</t>
  </si>
  <si>
    <t>Esta pendiente linea técnica por parte de la SIPTA y SSLA para la implementación de los instrumentos.TRIMESTRAL</t>
  </si>
  <si>
    <t>Grupo de Caribe - Pacifico</t>
  </si>
  <si>
    <t>A corte 31 de enero de 2021 se han expedido 9 actos administrativos, los cuales 2 corresponden a vigencia actual y 7 a rezagos vigencia 2020.</t>
  </si>
  <si>
    <t>A corte 28 de febrero de 2021 se han expedido 20 actos administrativos, los cuales 13 corresponden a vigencia actual y 7 a rezagos vigencia 2020. Se carga BD ajustada.</t>
  </si>
  <si>
    <t>A corte 31 de marzo de 2021 se han expedido 48 actos administrativos, los cuales 41 corresponden a vigencia actual y 7 a rezagos vigencia 2020</t>
  </si>
  <si>
    <t>Visitas técnicas de seguimiento a proyectos con licenciamiento ambiental [ Plan de Acción ]</t>
  </si>
  <si>
    <t>En enero se realizaron 2 visitas de seguimiento</t>
  </si>
  <si>
    <t>A corte 28 de febrero de 2021 la Región realizó  21 visitas de seguimiento presencial y 13 visitas guiadas. Se carga la BD ajustada.</t>
  </si>
  <si>
    <t>A corte 31 de marzo de 2021 la Región realizó  41 visitas de seguimiento presencial y 19 visitas guiadas.</t>
  </si>
  <si>
    <t>Conceptos técnicos de seguimiento con visita realizado a proyectos programados en la vigencia actual [ Plan de Acción ]</t>
  </si>
  <si>
    <t>A corte 28 de febrero de 2021 la Región elaboró 6 CT con visita. Se carga BD ajustada.</t>
  </si>
  <si>
    <t>A corte 31 de marzo de 2021 la Región elaboró 31 CT con visita</t>
  </si>
  <si>
    <t>Conceptos técnicos de seguimiento documental de proyectos priorizados en la vigencia actual [ Plan de Acción ]</t>
  </si>
  <si>
    <t xml:space="preserve">A corte 31 de enero de 2021 la Región realizó la región ha elaborado 9 CT documental de seguimiemto </t>
  </si>
  <si>
    <t xml:space="preserve">A corte 28 de febrero de 2021 la Región elaboró 24 CT documental de seguimiento , Se carga BD ajustada. </t>
  </si>
  <si>
    <t xml:space="preserve">A corte 31 de marzo de 2021 la Región elaboró 28 CT documental de seguimiento </t>
  </si>
  <si>
    <t>Porcentaje de seguimientos de licenciamiento ambiental con oralidad [ Plan de Acción ]</t>
  </si>
  <si>
    <t>A corte 31 de enero de 2021 se tiene un avance del 33% de oralidades.</t>
  </si>
  <si>
    <t>A febrero 12 de los 20 actos administrativos de los seguimientos se hicieron por oralidad</t>
  </si>
  <si>
    <t>Porcentaje de avance del 73%, para un avance de 35 oralidades a corte del 31 de marzo.</t>
  </si>
  <si>
    <t xml:space="preserve"> Porcentaje de implementación de instrumentos acogidos en la etapa de seguimiento ambiental [ Plan de Acción ]</t>
  </si>
  <si>
    <t>A corte del 31 de marzo de 2021, no se han finalizado conceptos técnicos que implementen los instrumentos generados por SIPTA. TRIMESTRAL</t>
  </si>
  <si>
    <t>Grupo de Medio Magdalena - Cauca - Catatumbo</t>
  </si>
  <si>
    <t>Se emitieron dos resoluciones de implementacion de medidas, las cuales no suman para el indicador de AA. Debido a que no se generaron CT de seguimiento, no se requirio emitir AA.
El equipo jurdico trabajo en la revision de los CT sancionatorios, insumos a la OAJ y RASP, respuestas a recursos de reposicion y reuniones con usuarios.</t>
  </si>
  <si>
    <t>Para el mes de febrero la región de MMCC realizo 1 oralidad correspondiente al CT de visita realizada al expediente LAM2233, no obstante, el equipo jurídico de la región emitió 11 Resoluciones en el marco del seguimiento del 2020 contemplando aprobaciones de planes de compensación, cesión y ajuste vía seguimiento.</t>
  </si>
  <si>
    <t>Para el mes de marzo la región de MMCC expidió 4 Autos, 2 Resoluciones y 12 oralidades, el acumulado al mes de marzo es de 18 Actos Administrativos de los 298 Programados como meta.</t>
  </si>
  <si>
    <t>Se reportan 2 visitas para el mes de enero correspondientes a la region de MMCC</t>
  </si>
  <si>
    <t>Para el mes de febrero la region de MMCC realizo 18 Visitas de las cuales 3 se ejecutaron de forma presencial y 15 mediante la modalidad " visita guiada", sumadas las 2 de enero en total se presenta un avance de 20 visitas realizadas</t>
  </si>
  <si>
    <t>Para el mes de marzo la región de MMCC realizo 18 visitas (4 presenciales y 14 guiadas), el acumulado para el mes de marzo es de 39 visitas (9 presenciales, 30 guiadas), de las 212 programadas como meta.
Es importante recordar que la región de MMCC no contempla rezagos 2020.</t>
  </si>
  <si>
    <t>Teniendo en cuenta que en el mes de enero se da el ingreso del personal en fechas diferentes (entre el 15 y el 29 de enero) y no se conto con 13 personas del total del grupo MMCC proyectado, se hace la siguiente relacion de conceptos tecnicos (CT) que fueron elaborados por el equipo y que si bien no se consideran en los indicadores, forman parte de las obligaciones que debe asumir el grupo, por lo cual se procedio a su elaboracion mientras se dispone de los criterios de priorizacion necesarios para establecer la planeacion general</t>
  </si>
  <si>
    <t>Para el mes de febrero la region de MMCC realizo 1 CT con visita  correspondiente al expediente LAM2233.</t>
  </si>
  <si>
    <t>Para el mes de marzo la región de MMCC realizo 17 conceptos técnicos con visita, el acumulado para el mes de marzo es de 18 conceptos técnicos con visitas, de las 212 programadas como meta.
Es importante recordar que la región de MMCC no contempla rezagos 2020.</t>
  </si>
  <si>
    <t>No se reporta avance del indicador</t>
  </si>
  <si>
    <t>Para el mes de febrero la region de MMCC realizo 5 CT documentales, 4 correspondientes a seguimiento y 1 a plan de compensacion y 1% ejecutado por la region.</t>
  </si>
  <si>
    <t>Para el mes de marzo la región de MMCC realizo 7 conceptos técnicos documentales, el cumulado para el mes de marzo es de 12 conceptos técnicos documentales, de los 86 programados como meta.</t>
  </si>
  <si>
    <t>La region MMCC, no quedó con rezagos en sus actos administrtivos del 2020, motivo por el cual no fue necesario adelantar oralidades en este periodo.</t>
  </si>
  <si>
    <t>Para el mes de febrero la region de MMCC realizo 1 oralidad correspondiente al expediente LAM2233</t>
  </si>
  <si>
    <t>Para el mes de marzo la región de MMCC presidio 11 Oralidades, el acumulado al mes de marzo es de 12 Actas (0.75 del 54%) de los 298 Programados. (los actos administrativos totales son 18 conformados pos 12 Actas, 4 Autos y 2 Resoluciones).</t>
  </si>
  <si>
    <t>El instrumento disponible en el trimestre en el trimestre fue el de desmantelamiento y abandono de hidrocarburos y no aplicaba a los expedientes numerados de la region. TRIMESTRAL</t>
  </si>
  <si>
    <t>Grupo de Orinoquía - Amazonas</t>
  </si>
  <si>
    <t>Durante el mes de enero del 2021, se realizaron 17 Actos Administrativos de rezagos del año 2020 de los cuales 6 son oralidades y 11 autos.
El equipo jurdico trabajo en la revision de los CT sancionatorios, insumos a la OAJ y RASP, respuestas a recursos de reposicion y reuniones con usuarios.</t>
  </si>
  <si>
    <t>Se realizaron 24 Actos Administrativos, 18 de rezagos del año 2020  y 6 de la vigencia actual, de los cuales 11 son oralidades y 13 autos.</t>
  </si>
  <si>
    <t>A corte 31 de Marzo del 2021, la Región Orinoquia Amazonas, expidió 43 actos administrativos que acogen el seguimiento a proyectos licenciados, de los cuales 18 actos administrativos corresponden a rezagos vigencia 2020 y 25 actos administrativos corresponden a vigencia actual.</t>
  </si>
  <si>
    <t>Para el mes de enero no se realizaron visitas de seguimiento, ya que la mayoria de los profesionales tecnicos se contrataron en el mes de enero.</t>
  </si>
  <si>
    <t>Al mes de febrero se reportan 22 visitas efectuadas</t>
  </si>
  <si>
    <t>A corte 31 de Marzo del 2021, la Región Orinoquia Amazonas realizó 43 visitas, de los cuales 15 corresponden a visitas presenciales, y 28 corresponden a visitas Guiadas.</t>
  </si>
  <si>
    <t>Para el mes de enero del 2021, no se elaboraron ct de visita ya que la mayoria de los profesionales tecnicos se contrataron en el mes de enero.</t>
  </si>
  <si>
    <t>A corte 28 de febrero del 2021, la Región Orinoquia Amazonas, expidió 4 CT con visita, de los cuales 3 corresponden a CT de visitas guiadas y 1 corresponde a CT de visita presencial.</t>
  </si>
  <si>
    <t>A corte 31 de Marzo del 2021, la Región Orinoquia Amazonas, expidió 17 CT con visita, de los cuales 13 corresponden a CT de visitas guiadas y 4 corresponde a CT de visita presencial.</t>
  </si>
  <si>
    <t>Para el mes de enero del 2021 no se realizaron Ct documentales, ya que la mayoria de los profesionales tecnicos fueron contratados en el mes de enero.</t>
  </si>
  <si>
    <t>A corte 28 de febrero del 2021, la Región Orinoquia Amazonas, expidió 8 CT documental.</t>
  </si>
  <si>
    <t>A corte 31 de Marzo del 2021, la Región Orinoquia Amazonas, expidió 19 CT documental.</t>
  </si>
  <si>
    <t>A corte 31 de enero del 2021, la Region Orinoquia Amazonas expidio 6 acta de oralidad, de las cuales corresponden a rezagos  del año 2020.</t>
  </si>
  <si>
    <t>A corte  28 de febrero  del 2021,  la Región Orinoquia Amazonas  expidió 11 Actas de Oralidad de las cuales 6  actas corresponden a rezagos vigencia 2020 y 5 actas corresponden  a vigencia actual.</t>
  </si>
  <si>
    <t>A corte  31 de Marzo del 2021,  la Región Orinoquia Amazonas  expidió 28 Actas de Oralidad de las cuales 6  actas corresponden a rezagos vigencia 2020 y 22 actas corresponden  a vigencia actual. (Que equivale a un 65%)</t>
  </si>
  <si>
    <t>Para este primer trimestre la Región Orinoquia no reportó el indicador, ya que teniendo en cuenta que la capacitación al instrumento fue realizada el 26 de febrero y 17 de marzo del 2021 por SIPTA se surgieron dudas de cómo aplicarlas, ya que el instrumento de matriz de obligaciones requiere de mucho tiempo porque algunos proyectos tiene muchos actos administrativos, y con relación al instrumento de desmantelamiento y abandono la capacitación fue realizada el 17 de marzo y no se ha aplicado este instrumento. TRIMESTRAL</t>
  </si>
  <si>
    <t>Grupo de Seguimiento de Agroquímicos y Proyectos Especiales</t>
  </si>
  <si>
    <t xml:space="preserve">mes de Enero que evidencia la expedición de 34  Actos administrativos del Grupo de agroquimicos y proyectos especiales </t>
  </si>
  <si>
    <t xml:space="preserve">A corte de 28 de febrero de 2021 el grupo (Seguimiento) de Agroquímicos y Proyectos Especiales ha expedido 132 actos administrativos, para un total de 168 actos administrativo-acumulados en el año 2021 de 1584 programados como meta.
Cabe mencionar que en el mes de enero no se incluyeron 2 (dos) actos admirativos, por lo tanto fueron sumados en el mes de febrero. </t>
  </si>
  <si>
    <t>A corte de 31 de marzo de 2021 el grupo (Seguimiento) de Agroquímicos y Proyectos Especiales ha expedido 151 actos administrativos, para un total de 319 actos administrativo-acumulados en el año 2021 de 1584 programados como meta.</t>
  </si>
  <si>
    <t>el reporte de los concepots técnicos expedidos en el mes de enero, que corresponden a 85</t>
  </si>
  <si>
    <t>A corte de 28 de febrero de 2021 el grupo (Seguimiento) de Agroquímicos y Proyectos Especiales ha realizado 144 conceptos técnicos, para un total de 229 conceptos técnicos acumulados en el año 2021 de 1584 programados como meta.</t>
  </si>
  <si>
    <t>A corte de 31 de marzo de 2021 el grupo (Seguimiento) de Agroquímicos y Proyectos Especiales ha realizado 161 conceptos técnicos, para un total de 390 conceptos técnicos acumulados en el año 2021 de 1584 programados como meta.</t>
  </si>
  <si>
    <t>No Aplica, actualmente el indicador para este Grupo por eso se reporta 0%. TRIMESTRAL</t>
  </si>
  <si>
    <t>Subdirección de Seguimiento de Licencias Ambientales</t>
  </si>
  <si>
    <t>Durante el mes enero de 2021 se emitieron 68 actos administrativos, de los cuales 36 son vigencia 2020 (36 autos) y 32 son rezagos (22 Autos y 10 Oralidades)</t>
  </si>
  <si>
    <t>Al mes febrero de 2021 se emitieron 226 actos administrativos, de los cuales 192 son vigencia 2021 (172 autos, 19 oralidades y 1 resolución) y 34 son rezagos (24 Autos y 10 Oralidades)</t>
  </si>
  <si>
    <t>Al mes marzo de 2021 se emitieron 462 actos administrativos, de los cuales 428 son vigencia 2021 (335 autos, 88 oralidades y 5 resolución) y 34 son rezagos (24 Autos y 10 Oralidades)</t>
  </si>
  <si>
    <t>Durante el mes enero de 2021 se realizaron 6 visitas, de los cuales 4 fueron presenciales y 2 guiadas</t>
  </si>
  <si>
    <t>Durante el mes febrero de 2021 se realizaron 97 visitas, de las cuales 49 fueron presenciales y 48 guiadas</t>
  </si>
  <si>
    <t>Durante el mes marzo de 2021 se realizaron 180 visitas, de las cuales 80 fueron presenciales y 100 guiadas.</t>
  </si>
  <si>
    <t>Durante el mes de enero de 2021, se realizaron 96 conceptos técnicos, los cuales fueron documentales</t>
  </si>
  <si>
    <t>Durante el mes de febrero de 2021, se realizaron 292 conceptos técnicos, los cuales fueron 271 documentales y 21 con visita</t>
  </si>
  <si>
    <t>Durante el mes de marzo de 2021, se realizaron 553 conceptos técnicos, los cuales fueron 461 documentales y 92 con visita</t>
  </si>
  <si>
    <t>Durante el mes de enero de 2021 se tuvo un avance del 29% en las oralidades, dado que de los 34 actos administrativos generados por los grupos Alto Magdalena-Cauca, Caribe - Pacifico, Magdalena Medio - Cauca – Catatumbo y Orinoquia – Amazonas, 10 fueron por Oralidad.</t>
  </si>
  <si>
    <t>Durante el mes de febrero de 2021 se tuvo un avance del 50% en las oralidades, dado que de los 58 actos administrativos generados por los grupos Alto Magdalena-Cauca, Caribe - Pacifico, Magdalena Medio - Cauca – Catatumbo y Orinoquia – Amazonas, 29 fueron por Oralidad</t>
  </si>
  <si>
    <t>Acumulado al mes de marzo de 2021 se tuvo un avance del 65,73% en las oralidades, dado que de los 143 actos administrativos generados por los grupos Alto Magdalena-Cauca, Caribe - Pacifico, Magdalena Medio - Cauca – Catatumbo y Orinoquia – Amazonas, 94 fueron por Oralidad</t>
  </si>
  <si>
    <t>Cobertura de la entidad en proyectos activos objetos de seguimiento en licenciamiento ambiental</t>
  </si>
  <si>
    <t>(Número de proyectos activos con seguimiento realizado en la vigencia/ Número total de proyectos activos objeto de seguimiento)*100</t>
  </si>
  <si>
    <t>Durante el mes de enero de 2021, se realizó seguimiento a 2 expedientes en la vigencia 2021 de los grupos Alto Magdalena-Cauca, Caribe - Pacifico, Magdalena Medio - Cauca – Catatumbo y Orinoquia – Amazonas.</t>
  </si>
  <si>
    <t>Al mes de febrero de 2021, se realizó seguimiento a 24 expedientes en la vigencia 2021 de los grupos Alto Magdalena-Cauca, Caribe - Pacifico, Magdalena Medio - Cauca – Catatumbo y Orinoquia – Amazonas.</t>
  </si>
  <si>
    <t xml:space="preserve">Al mes de marzo de 2021, se realizó seguimiento a 109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</si>
  <si>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Porcentaje de seguimientos efectuados a proyectos en etapa de construcción</t>
  </si>
  <si>
    <t>(Número de proyectos en etapa de construcción con seguimiento ambiental durante la vigencia/ Número total de proyectos en etapa de construcción)*100</t>
  </si>
  <si>
    <t>Durante el mes de enero de 2021, no se realizó seguimiento para la vigencia 2021 a los proyectos en construcción</t>
  </si>
  <si>
    <t>Al mes de febrero se realizó seguimiento a dos proyectos en construcción de los 133 identificados en esta etapa.</t>
  </si>
  <si>
    <t>Al mes de marzo se realizó seguimiento a 13 proyectos en construcción de los 133 que se encuentran en esta etapa, segun el reporte de OESA.</t>
  </si>
  <si>
    <t>Durante el primer trimestre no se presento avance en el indicador, lo cual se debe a que el único instrumento considerado para su implementación corresponde al de desmantelamiento y abandono de hidrocarburos, el que no fue tenido en cuenta en los CT finalizados en la SSLA. TRIMESTRAL</t>
  </si>
  <si>
    <t>Grupo Valoración y manejo de impactos Seguimiento</t>
  </si>
  <si>
    <t>Proyectos con Indice de Desempeño Ambiental en implementación [ Proyecto de inversión ]</t>
  </si>
  <si>
    <t>Número de proyectos en seguimiento con aplicación de la metodología del Indice de Desempeño Ambiental</t>
  </si>
  <si>
    <t xml:space="preserve">Durante el mes de enero se les ha aplicado el IDA a 43 proyectos  es decir al 3% de los proyectos priorizados para 2021 </t>
  </si>
  <si>
    <t>Durante el mes de febrero se avanzo 96 expedientes  los cuales han sido objeto de análisis del Indice de Desempeño Ambiental en implementación para  un acumulado de 139. Se ajusta que el indicador se reporta en numero y no en porcentaje</t>
  </si>
  <si>
    <t>Hasta marzo se han avanzado en un acumulado de 254  proyectos a los cuales se ha aplicado el Seguimiento documental espacial (SDE) para ello en la pestaña denominada "Apoyo CT" se filtra en la columna E el indicador denominado "Proyectos licenciados objeto de seguimiento con Seguimiento Documental Espacial" y se evidencia acorde a las fechas de numeración (columna M) el valor antes referido</t>
  </si>
  <si>
    <t>Proyectos licenciados objeto de seguimiento con Seguimiento Documental Espacial [ Plan de Acción ]</t>
  </si>
  <si>
    <t>Número de proyectos licenciados objeto de seguimiento con Seguimiento Documental Espacial</t>
  </si>
  <si>
    <t xml:space="preserve">Durante el mes de enero se les ha aplicado el Seguimiento Documental Espacial a 43 proyectos  es ecir al 3% de los proyectos priorizados para 2021 </t>
  </si>
  <si>
    <t>Durante el mes de febrero se avanzo 96 expedientes a los cuales han sido objeto de  Seguimiento Documental Espacial para  un acumulado de 139. Se ajusta que el indicador se reporta en numero y no en porcentaje</t>
  </si>
  <si>
    <t>Hasta marzo se han avanzado en un acumulado de 254  proyectos a los cuales se ha aplicado el Seguimiento documental espacial (SDE) para ello en la pestaña denominada "Apoyo CT" se filtra en la columna E el indicador denominado "Proyectos licenciados objeto de seguimiento con Seguimiento Documental Espacial  " y se evidencia acorde a las fechas de numeración (columna M) el valor antes referido</t>
  </si>
  <si>
    <t>Porcentaje de proyectos revisados desde el componente de compensación e inversión del 1%</t>
  </si>
  <si>
    <t>(Número de conceptos técnicos numerados que incluyen el componente de compensación e inversión del 1% en etapa de seguimiento/ Total de conceptos técnicos revisados por profesionales del equipo de compensación e inversión del 1% en etapa de seguimiento) * 100</t>
  </si>
  <si>
    <t>Durante el mes de enero: Se elaboraron 6 conceptos tecnicos en atención a Recursos de Reposición en contra de resoluciones emitidas en virtud al acogimeinto al artículo 321 del PND Ley 1955 del 25 de mayo de 2019, esto frente a los asignados correspondel a una gestion del 46,15%</t>
  </si>
  <si>
    <t>Durante el mes de febrero se emitió 29 Conceptos técnicos de 32 por gestionar distribuidos así: 19 conceptos técnicos en atención a Recursos de Reposición, 3 conceptos técnicos en virtud del acogimiento al artículo 321 de la ley 1955 de 2019 y 7 apoyos a los grupos regionales ; para un acumulado numerado de 35 conceptos técnicos sobre 38 asignaciones.  Además se complementaron dos fechas de la columna denominada "fecha de asignación" para que coincidan los filtros y se ajustan las fechas que relacionaban 2020</t>
  </si>
  <si>
    <t>A marzo hay un acumulado de 70 conceptos técnicos numerados que incluyen el componente de compensación e inversión del 1% en etapa de seguimiento sobre 76 que se debían gestionar en el mismo periodo. El filtro se hace accediendo a la pestaña "Indicador 1" en la columna E denominada "Fecha de asignación" y se evidencia que hasta marzo 31 habia por gestonar 76 ct donde luego se filtra la columna L "Fecha Concepto Técnico" y se encuentran los 70 CT a la fecha numerados por el grupo (acumulado enero, febrero y marzo)</t>
  </si>
  <si>
    <t>Porcentaje de verificación preliminar de los ICA [ Plan de Acción ]</t>
  </si>
  <si>
    <t>(Número de ICA verificados/ Número de ICA recibidos)* 100</t>
  </si>
  <si>
    <t>Se tienen a corte de 31 de diciembre 481 verificaciones preliminares de ICA pendientes de gestionar. A corte de enero 31 se analizaron 131 es decir el 27%. Se reportan 132 por que se incluyo una con fecha de febrero</t>
  </si>
  <si>
    <t xml:space="preserve">Se lleva un acumulado a corte de 28 de febrero de 215  informes de cumplimiento ambiental verificados preliminarmente, frente a 534  informes de cumplimiento ambiental radicados por los titulares de los proyectos. </t>
  </si>
  <si>
    <t>Hasta marzo se han avanzado en un acumulado de 48% en los informes de cumplimiento ambiental verificados preliminarmente sobre el total a gestionar para ello en la pestaña denominada "Apoyo CT" se filtra en la columna M  las fechas de numeración donde se soporta el valor antes referido.</t>
  </si>
  <si>
    <t>Avance en la estrategia para la inversión del 1% y compensación en los territorios beneficiados por proyectos licenciados [ Plan de Acción ]</t>
  </si>
  <si>
    <t>Número de hectaréas aprobadas para desarrollar acciones de conservación, preservación y restauración con cargo al 1% y la compensación ambiental en las áreas habilitadas por la estrategia para Compensación y 1%</t>
  </si>
  <si>
    <t>Durante el mes de enero se avanzó en aprobar 1280,48 hectáreas donde se desarrollen acciones de conservación, preservación y restauración con cargo al 1% y a la compensación ambiental</t>
  </si>
  <si>
    <t>Durante el mes de febrero se aprobaron 144,87  hectaréas  para desarrollar acciones de conservación, preservación y restauración con cargo al 1% y la compensación ambiental en las 6000 áreas habilitadas por la estrategia para Compensación y 1%, llegando a un acumulado de 1425,35 hectareas. Se hizo corrección de una coma en la base soporte anexa</t>
  </si>
  <si>
    <t>1450,35  hectaréas aprobadas para desarrollar acciones de conservación, preservación y restauración con cargo al 1% y la compensación ambiental en las áreas habilitadas por la estrategia para Compensación y 1%, donde 25 hectáreas son del mes de marzo</t>
  </si>
  <si>
    <t>Porcentaje de proyectos revisados desde el componente de contingencias</t>
  </si>
  <si>
    <t>(Número de conceptos técnicos de seguimiento numerados con participación del equipo de contingencias / Número total de conceptos técnicos de seguimiento asignados al equipo de contingencias) * 100</t>
  </si>
  <si>
    <t xml:space="preserve">Durante el mes de enero se numeraron dos (2) conceptos técnicos con participación del equipo de contingencias sobre cuatro conceptos asignados </t>
  </si>
  <si>
    <t xml:space="preserve">Se tiene un avance acumulado de 18 conceptos técnicos numerados con participación del equipo de contingencias sobre 42 solicitudes asignadas a corte de 28 de febrero de 2021. </t>
  </si>
  <si>
    <t xml:space="preserve">Hasta el mes de marzo se han numerado 61 Conceptos técnicos que incluyen el componente de contingencias de 86 solicitudes de apoyo efectuadas por parte de los grupos técnicos de la subdirección de seguimiento de licencias ambientales. Es decir un avance del 71% </t>
  </si>
  <si>
    <t>Porcentaje de proyectos licenciados revisados desde el componente de valoración económica [ Plan de Acción ]</t>
  </si>
  <si>
    <t>(Número de conceptos técnicos de seguimiento numerados, con participación del equipo de valoración económica / Total de conceptos técnicos de seguimiento asignados al equipo de valoración económica) * 100</t>
  </si>
  <si>
    <t>Durante el mes de enero se desarrollaron y numeraron 3 conceptos técnicos que incluyen el componente de Evaluación Económica según reporte de SILA</t>
  </si>
  <si>
    <t xml:space="preserve">Durante el mes de febrero se asignaron y numeraron 6 conceptos técnicos que incluyen el componente de Evaluación Económica según reporte de SILA, para un acumulado de 9 conceptos durante 2021 Se hizo la corrección del formato de las fechas de asignación y de finalización de conceptos técnicos.         </t>
  </si>
  <si>
    <t>Hasta el mes de marzo se han numerado 30 Conceptos técnicos finalizados que incluyen el componente de valoración económica sobre 31 asignados llegando a un avance del 97%</t>
  </si>
  <si>
    <t>Seguimiento a expedientes de vigencias anteriores por contingencias operacionales recurrentes [ Plan de Acción ]</t>
  </si>
  <si>
    <t>Número de actos administrativos que acogen el seguimiento realizado a los expedientes priorizados de contingencias operacionales recurrentes</t>
  </si>
  <si>
    <t>Durante el mes de enero no se adelantó visitas asociadas a las contingencias operacionales recurrentes</t>
  </si>
  <si>
    <t xml:space="preserve">Se realizó durante el mes de febrero un total de cuatro visitas (en el mes de febrero se hicieron las siguientes visitas: febrero 15 Campo Moriche expediente LAM199, febrero 16 Campo Jazmín expediente LAM1913 y 24 a 26 de febrero Cantagallo expediente LAM2317), se emitió el Concepto técnico 0786 del 23 de febrero de 2021 se refiere al Expediente LAM0180 cuya visita se realizó del 2 a 4 de febrero y que se encuentra en proceso de ser acogido. </t>
  </si>
  <si>
    <t xml:space="preserve">Hasta marzo se han realizado cinco visitas a proyectos con eventos de contingencia recurrentes, se han emitido tres conceptos técnicos y se han acogido tres mediante acto administrativo. Se debe filtrar en el archivo adjunto la columna D donde estan los dos indicadores de contingencias  donde se identifica para este caso el indicador denominado "Seguimiento a expedientes de vigencias anteriores por contingencias operacionales recurrentes", y en consecuencia estan los proyectos, los conceptos y los actos que soportan este avance. Se adiciona una pestaña donde se identifica la programación propuesta para atender estos 26 proyectos.  </t>
  </si>
  <si>
    <t>Grupo de Actuaciones Sancionatorias Ambientales</t>
  </si>
  <si>
    <t>Unidad de actos administrativos expedidos en procesos sancionatorios ambientales competencia de ANLA (Conceptos técnicos acogidos para procesos sancionatorios )</t>
  </si>
  <si>
    <t>No. Actos Administrativos sancionatorios firmados</t>
  </si>
  <si>
    <t>Se emitieron 58 actos administrativos para el mes de enero vigencia 2021, distribuidos en los tres indicadores de la siguiente manera: Indicador 1 se emitieron 25 actos administrativos acogiendo CT de inicio, indicador 2 se emitieron 7 decisiones de fondo y para el indicador 3 se emitieron 26 actos administrativos de gestión entre las etapas del proceso sancionatorio.&lt;/p&gt;&lt;p&gt;E1_SANCIONATORIO_ACTOS ADMINISTRATIVOS FIRMADOS_ENERO_20</t>
  </si>
  <si>
    <t>En el mes de febrero se emitieron 78 actos administrativos para el mes de febrero vigencia 2021, distribuidos en los tres indicadores de la siguiente manera: Indicador 1 se emitieron 25 actos administrativos acogiendo CT de inicio, indicador 2 se emitieron 4 decisiones de fondo y para el indicador 3 se emitieron 49 actos administrativos de gestión entre las etapas del proceso sancionatorio.&lt;/p&gt;&lt;p&gt;E1_SANCIONATORIO_ACTOS ADMINISTRATIVOS FIRMADOS_FEBRERO_2</t>
  </si>
  <si>
    <t xml:space="preserve">Concepto técnico sancionatorio acogidos (Conceptos técnicos sancionatorios emitidos) </t>
  </si>
  <si>
    <t>No. de actos administrativos firmados en procesos sancionatorios ambientales de competencia de la ANLA acogiendo conceptos técnicos de inicio y/o medida preventiva que cumplan con los criterios para tal fin</t>
  </si>
  <si>
    <t>Para el primer indicador se emitieron 25 autos de apertura de investigación.  E1_SANCIONATORIO_INDICADOR 1_ENERO_2021</t>
  </si>
  <si>
    <t>Para el primer indicador se emitieron 24 autos de apertura de investigación y 1 auto de indagación preliminar en el mes de febrero. E1_SANCIONATORIO_INDICADOR 1_FEBRERO_2021</t>
  </si>
  <si>
    <t>Para el primer indicador se emitieron 13 autos de apertura de investigación y 1 auto de indagación preliminar. E1_SANCIONATORIO_INDICADOR 1_MARZO_2021</t>
  </si>
  <si>
    <t>Número de Decisiones de fondo</t>
  </si>
  <si>
    <t>No. de actos administrativos de decisiones de fondo firmados en procesos sancionatorios ambientales de competencia de la ANLA</t>
  </si>
  <si>
    <t>Para el segundo indicador se emitieron 5 resoluciones de Cesación del proceso sancionatorio, 1 auto de archivo de indagación preliminar, 1 resolución que resuelve recurso de reposición. E1_SANCIONATORIO_INDICADOR 2_ENERO_2021&lt;/p&gt;</t>
  </si>
  <si>
    <t>En el mes de febrero para el segundo indicador se emitieron 3 resoluciones de Exoneración de responsabilidad y 1 resolución que resuelve recurso de reposición. E1_SANCIONATORIO_INDICADOR 2_FEBRERO_2021</t>
  </si>
  <si>
    <t>Para el segundo indicador se emitieron 2 resoluciones que declaran la caducidad, 1 resolución de cesación, 1 resolución que impone sanción y 1 resolución que resuelve recurso de reposición.&lt;/p&gt;&lt;p&gt;E1_SANCIONATORIO_INDICADOR 2_MARZO_2021</t>
  </si>
  <si>
    <t>Política de Defensa jurídica</t>
  </si>
  <si>
    <t>Impulso procesal en los procesos Sancionatorios Ambientales</t>
  </si>
  <si>
    <t>No. de actos administrativos firmados en procesos sancionatorios ambientales de competencia de la ANLA con avance entre etapas</t>
  </si>
  <si>
    <t>Para el tercer indicador se emitieron 12 autos que decreta, rechaza o niega pruebas, 3 autos que ordenan diligencia dentro de investigación, 2 autos de archivo de proceso sancionatorio, 2 autos de formulación de cargos, 2 auto que resuelve recurso de reposición, 2 resoluciones que niegan medida preventiva, 1 auto de suspensión de términos, 1 resolución que levanta medida preventiva y 1 auto que reconoce tercer interviniente.&lt;/p&gt;&lt;p&gt;E1_SANCIONATORIO_INDICADOR 3_ENERO_2021</t>
  </si>
  <si>
    <t>En el mes de febrero para el tercer indicador se emitieron 18 autos de archivo de proceso sancionatorio, 15 autos que ordenan diligencia dentro de investigación, 7 autos que decreta, rechaza o niega pruebas, 4 autos de formulación de cargos, 1 resolución que levanta medida preventiva, 1 auto de aclaración, 1 resolución que levanta parcialmente medida preventiva, 1 resolución aclara resolución y 1 resolución que resuelve solicitud de revocatoria directa.&lt;/p&gt;&lt;p&gt;E1_SANCIONATORIO_INDICADOR 3_FEBRERO_2021</t>
  </si>
  <si>
    <t>Para el tercer indicador se emitieron 11 autos que decreta, rechaza o niega pruebas, 9 autos que ordenan diligencia dentro de investigación, 6 autos de archivo de proceso sancionatorio, 3 autos de formulación de cargos, 2 autos de traslado por competencia, 2 resoluciones que levantan medida preventiva, 1 auto de aclaración, 1 auto de desglose, 1 resolución de revocatoria, 1 auto que reconoce tercer interviniente y 1 resolución que niega levantamiento de medida preventiva.</t>
  </si>
  <si>
    <t>Porcentaje de solicitudes de información resueltas oportunamente</t>
  </si>
  <si>
    <t>(No. de solicitudes resueltas oportunamente/ No. de solicitudes que se encuentren para responder dentro del periodo)*100</t>
  </si>
  <si>
    <t>Durante el mes de enero el Grupo de Actuaciones Sancionatorias Ambientales recibió 10 solicitudes de apoyo para responder dentro de este período, realizadas por parte de otros grupo o dependencias de la ANLA, así:&lt;br /&gt;7 solicitudes realizadas por RASP&lt;br /&gt;1 solicitud realizada por Notificaciones Judiciales&lt;br /&gt;1 solicitud realizada por la SAF&lt;br /&gt;1 solicitud realizada por la OAJ&lt;/p&gt;&lt;p&gt;E1_SANCIONATORIO_Identificación de solicitud de apoyo - Enero</t>
  </si>
  <si>
    <t>Durante el mes de febrero el Grupo de Actuaciones Sancionatorias Ambientales recibió 11 solicitudes de apoyo para responder dentro de este período y 4 de enero que fueron resueltas dentro del término, en febrero, para un total de 15 solicitudes realizadas por parte de otros grupo o dependencias de la ANLA, así: 10 Solicitudes realizadas por parte del Grupo de Notificaciones Judiciales. 1 Solicitud del Grupo de Cobro Coactivo 2 Solicitudes de la Subdirección de Seguimiento de Licencias Ambientales - SSLA. 1 Solicitud del Grupo RASP 1 Solicitud de la Subdirección de Instrumentos, Permisos y Trámites Ambientales - SIPTA&lt;/p&gt;&lt;p&gt;E1_Identificación de solicitud de apoyo febrero 2021</t>
  </si>
  <si>
    <t>Gestión jurídica</t>
  </si>
  <si>
    <t>Grupo de Gestión Jurídica y Cobro Coactivo</t>
  </si>
  <si>
    <t>Porcentaje de cartera coactiva recuperada en la vigencia 2021</t>
  </si>
  <si>
    <t>Total recaudo en banco de cartera coactiva</t>
  </si>
  <si>
    <t>Durante enero de 2021  el Grupo de Gestión Administrativa y Financiera reportó al Grupo de Cobro Coactivo el recaudo de $368.141.837, correspondientes al pago total o parcial de obligaciones</t>
  </si>
  <si>
    <t>En febrero el Grupo de Gestión Administrativa y Financiera reportó al Grupo de Cobro Coactivo el recaudo de $827.669.468, correspondientes al pago total o parcial de obligaciones (se incluyen 3 obligaciones canceladas en enero que no fueron incluidas en el reporte anterior)&lt;/p&gt;&lt;p&gt;E1_COACTIVO_Recaudo Febrero_2021</t>
  </si>
  <si>
    <t>En Marzo el Grupo de Gestión Administrativa y Financiera reportó al Grupo de Cobro Coactivo el recaudo de $426,085,356, correspondientes al pago total o parcial de obligaciones &lt;/p&gt;&lt;p&gt;E1_COACTIVO_Recaudo Marzo_2021</t>
  </si>
  <si>
    <t>Porcentaje de recaudo en banco cartera coactiva</t>
  </si>
  <si>
    <t>Total recaudo en banco de cartera coactiva/ meta establecida para la vigencia</t>
  </si>
  <si>
    <t>En el mes de enero de 2021 se recaudan $210.677.570, que corresponden al pago total o parcial de obligaciones en etapa de cobro coactivo.</t>
  </si>
  <si>
    <t>En febrero se recaudaron 227.118.453 que corresponden al pago total o parcial de obligaciones en cobro coactivo.&lt;/p&gt;&lt;p&gt;E2_COACTIVO_Recaudo Coactivo Febrero_2021</t>
  </si>
  <si>
    <t>En marzo se recaudaron $163.453.369 que corresponden al pago total o parcial de obligaciones en cobro coactivo.&lt;/p&gt;&lt;p&gt;Se ordenó la apertura de 54 procesos, cambia de etapa cartera por $633,434,750; se incrementa la meta de recaudo en coactivo en $190,130,425&lt;/p&gt;&lt;p&gt;E2_COACTIVO_Recaudo Coactivo Marzo_2021</t>
  </si>
  <si>
    <t>Política de Gestión presupuestal y eficiencia del gasto público</t>
  </si>
  <si>
    <t>Porcentaje de recaudo en banco cartera persuasiva</t>
  </si>
  <si>
    <t>Total recaudo en banco de cartera persuasiva / meta establecida para la vigencia</t>
  </si>
  <si>
    <t>En enero de 2021 se recaudan $157.464.267, que corresponde al pago total o parcial de obligaciones en etapa de cobro persuasivo.</t>
  </si>
  <si>
    <t>En febrero se recaudaron 600.581.015 que corresponden al pago total o parcial de obligaciones en etapa persuasiva de cobro.&lt;/p&gt;&lt;p&gt;Mediante memorando 2021011396-3-000 el Grupo de Gestión Financiera y Presupuestal remitió a la OAJ cartera para cobro coactivo: 159 autos de cobro y 1 resolución que impone multa. Se devolvieron 3 autos por carecer de requisitos, por lo que la cartera efectivamente remitida asciende a 3.364.592.921.&lt;/p&gt;&lt;p&gt;Adicionalmente mediante memorando 2021004940-3-000 se devolvió el título del proceso COA0-807-00-2020, por 2.277.000.&lt;/p&gt;&lt;p&gt;E3_COACTIVO_Recaudo Persuasivo Febrero_2021</t>
  </si>
  <si>
    <t>En marzo se recaudaron $262.631.987 que corresponden al pago total o parcial de obligaciones en etapa persuasiva de cobro.&lt;/p&gt;&lt;p&gt;Mediante memorando 2021061589-3-000 se informó al Grupo de Gestión Financiera y Presupuestal la devolución del Auto 01654 de 2 de marzo de 2020, proferido en contra de las EMPRESAS PÚBLICAS DE MEDELLÍN E.S.P.,por fallo de tutela que ordenó reiniciar proceso de notificación&lt;/p&gt;&lt;p&gt;E3_COACTIVO_Recaudo Persuasivo Marzo_2021</t>
  </si>
  <si>
    <t>Grupo Defensa Judicial</t>
  </si>
  <si>
    <t>Tasa de éxito procesal</t>
  </si>
  <si>
    <t>Número de procesos en contra de la entidad terminados (ejecutoriado) con fallo favorable / Total numero de procesos en contra de la entidad terminados</t>
  </si>
  <si>
    <t>Para el mes de enero de 2021, se emitieron 2 fallos ejecutoriados los cuales fueron favorables para la Entidad. E1_JUDICIALES_FALLOS ENERO 202</t>
  </si>
  <si>
    <t>Para el mes de febrero de 2021, se emitieron 4 fallos ejecutoriados los cuales fueron favorables para la Entidad. E1_JUDICIALES_FALLOS FEBRERO 2021</t>
  </si>
  <si>
    <t>Para el mes de marzo de 2021, se emitieron 4 fallos ejecutoriados los cuales fueron favorables para la Entidad E1_JUDICIALES_FALLOS MARZO 2021}</t>
  </si>
  <si>
    <t>Grupo Conceptos Jurídicos</t>
  </si>
  <si>
    <t xml:space="preserve">	Número de propuestas de mejoras normativas</t>
  </si>
  <si>
    <t>Número de propuestas de mejorar normativas realizadas</t>
  </si>
  <si>
    <t>Porcentaje de conceptos jurídicos resueltos en atención a consultas internas</t>
  </si>
  <si>
    <t>Número de conceptos jurídicos resueltos/ Número de consultas jurídicas internas solicitadas y que se encuentren para responder dentro del periodo</t>
  </si>
  <si>
    <t>Se da respuesta a 26 solicitudes de las 30 que estaban para responder en enero_2021, entre las cuales se encuentran:&lt;/p&gt;&lt;p&gt;Revisión del estatuto tributario, análisis de regionalización, estandarización de impactos ambientales, revisión a la modificación de la resolución de cobros de la entidad, análisis de términos de referencia especificos para varios sectores, revisión a la nueva resolución de grupos internos de trabajo, entre otros.&lt;/p&gt;&lt;p&gt;E1_CONCEPTOS_BASE SOLICITUDES INTERNAS</t>
  </si>
  <si>
    <t xml:space="preserve">En el presente periodo se atendieron en término 17 solicitudes de 19, entre las cuales se encuentran: revisión Agendas Ambientales Sectoriales- ASOCOLFLORES-FENALCO-ASINFAR, revisión del Proyecto de Resolución SAN0001-00-2015, Revisión del auto de formulación de cargos dentro del SAN0414-00-2018, TdR controladores biológicos - reunión Embajada de Belgica, Terminos de referencia para EIA - construcción y operación de centrales térmicas generadoras de energía eléctrica, Concepto jurídico seguimiento acuerdos de consulta previa.&lt;/p&gt;&lt;p&gt;E1_BASE DE ASIGNACIÓN DE TAREAS FEBRERO </t>
  </si>
  <si>
    <t>Se reportan 29 solicitudes atendidas en términos de 31 asignadas, 27 atendidas en el mes de marzo y  2 atendidas en febrero que no fueron reportadas en su momento. Se destacan: Proyectos de modificación de Decretos reglamentación del FONAM - Decreto 1076 de 2015; Revisión, análisis jurídico y comentarios al pliego de peticiones presentado por la Unión Sindical del Sector Ambiente USSA el 26 de febrero de 2021; Revisión Documento – ESTUDIOS PREVIOS Convenio Específico ANLA - ANH. Revisión y observaciones en control de cambios, ajustes y modificaciones.</t>
  </si>
  <si>
    <t> </t>
  </si>
  <si>
    <t xml:space="preserve"> POR DEPENDENCIA </t>
  </si>
  <si>
    <t xml:space="preserve"> POR GRUPO </t>
  </si>
  <si>
    <t>Grupo De Gestión Contractual</t>
  </si>
  <si>
    <t xml:space="preserve"> $              60.406.439.919</t>
  </si>
  <si>
    <t xml:space="preserve"> $          128.912.093</t>
  </si>
  <si>
    <t>Porcentaje de certificaciones realizadas y enviadas</t>
  </si>
  <si>
    <t>N° de certificaciones enviadas a los contratistas por medio de correo electrónico/ contratos terminados en 2019 y 2020 sin certificación</t>
  </si>
  <si>
    <t>Ente indicador se reporta trimestralmente</t>
  </si>
  <si>
    <t>En el periodo de enero a marzo se han realizado 856 certificaciones, sobre una base de 1446, llegando al 59%.</t>
  </si>
  <si>
    <t>Política de Fortalecimiento organizacional y simplificación de procesos</t>
  </si>
  <si>
    <t xml:space="preserve"> $          532.557.301</t>
  </si>
  <si>
    <t>Porcentaje de contratos por modalidad contratación directa de prestación de servicios y/o apoyo a la gestión atendidos dentro de los tiempos establecidos en el procedimiento</t>
  </si>
  <si>
    <t>No. total de dias de tramite del proceso de contratación directa de prestación de servicios profesionales y/o apoyo a la gestión /No. dias establecidos en el procedimiento de contratación directa de prestación de servicios profesionales y/o apoyo a la gestión</t>
  </si>
  <si>
    <t>En el mes de enero se firmaron 889 contratos de prestación de servicios profesionales y/o apoyo a la gestón, de los cuales el 100% fueron firmados dentro de los tiempos del procedimiento.</t>
  </si>
  <si>
    <t>En el mes de febrero se suscribieron 110 contratos de Prestación de servicios profesionales y/o apoyo a la gestión, de los cuales el 100% se tramitaron en los terminos de oportunidad de acuerdo al procedimiento.</t>
  </si>
  <si>
    <t>En el mes de marzo se firmaron 45 contratos de prestación de servicios profesionales y/o apoyo a la gestión, de los cuales el 100% fueron firmados dentro de los términos del procedimiento.</t>
  </si>
  <si>
    <t xml:space="preserve"> $          310.840.899</t>
  </si>
  <si>
    <t>Porcentaje de liquidaciones realizadas dentro de los términos de ley.</t>
  </si>
  <si>
    <t>N° de liquidaciones realizadas / Solicitudes de liquidación recibidas en debida forma</t>
  </si>
  <si>
    <t>En el periodo de enero a marzo de 2021 se recibieron 7 solicitudes de liquidación en debida forma, de las cuales se liquidó 1 contrato y los 6 restantes se encuentran dentro de los térmnos del procedimiento</t>
  </si>
  <si>
    <t>100,0%</t>
  </si>
  <si>
    <t>86,3%</t>
  </si>
  <si>
    <t>Grupo de Gestión Financiera Y Presupuestal</t>
  </si>
  <si>
    <t>Funcionamiento</t>
  </si>
  <si>
    <t>NO APLICA</t>
  </si>
  <si>
    <t xml:space="preserve"> $          471.041.901</t>
  </si>
  <si>
    <t>Porcentaje de recaudo efectivo</t>
  </si>
  <si>
    <t>Valor Recaudo efectivo / (Meta recaudo vigencia 2020)</t>
  </si>
  <si>
    <t>Para el mes de enero de 2021 se recaudó por concepto de servicios de seguimiento y evaluación la suma de $5.268.861.423, que corresponde al 5% de la meta propuesta de $105.533.877.773</t>
  </si>
  <si>
    <t>Al ciere del mes de  febrero/21 se recaudo $10.175.345.320 correspondiente al 10% de la meta establecida en $ 105.533.877.773 para la vigencia 2021.</t>
  </si>
  <si>
    <t>Al cierre del mes de  marzo/2021 se registra un recaudo por concepto de seguimiento y evaluación de $17.665.120.338, lo cual  corresponde al 17% de la meta  $ 105.533.877.773 esperada para la vigencia 2021.</t>
  </si>
  <si>
    <t>Porcentaje de recaudo efectivo por seguimiento al licenciamiento y permisos ambientales</t>
  </si>
  <si>
    <t>Valor efectivo recaudado servicio de seguimiento / (Valor proyectado recaudo por servicio de seguimiento)</t>
  </si>
  <si>
    <t>Para el mes de enero de 2021 se registró recaudo por concepto de seguimiento por valor de $4.422.501.456, lo cual corresponde al 5% de la meta proyectada de $87.393.968.825 vigencia 2021</t>
  </si>
  <si>
    <t>Al cierre del mes de  febrero/21 se registra un recaudo de $7.352.554.683 correspondiente al 8% de la meta  $ 87.393.968.825 establecida para la vigencia 2021.</t>
  </si>
  <si>
    <t>Al cierre del mes de  marzo/2021  se registra un recaudo por servicio de seguimiento de $12.835.931.899, lo cual  corresponde al 15% de la meta  $87.393.968.825 esperada para la vigencia 2021.</t>
  </si>
  <si>
    <t xml:space="preserve"> $          162.326.615</t>
  </si>
  <si>
    <t>Avance en la ejecución presupuestal en obligaciones</t>
  </si>
  <si>
    <t>Valor obligado / valor comprometido</t>
  </si>
  <si>
    <t>El prespuesto vigencia 2021 en el mes de enero registró obligaciones acumulados del 3%, Incluyendo presupuesto asignado a la unidad ejecutora ANLA y la subunidad FONAM-ANLA.</t>
  </si>
  <si>
    <t>Para el cierre del mes de febrero de 2021,  se registran obligaciones acumuladas del 10%, Incluyendo presupuesto asignado a la unidad ejecutora ANLA y la subunidad FONAM-ANLA.</t>
  </si>
  <si>
    <t>La ejecución presupuestal al cierre del mes de marzo de 2021 registró compromisos acumulados del 63%. Incluye presupuesto asignado a la unidad ejecutora ANLA y la subunidad FONAM-ANLA.</t>
  </si>
  <si>
    <t>Presupuesto Ejecutado Frente A Presupuesto Asignado</t>
  </si>
  <si>
    <t>Valor obligado / programación presupuestal de las dependencias</t>
  </si>
  <si>
    <t>Para el mes de enero 2021 se registra una ejecución del 1%. Donde el presupuesto ejecutado es medido frente a obligaciones (Funcionamiento e inversion).</t>
  </si>
  <si>
    <t>Al cierre del mes de febrero de 2021, el presupuesto ejecutado frente al asignado corresponde al 6%. Donde el presupuesto asignado es medido frente a obligaciones (Funcionamiento e inversion).</t>
  </si>
  <si>
    <t>Para el cierre del mes de marzo de 2021, el presupuesto ejecutado frente al asignado registra avance acumulado del 12%. Donde el presupuesto ejecutado es medido frente a obligaciones (Funcionamiento e inversion).</t>
  </si>
  <si>
    <t xml:space="preserve"> $          448.363.004</t>
  </si>
  <si>
    <t>Avance en la ejecución presupuestal en compromisos</t>
  </si>
  <si>
    <t>Valor comprometido / programación presupuestal de las dependencias</t>
  </si>
  <si>
    <t>Para el mes de enero 2021 se registran compromisos acumulados del 52%, indicador que incluye presupuesto asignado a la unidad ejecutora ANLA y la subunidad FONAM-ANLA.</t>
  </si>
  <si>
    <t>El prespuesto vigencia 2021 en el mes de febrero registró compromisos acumulados del 59%. Incluyendo presupuesto asignado a la unidad ejecutora ANLA y la subunidad FONAM-ANLA.</t>
  </si>
  <si>
    <t>La ejecución presupuestal al cierre del mes de marzo 2021 registró obligaciones acumulados del 20%, Incluye presupuesto asignado a la unidad ejecutora ANLA y la subunidad FONAM-ANLA.</t>
  </si>
  <si>
    <t xml:space="preserve"> $            65.540.000</t>
  </si>
  <si>
    <t>Indice de Sostenibilidad Financiera</t>
  </si>
  <si>
    <t>Eficiencia financiera + (Propensión a ahorrar * Diferencia entre Ingresos del periodo anterior, excedentes del año del periodo t -2 y gastos del periodo anterior (ahorro o desahorro)</t>
  </si>
  <si>
    <t>-</t>
  </si>
  <si>
    <t>El indicador se reporta anual</t>
  </si>
  <si>
    <t>Indicador de Eficiencia Financiera</t>
  </si>
  <si>
    <t>Relación entre los ingresos que recibe la entidad y los gastos que genera IEF= Ingresos/ Gastos</t>
  </si>
  <si>
    <t>0,71</t>
  </si>
  <si>
    <t xml:space="preserve"> $          112.062.253</t>
  </si>
  <si>
    <t>Avance en la implementación de la estrategia de sostenibilidad financiera de ANLA</t>
  </si>
  <si>
    <t>(Avance de las actividades* peso porcentual) / total de actividades</t>
  </si>
  <si>
    <t>Para el primer trimestre se presenta avance del 16% en la estrategia sostenibilidad financiera, correspondiente a cumplimiento de 4 actividades establecidas.</t>
  </si>
  <si>
    <t>20,3%</t>
  </si>
  <si>
    <t>26,7%</t>
  </si>
  <si>
    <t>34,2%</t>
  </si>
  <si>
    <t>2,9%</t>
  </si>
  <si>
    <t>7,4%</t>
  </si>
  <si>
    <t>Grupo de Gestión Documental</t>
  </si>
  <si>
    <t xml:space="preserve"> $          574.587.378</t>
  </si>
  <si>
    <t>Sistema de Gestión documental implementado</t>
  </si>
  <si>
    <t>Número de Sistemas de Gestión Documental implementado</t>
  </si>
  <si>
    <t>Se elaboró y se ajustó la ficha técnica y la lista de requerimientos del SGDEA, se solicitarón (9) nueve cotizaciones y se elaboró versión inicial de Estudio Previo y Estudio de Sector.</t>
  </si>
  <si>
    <t>Se solicitaron (9) nueve cotizaciones, se realizó la validación del Acuerdo Marco y se elaboró y revisó el Estudio del Sector.</t>
  </si>
  <si>
    <t>Para el mes de marzo se finalizó y presentó el Estudio de Sector y el Estudio Previo.</t>
  </si>
  <si>
    <t>Porcentaje De Implementación Del Sistema De Gestión Documental Institucional</t>
  </si>
  <si>
    <t>Número de actividades y/o documentos realizados/Actividades y/o documentos programados para la implementación del Sistema de gestión documental</t>
  </si>
  <si>
    <t>Se elaboró y se ajustó la ficha técnica y la lista de requerimientos del SGDEA, se solicitaron (9) nueve cotizaciones y se elaboró versión inicial de Estudio Previo y Estudio de Sector, cumpliendo con los tiempos establecidos en el cronograma.</t>
  </si>
  <si>
    <t>Se solicitaron (9) nueve cotizaciones, se realizó la validación del Acuerdo Marco y se elaboró y revisó el Estudio del Sector, según cronograma.</t>
  </si>
  <si>
    <t>Información y Comunicación</t>
  </si>
  <si>
    <t>Política de Gestión documental</t>
  </si>
  <si>
    <t xml:space="preserve"> $       2.592.575.336</t>
  </si>
  <si>
    <t>Organización de archivos de gestión - (Expedientes en el Sistema de Gestión de Documentos Electrónicos de Archivo - SGDEA)</t>
  </si>
  <si>
    <t>Metros lineales organizados</t>
  </si>
  <si>
    <t>El indicador noe stá programado para este mes</t>
  </si>
  <si>
    <t>Este indicador logrará  avance una vez que se implemente el Sistema de Gestión Electrónicos de Archivo - SGDEA y se cargue información en el.</t>
  </si>
  <si>
    <t xml:space="preserve"> $          162.296.916</t>
  </si>
  <si>
    <t>Porcentaje de implementación del Plan Institucional de archivos PINAR</t>
  </si>
  <si>
    <t>Número de actividades desarrolladas/Número de actividades programadas</t>
  </si>
  <si>
    <t>Se realiza actividades referente al Plan de Trabajo el cual se encuentra adjunto. se presenta avance de planes de conservación y preservación, proyección de documentos para presentación de Tablas de Retención en el Archivo General de la Nación, actualización de Formato Unico de Inventario Documental</t>
  </si>
  <si>
    <t>Se realiza actividades referente al Plan de Trabajo el cual se encuentra adjunto. se presenta avance de ejecución de MOREQ, de planes de conservación y preservación, Transferencia Documental de SITPA, actualización de Formato Unico de Inventario Documental y memoria descriptiva referente a Tablas de Retención Documental.</t>
  </si>
  <si>
    <t>Se realiza actividades referente al Plan de Trabajo el cual se encuentra adjunto. se presenta avance de ejecución de MOREQ, de planes de conservación y preservación, actualización de Formato Unico de Inventario Documental, transferencias documentales y actas de reunión de propuestas para las Tablas de Retención Documental.</t>
  </si>
  <si>
    <t>Porcentaje de implementación de las actividades previstas en el Programa de Gestión Documental</t>
  </si>
  <si>
    <t>Número de actividades programadas/# de actividadaes implmentadas</t>
  </si>
  <si>
    <t>Para el mes de enero se cumple con las actividades planificadas en el cronograma, el plan de trabajo se encuentra adjunto, se realizó Control de Calidad, actualización de inventarios, avance de planes de conservación y preservación digital y Tablas de Retención Documental.</t>
  </si>
  <si>
    <t>Para el mes de febrero se cumple con las actividades planificadas en el cronograma, el plan de trabajo se encuentra adjunto, se realizó Control de Calidad, actualización de inventarios, avance de planes de conservación y preservación digital, memoria descriptiva de las TRD y capacitación con sus respectivas evidencias.</t>
  </si>
  <si>
    <t>Para el mes de Marzo se cumple con las actividades planificadas en el cronograma, el plan de trabajo se encuentra adjunto, se realizó Control de Calidad, actualización de inventarios, avance de actividades de planes de conservación, reunioines con dependencias para las TRD y capacitación con sus respectivas evidencias.</t>
  </si>
  <si>
    <t xml:space="preserve"> $          183.002.554</t>
  </si>
  <si>
    <t>Porcentaje de implementación de la primera fase del Sistema de Gestión de Documentos Electrónicos de Archivo – SGDEA</t>
  </si>
  <si>
    <t>Número de etapas ejecutadas / No de etapas programadas</t>
  </si>
  <si>
    <t>Indicador en proceso de eliminación</t>
  </si>
  <si>
    <t>Indicador eliminado por petición del grupo</t>
  </si>
  <si>
    <t>7,7%</t>
  </si>
  <si>
    <t>16,6%</t>
  </si>
  <si>
    <t>25,6%</t>
  </si>
  <si>
    <t>5,6%</t>
  </si>
  <si>
    <t>27,9%</t>
  </si>
  <si>
    <t>Grupo de Gestión Administrativa</t>
  </si>
  <si>
    <t xml:space="preserve"> $              9.599.127</t>
  </si>
  <si>
    <t>Porcentaje de avance en las actividades del Subsistema de Gestión ambiental</t>
  </si>
  <si>
    <t>En enero el indicador o presenta avance</t>
  </si>
  <si>
    <t>Teniendo en cuenta que en el mes de enero se mencionó que el reporte de dicho mes se realizaría en el mes de febrero, ya que actualmente no se cuenta con el profesional encargado del Subsistema de Gestión Ambiental, sin embargo por parte del Grupo de Gestión Administrativa se adelantaron actividades programadas dentro de la matriz de ejejcución de programas, por lo que se indica lo siguiente:
Para el mes de enero se realizaron un total de 3 actividades de las 5 en total que se tenían programadas; para el mes de febrero, el reporte es por un total de 6 actividades realizadas de las 7 en total que se tenían programadas, por lo que el avance en el mes de enero es de un 3% del acumulado, y en el mes de febrero es de un 8% del acumulado, para un acumulado total en el año de 11%.</t>
  </si>
  <si>
    <t>Para el mes de marzo, se realiza un avance del 80%, ya que de las 5 actividades programadas para el mes, se realizaron un total de 4; con respecto al avance acumulado del año, se reporta un 18%, que corresponde a un total de 14 actividades realizadas, de un total de 18 actividades que se tenían programadas en la matriz de ejecución de programas del Subsistema de Gestión Ambiental.</t>
  </si>
  <si>
    <t>Reducción del consumo del recurso papel en la entidad</t>
  </si>
  <si>
    <t>En el mes de enero, el consumo total fue de 24.353 número de páginas (No. de hojas por peso: 60 kg), para un ahorro del 81%, comparado con el promedio anual histórico de hojas de 128.751 (No. de hojas por peso: 627 kg), sin embargo se determinó un porcentaje del 35% después de un cálculo que tiene en cuenta la contingencia por el COVID-19 que ocasiona la ausencia de la gran mayoría de colaboradores en las instalaciones de la entidad (implementado por la OAP).</t>
  </si>
  <si>
    <t>Teniendo en cuenta que en la Entidad no se cuenta con impresoras a partir del mes de enero, en el mes de febrero no se generó un consumo de papel al no llevarse a cabo algún tipo de impresión, de esta forma se contribuye con el ahorro del mismo al interior del Grupo de Gestión Administrativa y se logra cumplir con la meta mensual del 45% de ahorro (con escenario COVID), para un acumulado en el año de 40%.</t>
  </si>
  <si>
    <t>En el mes de marzo, el consumo total fue de 15.000 número de páginas (No. de hojas por peso: 37 kg), para un ahorro del 94%, comparado con el promedio anual histórico de hoja de 128.751 (No. de hojas por peso: 627 kg), sin embargo se determinó un porcentaje del 35% después de un cálculo que tiene en cuenta la contingencia por el COVID-19 que ocasiona la ausencia de la gran mayoría de colaboradores en las instalaciones de la entidad (implementado por la OAP).</t>
  </si>
  <si>
    <t xml:space="preserve"> $          638.893.875</t>
  </si>
  <si>
    <t>Porcentaje de satisfacción en los casos de la mesa de ayuda</t>
  </si>
  <si>
    <t>Porcentaje de satisfaccIón en mesa de ayuda</t>
  </si>
  <si>
    <t>Se calificaron en el mes de enero un total de 2 casos, de los cuales 1 fueron de calificación excelente (100/100), y 1 de calificación bueno (70/100) para un total de 85% de satisfacción.</t>
  </si>
  <si>
    <t>Se calificaron en el mes de febrero un total de 3 casos, de los cuales 1 fue de calificación excelente (100/100), y 2 casos de calificación bueno (70/100), para un total de 80% de satisfacción</t>
  </si>
  <si>
    <t>Se calificaron en el mes de marzo un total de 2 casos, de los cuales 1 fueron de calificación excelente (100/100), y 1 caso de calificación bueno (70/100), para un total de 85% de satisfacción.</t>
  </si>
  <si>
    <t>94,4%</t>
  </si>
  <si>
    <t>51,1%</t>
  </si>
  <si>
    <t>54,9%</t>
  </si>
  <si>
    <t>114,3%</t>
  </si>
  <si>
    <t>Grupo de Gestión Humana</t>
  </si>
  <si>
    <t xml:space="preserve"> $            18.037.751</t>
  </si>
  <si>
    <t>Porcentaje de satisfacción de los eventos de bienestar</t>
  </si>
  <si>
    <t>Calificación actividad 1 + Calificación actividad 2+ Calificación actividad (n)/ # de actividades calificadas</t>
  </si>
  <si>
    <t>Durante el mes de enero de 2021, se Trabajo en la propuesta de Sistema de Estímulos (Programa de Bienestar Social y Plan de Incentivos) para la vigencia 2021, la cual fue presentada a la Comisión de Personal (18 de enero) y al Comité Institucional de Gestión y Desempeño (22 de enero) quienes la aprobaron lo aprobaron. El Sistema de Estímulos 2021, hace parte integral del “Plan Estratégico de Talento Humano” el cual ya se encuentra publicado en la pagina web de la entidad. Por lo anterior se puede concluir que en el mes de enero de 2021 se trabajo en el diseño y elaboración del Sistema de Estímulos 2021, el cual se empezó a ejecutar desde el 01 de febrero del 2021.</t>
  </si>
  <si>
    <t>El “Porcentaje de impacto de los eventos de bienestar” correspondiente al mes de FEBRERO en el cual se obtuvo una calificación del 90% de impacto de las actividades:
1.    Charla Convenio con DAVIVIENDA.    89,000%
2.    Charla Tarjeta Integral de CAFAM.    91,000%</t>
  </si>
  <si>
    <t>El “Porcentaje de impacto de los eventos de bienestar” correspondiente al mes de MARZO en el cual se obtuvo una calificación del 89,6666666666667% de impacto de las actividades:
1.    Jornada de atención de la Oficina Móvil de Cafam.    83,000%
2.    Charla créditos de vivienda con el FNA    90,000%
3.    Clase de Yoga.    96,000%</t>
  </si>
  <si>
    <t>Porcentaje de satisfacción en las actividades de la propuesta de la estrategia de calidad de vida</t>
  </si>
  <si>
    <t>(Calificación actividad 1+Calificación actividad (n))/# de actividades calificadas</t>
  </si>
  <si>
    <t>Durante el mes de enero de 2021, se Trabajó en la propuesta de Sistema de Estímulos (Programa de Bienestar Social y Plan de Incentivos) para la vigencia 2021, la cual fue presentada a la Comisión de Personal (18 de enero) y al Comité Institucional de Gestión y Desempeño (22 de enero) quienes la aprobaron lo aprobaron. El Sistema de Estímulos 2021, hace parte integral del “Plan Estratégico de Talento Humano” el cual ya se encuentra publicado en la página web de la entidad. Por lo anterior se puede concluir que en el mes de enero de 2021 se trabajó en el diseño y elaboración del Sistema de Estímulos 2021, el cual se empezó a ejecutar desde el 01 de febrero del 2021.</t>
  </si>
  <si>
    <t>El “propuesta de la estrategia de calidad de vida” correspondiente al mes de FEBRERO en el cual se obtuvo una calificación del 90% de impacto de las actividades:
1.    Charla Convenio con DAVIVIENDA.    89,000%
2.    Charla Tarjeta Integral de CAFAM.    91,000%</t>
  </si>
  <si>
    <t>El “propuesta de la estrategia de calidad de vida” correspondiente al mes de MARZO en el cual se obtuvo una calificación del 89,6666666666667% de impacto de las actividades:
1.    Jornada de atención de la Oficina Móvil de Cafam.    83,000%
2.    Charla créditos de vivienda con el FNA    90,000%
3.    Clase de Yoga.    96,000%</t>
  </si>
  <si>
    <t>Talento Humano</t>
  </si>
  <si>
    <t>Política de Gestión Estratégica del Talento</t>
  </si>
  <si>
    <t xml:space="preserve"> $          104.759.467</t>
  </si>
  <si>
    <t>Porcentaje de cumplimiento en las actividades pactadas en el PIC de la vigencia 2021</t>
  </si>
  <si>
    <t>Actividadades PIC 2021 programadas/Actividades PIC ejecutadas</t>
  </si>
  <si>
    <t>En el mes de ENERO se realizaron 4 actividades de las 109 propuestas, representadas en un 3,6697247706422% de avance a la meta, a continuación, se relacionan estas actividades:
1.    SILA
2.    Evaluación de desempeño laboral
3.    SIGPRO y seguridad de la información
4.    Conociendo la ANLA</t>
  </si>
  <si>
    <t>En el mes de FEBRERO se realizaron 7 actividades de las 109 propuestas, representadas en un 6,42201834862385% de avance a la meta, a continuación, se relacionan estas actividades:
1.    Conociendo la ANLA
2.    SIGPRO y seguridad de la información
3.    SILA
4.    Gestión Documental
5.    Control disciplinario orientado a Finanzas y Presupuesto
6.    AGIL
7.    Prevención de contrato realidad</t>
  </si>
  <si>
    <t>En el mes de MARZO se realizaron 11 actividades de las 109 propuestas, representadas en un 10,0917431192661% de avance a la meta, a continuación, se relacionan estas actividades:
1.    Estrategia de conflicto de intereses
2.    Taller sobre análisis de fotografías como herramienta de evaluación y seguimiento de proyectos ambientales
3.    Rendición de cuentas
4.    Actualización en legislación ambiental
5.    Gestión Documental: TRD
6.    Jornada de actualización en permisos
7.    Negociación colectiva
8.    AGIL
9.    Rendición de cuentas
10.    Derecho probatorio
11.    Plan de acción Institucional</t>
  </si>
  <si>
    <t xml:space="preserve"> $            34.688.566</t>
  </si>
  <si>
    <t>Porcentaje de planeación y ejecución del programa denominado El entrenador</t>
  </si>
  <si>
    <t>Fases del programa programadas/Fases del programa ejecutadas</t>
  </si>
  <si>
    <t xml:space="preserve">En enero se registra un avance del 5%, realizando así la siguiente actividad que hace parte de una de las 5 fases y tiene el peso porcentual mencionado:
* Formulación de fases del programa El Entrenador  5% </t>
  </si>
  <si>
    <t>En FEBRERO se registra un avance del 10%, realizando así la siguientes actividades que hace parte de una de las 5 fases y tienen el peso porcentual mencionado:
* Definición del modelo 5%
* Objeto y alcance 5%</t>
  </si>
  <si>
    <t>En MARZO se registra un avance del 10%, realizando así la siguiente actividad (se divide el porcentaje ya que se hace 1 de las 2 actividades) que hace parte de una de las 5 fases y tienen el peso porcentual mencionado:
•    Logo Programa El Entrenador 10%</t>
  </si>
  <si>
    <t xml:space="preserve"> $          155.463.313</t>
  </si>
  <si>
    <t>Porcentaje de cumplimiento del Plan de Trabajo SST</t>
  </si>
  <si>
    <t>Total de actividades ejecutadas a la fecha de cierre)/(Total de actividades planeadas en el año)</t>
  </si>
  <si>
    <t>Durante el mes de ENERO se logró un avance del 4,66321243523316% correspondiente a las actividades que a continuación se describen:
1.    Revisión Plan de Trabajo con la ARL
2.    Creación Plan de Trabajo SST y firma por parte de la Dirección
3.    Revisión, actualización y divulgación de la Política de Seguridad y Salud en el Trabajo y demás políticas de la Entidad.
4.    Actualización de procedimientos, formatos, guías del SG SST
5.    Envío de comunicación para diligenciamiento de link de Perfil Sociodemográfico para el año 2021 por parte de los FUNCIONARIOS
6.    Acompañamiento reuniones mensuales y revisión acta de COPASST
7.    Revisión  Plan de Trabajo,  Plan de Capacitación en SST y Política SIG con el COPASST
8.    "Realización y revisión de diagnóstico de condiciones de salud y revisión matriz de condiciones de salud Actualización Profesiograma "
9.    Análisis estadístico de Ausentismo.
10.    Seguimiento a resultados de encuesta de autorreporte de condiciones de salud en consecuencia del COVID 19
11.    Realización de video de emergencias
12.    Seguimientos y retroalimentación de MEDEVACs
13.    Realizar propuesta del Programa de Seguridad Basada en comportamientos
14.    Inicio Proceso de contratación área protegida
15.    Asegurar que los contratos (proveedores) realizados a través de G. Contractual hayan sido evaluados posteriormente por SST
16.    Realización encuesta Gestión del Cambio
17.    Cierre de No Conformidades resultantes de Auditoria del SG-SST
18.    Seguimiento a Indicadores y planes de acción establecidos en los diferentes Programas del SG-SST</t>
  </si>
  <si>
    <t>Durante el mes de FEBRERO se logró un avance del 11,3989637305699% correspondiente a las actividades que a continuación se describen:
1.    Creación Plan de Trabajo SST y firma por parte de la Dirección
2.    Revisión, actualización y divulgación de la Política de Seguridad y Salud en el Trabajo y demás políticas de la Entidad.
3.    Notificación y divulgación de Metas, Roles y Responsabilidades dentro del SG-SST
4.    Revisión y Actualización  Matriz de Identificación de peligros, valoración de riesgos y determinación de controles
5.    Revisión, validación y ajuste del Programa de Capacitaciones de 2021
6.    Realización de Inducción en SST a Proveedores
7.    Entrega de Documentación SST a Gestión Documental
8.    Actualización Presupuesto SST
9.    Solicitud soportes reuniones trimestrales Comité de Convivencia Laboral
10.    Seguimiento actas reuniones Comité de Seguridad Vial
11.    Acompañamiento reuniones mensuales y revisión acta de COPASST
12.    Revisión con COPASST del cronograma de Inspecciones y definir distribución de acompañamientos en las inspecciones.
13.    "Realización y revisión de diagnóstico de condiciones de salud y revisión matriz de condiciones de salud Actualización Profesiograma "
14.    Análisis estadístico de Ausentismo.
15.    Revisión y actualización del Programa de Prevención de Desordenes Musculo Esquelético - DME
16.    Seguimiento a resultados de encuesta de autorreporte de condiciones de salud en consecuencia del COVID 19
17.    Revisión de documentación sobre pausas activas y otros de documentos índole de DME
18.    Envío masivo de TIPs de prevención y promoción de DME- En casa-COVID 19
19.    Revisión y Actualización del documento de Programa de Vigilancia Psicosocial
20.    Jornadas de manejo de fatiga y carga mental (pausas cognitivas) 
21.    Revisión y Actualización del documento de Programa de Prevención de Riesgo Cardiovascular
22.    Revisión y Actualización del documento de Programa de Prevención de Riesgo Publico
23.    Entrega de Informe deTapabocas / Kit de Bioseguridad para comisiones. / Kit de Bioseguridad para personal fuera de Bogotá
24.    Actualización y seguimiento del documento de  Señalización y Demarcación Reglamentaria
25.    Realizar conformación de las Brigadas de Emergencia
26.    Realizar inventarios de los elementos de la brigada de emergencias (botiquines fijos, portátiles, llaves y responsables de los mismos)
27.    Pruebas de radios punto a punto (informe y correo)
28.    Realización de video de emergencias
29.    Capacitación de Primeros Auxilios
30.    Seguimientos y retroalimentación de MEDEVACs
31.    Divulgación Procedimiento de Trabajo Seguro en Comisiones
32.    Revisión y actualización de ATS
33.    Acompañamientos por parte del Ingeniero Asesor de la ARL a los programas de seguridad industrial
34.    Realización de Inspecciones SSTA
35.    Seguimientos a hallazgos encontrados en inspecciones
36.    Gestionar con comunicaciones medios impresos o espacios virtuales para facilitar acceso a la herramienta ANLARMA
37.    Seguimiento a los reportes de actos y condiciones recibidos
38.    Solicitar comunicaciones masivas sobre seguridad indicando la importancia de la familia
39.    Seguimientos al plan de acción de los resultados de las mediciones higiénicas (iluminación)
40.    Inicio Proceso de contratación adquisición de EPPs
41.    Inicio Proceso de contratación área protegida
42.    Asegurar que los contratos (proveedores) realizados a través de G. Contractual hayan sido evaluados posteriormente por SST
43.    Cierre de No Conformidades resultantes de Auditoria del SG-SST
44.    Seguimiento a Indicadores y planes de acción establecidos en los diferentes Programas del SG-SST
Aclaración: Por error en la consolidación de la información en el mes de ENERO se marca “Revisión, actualización y divulgación de la Política de Seguridad y Salud en el Trabajo y demás políticas de la Entidad.” y no la siguiente (Establecimiento de objetivos y metas e indicadores de  SST.)que es la que se debía reportar en dicho mes de enero, se corrige por temas de control de la información</t>
  </si>
  <si>
    <t>Durante el mes de MARZO se logró un avance del 11,139896373057% correspondiente a las actividades que a continuación se describen:
1.    Revisión y actualización del Manual de SG-SST, acorde con el Decreto. 1072/15
2.    Establecimiento de objetivos y metas e indicadores de  SST.
3.    Notificación y divulgación de Metas, Roles y Responsabilidades dentro del SG-SST
4.    Comunicación masiva por comunicaciones socializando la actualización de la Matriz IPRVDC
5.    Revisión, validación y ajuste del Programa de Capacitaciones de 2021
6.    Firma del Programa de Capacitación por parte del Coordinador de Gestión Humana de 2021 y revisión por parte del COPASST
7.    Entrega de Documentación SST a Gestión Documental
8.    Programación y Seguimiento de Asesorías con la ARL para Seguridad Vial
9.    Realización de comunicaciones masiva sobre prevención de accidentes o incidentes viales
10.    Creación de material para los automóviles sobre prevención de accidentes o incidentes viales
11.    Acompañamiento reuniones mensuales y revisión acta de COPASST
12.    Revisión  Plan de Trabajo,  Plan de Capacitación en SST y Política SIG con el COPASST
13.    "Realización y revisión de diagnóstico de condiciones de salud y revisión matriz de condiciones de salud Actualización Profesiograma "
14.    Análisis estadístico de Ausentismo.
15.    Intervención en promoción y prevención -personal asintomático y riesgo bajo - Pausas Activas
16.    Seguimiento a resultados de encuesta de autorreporte de condiciones de salud en consecuencia del COVID 19
17.    Intervención población en riesgo medio y alto - Escuela terapéutica
18.    Revisión de documentación sobre pausas activas y otros de documentos índole de DME
19.    Retroalimentación  Individual a trabajadores que puntuaron  niveles  alto y muy alto en la medición subjetiva de Factores de riesgo psicosocial.
20.    Intervensión grupal derivada de aplicación de Batería de Riesgo Psisocial (Liderazgo-Comunicación y Trabajo en Equipo- Inteligencia Emiocional y Felicidad- Manejo de Cambio- Recuperando la vida familiar )
21.    Jornadas de manejo de fatiga y carga mental (pausas cognitivas) 
22.    Realización de envío de comunicados masivos sobre TIPs de prevención de riesgo cardiovascular.
23.    Programación y realización de actividades físicas para colaboradores - Hábitos de Vida Saludable- Talleres de Nutrición-Acompañamiento Individual.
24.    Revisión y Actualización del documento de Programa de Prevención de Riesgo Publico
25.    Temáticas virtuales y TIPs de prevención de riesgo publico
26.    Entrega de Informe deTapabocas / Kit de Bioseguridad para comisiones. / Kit de Bioseguridad para personal fuera de Bogotá
27.    Revisión y ajuste al Plan de Emergencias de las sedes de la entidad (sede nueva y Bodega)
28.    Realizar conformación de las Brigadas de Emergencia
29.    Realización de video de emergencias
30.    Capacitación de Primeros Auxilios
31.    Seguimientos y retroalimentación de MEDEVACs
32.    Socialización de ATS por medio de comunicados masivos
33.    Acompañamientos por parte del Ingeniero Asesor de la ARL a los programas de seguridad industrial
34.    Supervisión SST en Campo / Realización de Charlas de Seguridad en Campo
35.    Realización de Inspecciones de EPPs - Proveedores
36.    Realización de Inspecciones de EPPs - Contratistas (En campo y/o revisión de informes post comisión)
37.    Seguimientos a hallazgos encontrados en inspecciones
38.    Comunicado masivo sobre herramienta ANLARMA Reporte de Actos y Condiciones Inseguros
39.    Seguimiento a los reportes de actos y condiciones recibidos
40.    Actualización del Manual de criterios SSTA para contrataciones (en conjunto con Gestión Contractual y Gestión Administrativa)
41.    Cierre de los planes de acción resultantes de los programas y planes existentes en el SG-SST
42.    Cierre de No Conformidades resultantes de Auditoria del SG-SST
43.    Seguimiento a Indicadores y planes de acción establecidos en los diferentes Programas del SG-SST</t>
  </si>
  <si>
    <t>Porcentaje de Accidentalidad de los colaboradores - Trabajo Seguro</t>
  </si>
  <si>
    <t>Número de accidentes de trabajo que se presentaron en el mes / número de servidores y contratistas en el mes</t>
  </si>
  <si>
    <t>Durante el mes de ENERO hubo 0 accidentes en la entidad por tal motivo se cumple con el indicador al 100% en este mes ya que la estadística se encuentra en un valor menor al 1% máximo de accidentes por mes propuesto.</t>
  </si>
  <si>
    <t>Durante el mes de FEBRERO hubo 0 accidentes en la entidad por tal motivo se cumple con el indicador al 100% en este mes ya que la estadística se encuentra en un valor menor al 1% máximo de accidentes por mes propuesto.</t>
  </si>
  <si>
    <t>Durante el mes de MARZO tuvo lugar 2 accidentes en la entidad, el porcentaje de este indicador del mes de Marzo fue 0,16116035455278% y en promedio de la vigencia es de 0,05372011818426%, por tal motivo se cumple con el indicador al 100% en este mes ya que la estadística se encuentra en un valor menor al 1% máximo de accidentes por mes propuesto.</t>
  </si>
  <si>
    <t xml:space="preserve"> $            44.717.015</t>
  </si>
  <si>
    <t>Porcentaje de avance en las actividades de la Estrategia de conflictos de interés</t>
  </si>
  <si>
    <t>Número de acciones ejecutadas / número de acciones propuestas</t>
  </si>
  <si>
    <t>Se realiza la planeación respectiva de las actividades de la estrategia junto a la Oficina Asesora de Planeación dando como resultado las actividades planteadas en el Plan Anticorrupción y al Usuario, esta estrategia esta en proceso de aprobación por lo cual en el mes de enero no hay avance en actividades, pero si en gestión de la estrategia.</t>
  </si>
  <si>
    <t>En el mes de FEBRERO se realiza la aprobación del cronograma de actividades, que con su contenido abarca las temáticas de la estrategia, este formulación tendrá un avance en los próximos meses cumpliendo con el cronograma y las metas establecidas.</t>
  </si>
  <si>
    <t>Para el seguimiento del mes de MARZO se realizaron la actualización de la gestión realizada de los meses de febrero y marzo, se reporta de forma consolidada cumpliendo con el 25% que representa la gestión acumulada para la Estrategia, a continuación, se resume lo anterior expuesto:
1.    Validar los miembros de Equipo de Gestores de Integridad 2021, encargados de apoyar la apropiación de la Política de Integridad en la entidad (se realiza el 50% de avance en esta actividad al mes de marzo):
Febrero: Se remitió correo electrónico solicitando la validación del equipo de gestores de integridad.
Marzo: Se remitió nuevamente correo electrónico solicitando la validación de los gestores de integridad toda vez que el primer correo no tuvo las respuestas necesarias.
2.    Desarrollar actividades sensibilización y formación para la apropiación de la Política de Integridad:
Marzo: En el mes de marzo se realizó capacitación (de 8) de Código de Integridad y de conflictos de Intereses realizada por el Departamento Administrativo de la Función Pública.
3.    Validar las certificaciones de los colaboradores de la entidad que completen el Curso de integridad, transparencia y lucha contra la corrupción establecido por Función Pública para dar cumplimiento a la Ley 2016 de 2020(se realiza el 100% de avance en esta actividad al mes de marzo).
4.    Asegurar que los Gerentes Públicos de la entidad, obligados por la Ley 2013 de 2019, publiquen la declaración de bienes, rentas y conflicto de intereses en los aplicativos establecidos por Función Pública (se realiza el 50% de avance en esta actividad al mes de marzo):
Marzo: Se solicitó a través de memorando al Comité Directivo la declaración de bienes, rentas y conflicto de intereses de acuerdo con la normativa vigente y al aplicativo establecido por el Departamento Administrativo de la Función Pública.
5.    Solicitar a todos contratistas de la entidad la declaración de bienes y rentas en el SIGEP II (se realiza el 100% de avance en esta actividad al mes de marzo).</t>
  </si>
  <si>
    <t>4,7%</t>
  </si>
  <si>
    <t>35,2%</t>
  </si>
  <si>
    <t>40,0%</t>
  </si>
  <si>
    <t>98,4%</t>
  </si>
  <si>
    <t>Grupo de Gestión de Notificaciones</t>
  </si>
  <si>
    <t xml:space="preserve"> $          581.260.648</t>
  </si>
  <si>
    <t>Porcentaje de cumplimiento en la gestión y control del proceso de publicidad de los actos administrativos emitidos por la Entidad</t>
  </si>
  <si>
    <t>Número de actos administrativos gestionados oportunamente/Número de actos adminisrativos tramitados</t>
  </si>
  <si>
    <t>Para el mes de enero de 2021, el Grupo de Gestión de Notificaciones realizó el proceso de publicidad para 713 usuarios de los cuales se inició en termino a 694, quedando 19 fuera de término, en los que se registran 6 reinicios de proceso de publicidad y 13 por inconsistencias en los actos administrativos, estos ultimos se reportaron a los sectores pero hubo una respuesta de ellos fuera del termino establecido en Ley para iniciar el proceso de publicidad por parte del grupo.
Motivo por el cual se registró un cumplimiento del 97% del total de usuarios a notificar, así mismo se precisa que ANLA solo emitió para el mes de enero de 2021, 192 actos administrativos.</t>
  </si>
  <si>
    <t xml:space="preserve">Para la presente vigencia 2021 se registra un avance acumulado del 99.1, para el mes de Febrero de 2021 el Grupo de Gestión de Notificaciones realizó el proceso de publicidad para 943 usuarios de los cuales se inició en termino a 939, quedando 4 fuera de término, en los que se registran 3 reinicios de proceso de publicidad y 1 por inconsistencias en los actos administrativos, este ultimo se reportó al sector pero hubo una respuesta de ellos fuera del termino establecido en Ley para iniciar el proceso de publicidad por parte del grupo. Motivo por el cual se registró un cumplimiento del 99.6% del total de usuarios a notificar, se precisa que ANLA emitió para el mes de febrero 748 actos administrativos, sin incluir resoluciones internas (Gestión del Talento Humano). </t>
  </si>
  <si>
    <t>Para la presente vigencia 2021 se registra un avance acumulado del 98.17%, para el mes de Marzo el Grupo de Gestión de Notificaciones realizó el proceso de publicidad para 1185 usuarios de los cuales se inició en termino a 1156, quedando 29 fuera de término, en los que se registran 8 reinicios de proceso de publicidad, 1 reinicio por una acción de tutela del Tribunal Superior del Distrito Judicial de Medellín y 20 actos administrativos de procesos de cobro coactivo que ingresaron al Grupo de Gestión de Notificaciones fuera del término establecido en la Ley 1437 de 2011 para iniciar proceso de notificación, esto fue mediante dos memorandos del año 2020 (2020177500-3-000 del 9 de octubre de 2020- 2020188669-3-000 del 26 de octubre de 2020) y uno del 2021 (2021042837-3-000 del 10 de marzo de 2021).
Sobre los memorandos de vigencia 2020, en la dependencia de origen (Oficina Asesora Jurídica - OAJ) se indicó como dependencia de destino “CORRESPONDENCIA” lo que ocasionó que en su momento no llegaran al Grupo de Gestión Administrativa – Área de Notificaciones y en efecto no se asignara para su trámite en término, situación que solo se evidenció por parte de la OAJ al hacer seguimiento de los procesos de cobro coactivo. Sobre el memorando de vigencia 2021, suscrito por la Coordinadora del Grupo de Cobro Coactivo - OAJ, se allegaron a esta dependencia actos administrativos expedidos en el año 2020, es decir, ya fuera del término de Ley.</t>
  </si>
  <si>
    <t>97,3%</t>
  </si>
  <si>
    <t>99,1%</t>
  </si>
  <si>
    <t>98,2%</t>
  </si>
  <si>
    <t>Subdirección Administrativa y Financiera</t>
  </si>
  <si>
    <t xml:space="preserve"> $          467.349.859</t>
  </si>
  <si>
    <t xml:space="preserve"> $          379.784.603</t>
  </si>
  <si>
    <t>27,8%</t>
  </si>
  <si>
    <t>34,9%</t>
  </si>
  <si>
    <t>42,2%</t>
  </si>
  <si>
    <t>50,3%</t>
  </si>
  <si>
    <t>51,9%</t>
  </si>
  <si>
    <t>54,5%</t>
  </si>
  <si>
    <t>52,1%</t>
  </si>
  <si>
    <t>62,0%</t>
  </si>
  <si>
    <t>N/A</t>
  </si>
  <si>
    <t>SMPCA</t>
  </si>
  <si>
    <t>Grupo de Participación Ciudadana</t>
  </si>
  <si>
    <t>Documentos de lineamientos técnicos realizados</t>
  </si>
  <si>
    <t>No de Documentos de lineamientos técnicos realizados</t>
  </si>
  <si>
    <t>Estrategia de relacionamiento con grupos de interés implementada</t>
  </si>
  <si>
    <t>Número de estrategias de relacionamiento con grupos de interés implementada</t>
  </si>
  <si>
    <t>Durante el trimestre se llevaron a cabo las siguientes actividades:&lt;/p&gt;&lt;ul&gt;	&lt;li&gt;Autoridades Ambientales: Se presentó propuesta de concertación de estrategia de relacionamiento a la SIPTA, en donde se dieron a conocer los resultados de la caracterización de las autoridades ambientales de la vigencia 2020, con el fin de que se tengan en cuenta en la formulación del documento técnico y el plan de trabajo (17/02/2021). Se firmó la Agenda ambiental Sectorial 2021-2022 entre la ANLA y ASOCARS (02 de marzo), la cual comprende una serie de objetivos que se desarrollarán de manera conjunta durante esta vigencia y la próxima. Igualmente, se elaboró y acordó con ASOCARS el cronograma de capacitaciones con base en líneas estratégicas y temas de interés para las Corporaciones Autónomas Regionales, la cual comprende 14 sesiones entre los meses de marzo a septiembre. De estas sesiones, se han llevado a cabo dos (18 y 25 de marzo). (7%).&lt;/li&gt;	&lt;li&gt;Congreso: Se llevó a cabo reunión de contextualización del indicador para el caso de ECOS y Congreso, en el cual se les dio a conocer a los responsables el requerimiento de formular el documento técnico y el plan de trabajo (10/02/2021). Se adelantó la revisión de la estrategia de relacionamiento 2020, con el fin de solicitar la actualización del documento técnico para la presente vigencia (3%).&lt;/li&gt;	&lt;li&gt;ECOS: Se actualizó documento técnico de la estrategia para la vigencia 2021 y se elaboró propuesta de plan de trabajo de la estrategia de relacionamiento con Entes de Control (13%)</t>
  </si>
  <si>
    <t>Política de Servicio al ciudadano</t>
  </si>
  <si>
    <t>Porcentaje de acciones de participación ciudadana, lineamientos técnicos socioeconómicos y fortalecimiento de capacidades en grupos de interés realizados</t>
  </si>
  <si>
    <t>Numero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t>
  </si>
  <si>
    <t>Ejercicios de Participación</t>
  </si>
  <si>
    <t>Número de ejercicios de participación realizados y acompañados</t>
  </si>
  <si>
    <t>Caracterización de los conflictos de competencia de la Autoridad Nacional de Licencias Ambiental</t>
  </si>
  <si>
    <t>Número de actividades elaboradas/Número de actividades programadas</t>
  </si>
  <si>
    <t>Porcentaje de acciones de promoción de mecanismos de participación ciudadana y competencias institucionales en territorios con comunidades vulnerables (grupos étnicos, comunidad del área rural y otros grupos de interés) realizados.</t>
  </si>
  <si>
    <t>No de acciones pedagógicas realizadas/No acciones pedagógicas programadas</t>
  </si>
  <si>
    <t>Durante el mes de enero de 2021 se llevaron a cabo 22 acciones de pedagogía institucional en territorio</t>
  </si>
  <si>
    <t>Durante el mes de febrero de 2021 se llevaron a cabo 81 acciones de pedagogía institucional en territorio.</t>
  </si>
  <si>
    <t>En el mes de marzo de 2021 se llevaron a cabo 90 acciones de pedagogía institucional en territorio. Durante el trimestre, en total se han llevado a cabo 193 acciones de pedagogía</t>
  </si>
  <si>
    <t>Programas de formación, capacitación y sensibilización de grupos de interés</t>
  </si>
  <si>
    <t>Acciones realizadas/ acciones planeadas programa formación</t>
  </si>
  <si>
    <t>Elaboración y socialización de los Lineamientos del medio socioeconómico</t>
  </si>
  <si>
    <t>Documento elaborado y socializado</t>
  </si>
  <si>
    <t>Se encuentra en actualización el protocolo de LINEAMIENTOS Y ACCIONES PARA LA PARTICIPACIÓN DE LA ANLA EN PROCESOS DE CONSULTA PREVIA y en elaboración el documento LINEAMIENTOS PARA LA INCLUSIÓN DE LA INFORMACIÓN RESULTADO DE LA AUDIENCIA PÚBLICA AMBIENTAL EN LOS CONCEPTOS TÉCNICOS Y ACTOS ADMINISTRATIVOS DE EVALUACIÓN Y SEGUIMIENTO, una vez se aprueben las versiones finales se publicarán en el Sistema de Gestión y se llevará a cabo la socialización. </t>
  </si>
  <si>
    <t>Grupo de Respuestas a Solicitudes y Peticiones</t>
  </si>
  <si>
    <t>Porcentaje de Derechos de petición a solicitudes prioritarias finalizados oportunamente</t>
  </si>
  <si>
    <t>(Numero de DPE finalizados en términos / Total DPE con vencimiento de terminos)*100</t>
  </si>
  <si>
    <t>Durante el mes de Enero de 2021 se ejecutaron un total de 90 actividades (DPE).  Del total de estas actividades, 89 actividades fueron finalizadas dentro de los términos establecidos y 1 fue finalizada vencida.  Esto arroja un porcentaje de oportunidad del 98,9% para el mes de Enero  de 2020.</t>
  </si>
  <si>
    <t>Durante el mes de Febrero de 2021 se presentaron un total de 128 actividades (DPE).  Del total de estas actividades, el 100% fueron finalizadas dentro de los términos establecidos; esto arroja un porcentaje de oportunidad del 100% para el año 2021. Se revisaron todas las respuestas dadas a los DPE en año 2021, validando los tiempos con establecidos con el Decreto 491 del 28 de marzo de 2020 encontrando que todas fueron respondidos en los tiempos establecidos en este decreto.</t>
  </si>
  <si>
    <t>Hasta el mes de Marzo de 2021 se tramitaron un total de 446 actividades (DPE).  Del total de estas actividades, el 100% fueron finalizadas dentro de los términos establecidos; esto arroja un porcentaje de oportunidad del 100% hasta el mes de Marzo de 2020.</t>
  </si>
  <si>
    <t>Porcentaje de Solicitudes prioritarias de entes de control (ECOS) finalizados oportunamente</t>
  </si>
  <si>
    <t>(Número de ECO finalizados en términos / número de ECO con vencimiento de términos)*100</t>
  </si>
  <si>
    <t>Durante el mes de Enero de 2021 se ejecutaron un total de 41 actividades (ECO).  Del total de estas actividades, 41 actividades fueron finalizadas dentro de los términos establecidos, esto arroja un porcentaje de oportunidad de 100% para el mes de Enero de 2021</t>
  </si>
  <si>
    <t>Hasta el mes de Febrero de 2021 se respndieron un total de 132 actividades (ECO).  Del total de estas actividades, el 100% fueron finalizadas dentro de los términos establecidos; esto arroja un porcentaje de oportunidad del 100% hasta elmes de Enero  de 2020.</t>
  </si>
  <si>
    <t>Se resolvieron un total de 229 actividades (ECO) hasta el mes de Marzo de 2021.  Del total de estas actividades, el 100% fueron finalizadas dentro de los términos establecidos; esto arroja un porcentaje de oportunidad del 100%hasta el mes de Marzo de 2020. </t>
  </si>
  <si>
    <t>Subdirección de Mecanismos de Participación Ciudadana Ambiental</t>
  </si>
  <si>
    <t>Programas o proyectos de cooperación internacional vigentes que benefician a la ANLA.</t>
  </si>
  <si>
    <t>Numero de programas o proyectos de cooperación internacional vigentes que benefician a la ANLA</t>
  </si>
  <si>
    <t>Sobre el indicador  Programas o proyectos de cooperación internacional vigentes que benefician a la ANLA  (ver archivo adjunto Hoja de Vida Ind…) a continuación adjunto la evidencia de los siguientes proyectos:  			 Apoyo técnico para la construcción de la estrategia para la transformación positiva de conflictos en los procesos de licenciamiento ambiental de la ANLA;		Cooperación para el fortalecimiento en asuntos de participación ciudadana en el marco del Acuerdo de Escazú y en lineamientos de Cambio Climático 			Apoyo para el fortalecimiento de capacidades técnicas de la ANLA a través de GQSP Colombia - Programa de Calidad para la Cadena de Químicos	Desarrollo de competencias para el fortalecimiento de los Sistemas de Evaluación de Impacto Ambiental (SEIA) en Perú y Colombia			Formato Cooperación Sur-Sur APC Colombia</t>
  </si>
  <si>
    <t>Grupo de Atención al Ciudadano</t>
  </si>
  <si>
    <t>Porcentajes de peticiones, quejas, reclamos y sugerencias (PQRS) atendidas de manera oportuna</t>
  </si>
  <si>
    <t>N° de PQRS respondidos por la entidad en los términos legales durante el periodo / N° de PQRS recibidos por la entidad</t>
  </si>
  <si>
    <t>Con corte al 31 de enero del 2021 la Entidad respondió 643 peticiones, quejas, reclamos y sugerencias Ordinarias, de las cuales se atendieron dentro de término 639, es decir, se respondieron fuera de término 4 PQRS. Representando un porcentaje de cumplimiento del 99,4%. &lt;/p&gt;&lt;p&gt;Téngase en cuenta que por disposición del artículo 5° del Decreto Legislativo 491 del 28 de marzo de 2020, se ampliaron los términos de respuesta para atender los derechos de petición.</t>
  </si>
  <si>
    <t>Con corte al 28 de febrero del 2021 la Entidad respondió 1150 peticiones, quejas, reclamos y sugerencias ordinarias, de las cuales se atendieron dentro del término 1145, es decir, se respondieron fuera del término 5 PQRS; representando un porcentaje de cumplimiento del 99,6%. &lt;/p&gt;&lt;p&gt;Téngase en cuenta que por disposición del artículo 5° del Decreto Legislativo 491 del 28 de marzo de 2020, se ampliaron los términos de respuesta para atender los derechos de petición.</t>
  </si>
  <si>
    <t>Para el mes de marzo la Entidad respondió 1124 peticiones, quejas, reclamos y sugerencias ordinarias, todas dentro de los terminos legales, es decir, un porcentaje de cumplimiento del 100%. Las peticiones ordinarias atendidas dentro de los términos, con corte a 31 de marzo fueron 3209, de un total de 3214, representando un porcentaje de cumplimiento acumulado del 99,8%, en razón, al vencimiento de 5 peticiones ( Enero: 4 y Febrero: 1).&lt;/p&gt;&lt;p&gt;Para el reporte del mes de febrero no se presentó de manera acumulada el indicador, subsanandosé para el reporte del presente mes.&lt;/p&gt;&lt;p&gt;Téngase en cuenta que por disposición del artículo 5° del Decreto Legislativo 491 del 28 de marzo de 2020, se ampliaron los términos de respuesta para atender los derechos de petición.</t>
  </si>
  <si>
    <t>Satisfacción en la atención del centro de orientación</t>
  </si>
  <si>
    <t>Numero de personas que manifestaron estar satisfechas con los servicios recibidos en el centro de orientación/total de personas que respondieron la encuesta de satisfacción.\n\n</t>
  </si>
  <si>
    <t>Los usuarios que calificaron la atención en el canal chat como BUENA correspondió a 740 mientras que 102 calificaron como MALA la atención recibida, lo que corresponde a un porcentaje de satisfacción del 88%</t>
  </si>
  <si>
    <t>Porcentaje de reducción de PQRSD</t>
  </si>
  <si>
    <t>Número de PQRSD (Quejas y Reclamos) del año vigente / Número de PQRSD (Quejas y Reclamos) del año anterior</t>
  </si>
  <si>
    <t>Durante el mes de enero de la presente vigencia la Entidad recibió 3 reclamos.</t>
  </si>
  <si>
    <t>En el mes de febrero se recibieron 7 reclamos, para un consolidado de 10</t>
  </si>
  <si>
    <t>En el mes de marzo se recibieron 2 reclamos, para un consolidado de 12 durante el I trimestre.</t>
  </si>
  <si>
    <t>Satisfacción de los Grupos de Interés</t>
  </si>
  <si>
    <t>Incrementar en 5 puntos el grado de satisfacción de los usuarios externos frente a los trámites y Servicios</t>
  </si>
  <si>
    <t>Dirección General</t>
  </si>
  <si>
    <t>Avance en la implementación de los planes de gestión del riesgo en los Proyectos, Obras o Actividades priorizados</t>
  </si>
  <si>
    <t>OCDI</t>
  </si>
  <si>
    <t>Oficina de Control Disciplinario Interno</t>
  </si>
  <si>
    <t>Porcentaje de satisfacción en acciones preventivas de los colaboradores capacitados</t>
  </si>
  <si>
    <t>Porcentaje de satisfacción alcanzado por los colaboradores capacitados en acciones preventivas</t>
  </si>
  <si>
    <t>Teniendo presente que sobre el total de resultados que se ven en la encuesta, más de un 80% de los resultados son por el item excelente y un 19% son del item bueno, por correlación quiere decir que un 99% de los resultados dados por los colaboradores arrojan un grado de satisfacción positivo, ubicando el indicador en un 100% según la metodología de medición.  Durante el período comprendido entre el 1o al 31 de enero de 2021 se capacitaron a 132 servidores y colaboradoes de Anla de los cuales 101 diligenciaron la encuesta de satisfacción, arrojando los siguientes resultados.</t>
  </si>
  <si>
    <t xml:space="preserve">Durante el periodo comprendido entre  el 01 y el 28 de febrero de 2021, la oficina de Control Disciplinario Interno, capacitó a 33 colaboradores en dos sesiones, en los cuales 33 llenaron la encuesta de satisfacción con puntaje favorable de 98.77%, de la siguiente manera: Excelente 69.14%, Bueno 29.63% y Malo 1.23%.
</t>
  </si>
  <si>
    <t>Durante el periodo comprendido entre el 01 y 31 de marzo de 2021, la Oficina de Control Disciplinario Interno, capacitó a 55 colaboradores del ANLA de los cuales 22 llenaron la encuesta de satisfacción además, se capacitaron a 54 miembros de ASOBANCARIA de los cuales 36 se inscribieron en la lista de asistencias. Los resultados fuerón: Excelente 71%, Bueno 28% y Malo 1%; es decir, favorable un 99%.</t>
  </si>
  <si>
    <t>Porcentaje de trámites de actuaciones disciplinarias</t>
  </si>
  <si>
    <t>Número total de procesos impulsados / Número total de procesos</t>
  </si>
  <si>
    <t xml:space="preserve">Durante el mes de enero de 2021 se elaboraron trece (13) actos administrativos. </t>
  </si>
  <si>
    <t xml:space="preserve">Durante el período comprendido entre el 1o al 28 de febrero del 2021 se expidieron 30 actos administrativos.  </t>
  </si>
  <si>
    <t>Durante el periodo comprendido entre el 1 y 31 de marzo de 2021, la Oficina de Control Disciplinario Interno emitió 39 actos administrativos.</t>
  </si>
  <si>
    <t>Política de Integridad</t>
  </si>
  <si>
    <t>Documento sobre política de prevención de faltas disciplinarias para la entidad</t>
  </si>
  <si>
    <t>Porcentaje del avance / sobre actividades planeadas (trimestrales)</t>
  </si>
  <si>
    <t>N.A es trimestral</t>
  </si>
  <si>
    <t xml:space="preserve">En cumplimiento del plan de trabajo para el 2021, durante el primer trimestre del año en vigencia, se realizaron 4 mesas de relacionamiento con las dependencias definidas, para las cuales se analizaron las conductas recurrentes de acuerdo con el diagnóstico de investigaciones en aras de prevenir, erradicar o minimizar las malas. prácticas de los servidores públicos, teniendo como insumo la información disponible en el panel de control. Frente a las conductas identificadas y la socialización con la respectiva dependencia, se establecieron los compromisos correspondientes. Es de resaltar que, en el desarrollo de las mesas de relacionamiento, se identificó la necesidad de socializar con todas las dependencias la conducta de “No aplicación al manual de contratación”, de igual manera la conducta referida a “No aplicación del manual de políticas y procedimientos contables” y específicamente al no fenecimiento de la cuenta en la vigencia respectiva no solo involucra al Grupo de Gestión Financiera y Presupuestal, sino al Grupo de Gestión Administrativa y la OTI. Así como la OAJ en la cuenta de provisión de litigios y demandas.
</t>
  </si>
  <si>
    <t>Porcentaje de implementación y seguimiento de la línea de ética</t>
  </si>
  <si>
    <t>Actividades realizadas de divulgación/Actividades programadas en el cronograma</t>
  </si>
  <si>
    <t>Durante el periodo comprendido entre el 1 y 31 de marzo de 2021, la Oficina de Control Disciplinario Interno, con apoyo de la dependencia de comunicaciones divulgó la línea de ética y el link de denuncias de la página por las diferentes redes sociales y YouTube.</t>
  </si>
  <si>
    <t>Número de mesas de relacionamiento para la prevención de conductas recurrentes</t>
  </si>
  <si>
    <t>Número de mesas de relacionamiento para la prevención de conductas recurrentes en la entidad</t>
  </si>
  <si>
    <t xml:space="preserve">Durante el mes de enero de 2021 se realizó el plan de trabajo de las mesas de relacionamiento las cuales inciaran en febrero el cual se socializó en el Comité de Control Interno el 28 de enero. </t>
  </si>
  <si>
    <t>Durante el periodo comprendido entre  el 01 y el 28 de febrero de 2021, la oficina de Control Disciplinario Interno, se realizaron dos mesas de relacionamiento los días 3 de febrero (SAF) y 17 de febrero (Comité de Convivencia).</t>
  </si>
  <si>
    <t>Durante el periodo comprendido entre el 01 y 31 de marzo de 2021, en la Oficina de Control Disciplinario Interno se realizaron dos mesas de relacionamiento los días 3 de marzo con SIPTA y 17 de marzo con OTI.</t>
  </si>
  <si>
    <t>Oficina de Control Interno</t>
  </si>
  <si>
    <t>Porcentaje de efectividad de las acciones de mejoramiento definidas por la entidad</t>
  </si>
  <si>
    <t>Número de acciones efectivas (PM interno + PM CGR) / Total de acciones evaluadas (PM interno + PM CGR)</t>
  </si>
  <si>
    <t>Con corte a enero se realizó la evaluación de 11 acciones tanto de la CGR como del PM interno, de las cuales fueron cerradas 9 acciones; esto arroja un avance acumulado de 82%</t>
  </si>
  <si>
    <t>En el mes de febrero se evaluó en total 11 acciones de las cuales se cerraron 8 que equivale al 72.7%. El reporte se realiza con el acumulado de acciones evaluadas que son 22 de las cuales se han cerrado 17, es decir, se ha cerrado el 77.2%</t>
  </si>
  <si>
    <t>En el mes de marzo se evaluaron 48 acciones del PM CGR y 0 acciones del PM Interno, de las cuales el 100% fueron positivas. El acumuado resulta de 70 acciones en total evaluadas en la vigencia, de las cuales 65 han sido positivas.</t>
  </si>
  <si>
    <t>Porcentaje de cumplimiento de las acciones formuladas en el Plan de Mejoramiento suscrito con la Contraloría General de la República</t>
  </si>
  <si>
    <t>No. Total de acciones cerradas /No. Total de acciones evaluadas del plan de mejoramiento CGR.</t>
  </si>
  <si>
    <t>Con corte a enero se realizó la evaluación de 6 acciones, de las cuales fueron cerradas 5 acciones; esto arroja un avance acumulado de 83%</t>
  </si>
  <si>
    <t>En el mes de febrero se realizó la evalaución de 2 acciones de las cuales se cerró 1, es decir el 50% de efectividad. El reporte corresponde al acumulado de acciones evaluadas que es de 8 acciones evaluadas de las cuales se han cerrado 6, es decir, un 75%</t>
  </si>
  <si>
    <t>En el mes de marzo de 2021 se realizó la evaluación de 48 acciones las cuales fueron positivas el 100%. El acumulado es la evalaución en la vigencia de 56 acciones de las cuales 54 han sido positivas. </t>
  </si>
  <si>
    <t>Porcentaje de efectividad de las acciones del plan de mejoramiento interno</t>
  </si>
  <si>
    <t>No. Total de acciones con concepto positivo /No. Total de acciones evaluadas del plan de mejoramineto interno</t>
  </si>
  <si>
    <t>Con corte a enero se realizó la evaluación de 5 acciones, de las cuales fueron cerradas 4 acciones; esto arroja un avance acumulado de 80%</t>
  </si>
  <si>
    <t>En el mes de febrero se realizó la evaluación de 9 acciones de las cuales se cerraron 7 que equivale al 77.7%. El reporte corresponde al acumulado de las acciones evaluadas que son 14 de las cuales se cerraron 11, es decir, el 78.5% de efectividad. </t>
  </si>
  <si>
    <t>En el mes de marzo no se evaluo ninguna acción del PM Interno. El acumulado es el mismo reportado a Febrero de 2021, es decir 78.5%</t>
  </si>
  <si>
    <t>Resultado de la evaluación del Sistema de Control Interno</t>
  </si>
  <si>
    <t>(Resultado del Informe de la evaluación del Sistema de Control Interno arrojado en la herramienta del DAFP del primer semestre + resultado del informe del segundo semestre)/2</t>
  </si>
  <si>
    <t>ABRIL</t>
  </si>
  <si>
    <t>MAYO</t>
  </si>
  <si>
    <t>JUNIO</t>
  </si>
  <si>
    <t>A corte del 30 de abril se han realizado cinco (5) solicitudes de evaluación a licencias ambientales (nuevas y modificaciones) resueltas dentro de los tiempos establecidos en la normatividad vigente.</t>
  </si>
  <si>
    <t>A corte del 30 de abril se han generado diecisiete (17) actos administrativos que resuelven solicitudes de evaluación de licenciamiento ambiental</t>
  </si>
  <si>
    <t>A corte 31 de mayo de  2021 el sector debía resolver 5 solicitudes de licenciamiento ambiental;  (3) Nuevas, (2) Modificaciones,  las cuales se resolvieron oportunamente. El indicador registra un 100% de avance y 109% de cumplimiento frente a la meta programada en la vigencia.</t>
  </si>
  <si>
    <t>A corte 31 de mayo de 2021 se han expedido veinte (20) actos administrativos para resolver las solicitudes de evaluación de licenciamiento ambiental.</t>
  </si>
  <si>
    <t>A corte 30 de junio de  2021 el sector debía resolver 7 solicitudes de licenciamiento ambiental;  (4) Nuevas, (3) Modificaciones,  las cuales se resolvieron oportunamente.</t>
  </si>
  <si>
    <t>A corte 30 de junio de 2021 se han expedido 23 actos administrativos para resolver las solicitudes de evaluación de licenciamiento ambiental.</t>
  </si>
  <si>
    <t>A corte del 30 de abril se han realizado nueve (9) solicitudes de evaluación a licencias ambientales (nuevas y modificaciones) resueltas dentro de los tiempos establecidos en la normatividad vigente.</t>
  </si>
  <si>
    <t>A corte del 30 de abril se han generado trece (13) actos administrativos que resuelven solicitudes de evaluación de licenciamiento ambiental.</t>
  </si>
  <si>
    <t>A corte 31 de mayo de 2021 se han expedido 12 actos administrativos para resolver las solicitudes de evaluación de licenciamiento ambiental (nuevas y modificaciones), las cuales se resolvieron en los tiempos establecidos por la normatividad vigente.</t>
  </si>
  <si>
    <t>A corte 31 de mayo de 2021 se han expedido 15 actos administrativos para resolver las solicitudes de evaluación de licenciamiento ambiental.</t>
  </si>
  <si>
    <t>A corte 30 de junio de  2021 el sector debía resolver 13 solicitudes de licenciamiento ambiental;  (4) Nuevas, (9) Modificaciones,  las cuales se resolvieron oportunamente. </t>
  </si>
  <si>
    <t>A corte 30 de junio de 2021 se han expedido16 actos administrativos para resolver las solicitudes de evaluación de licenciamiento ambiental.</t>
  </si>
  <si>
    <t>A corte 30 de abril de  2021 el sector debía resolver 15 solicitudes de licenciamiento ambiental; (4) Nuevas, (11) Modificaciones, la cuales se resolvieron oportunamente.</t>
  </si>
  <si>
    <t>A corte 30 de abril de  2021 se han expedido 17 actos administrativos para resolver las solicitudes de evaluación de licencianto ambienta</t>
  </si>
  <si>
    <t>A corte 31 de mayo de  2021 el sector debía resolver 17 solicitudes de licenciamiento ambiental;  (4) Nuevas, (13) Modificaciones  las cuales se resolvieron oportunamente. El indicador registra un 100% de avance y 109% de cumplimiento frente a la meta programada en la vigencia.</t>
  </si>
  <si>
    <t>A corte 31 de mayo de  2021 se han expedido 21 actos administrativos para resolver las solicitudes de evaluación de licenciante ambiental. El indicador registra un 42% de avance.</t>
  </si>
  <si>
    <t>A corte 30 de junio de  2021 se han expedido 23 actos administrativos para resolver las solicitudes de evaluación de licencianto ambiental. El indicador registra un avance del 46%.</t>
  </si>
  <si>
    <t>A corte 30 de junio  de  2021 el sector debía resolver 19 solicitudes de licenciamiento ambiental; (5) Nuevas, y (14) Modificaciones, las cuales se resolvieron oportunamente. El indicador registra un 100% de avance y 109% de cumplimiento frente a la meta programda en la vigencia. </t>
  </si>
  <si>
    <t>A corte 30 de junio de 2021 el sector de Minería ha expedido 3 actos administrativos para resolver la solicitud de evaluación de licenciamiento ambiental y 9 actos administrativos para resolver la solicitud de permiso fuera de licencia. El indicador registra un 75% de avance.</t>
  </si>
  <si>
    <t>A corte 30 de junio de 2021 el sector debía resolver 2 solicitudes de licenciamiento ambiental; (1) Nueva, (1) Modificación, de las cuales 1 fue resuelta oportumamente. El indicador registra un 50% de avance y 54% de cumplimiento frente la meta programada para la vigencia.</t>
  </si>
  <si>
    <t>A corte 30 de abril de 2021 el sector de Minería ha expedido 2 actos administrativos para resolver la solicitud de evaluación de licenciamiento ambiental y 7 actos administrativos para resolver la solicitud de permiso fuera de licencia.</t>
  </si>
  <si>
    <t>A corte 31 de mayo de 2021 el sector de minería debía resolver 2 solicitudes de licenciamiento ambiental; (1) Nueva, (1) Modificación, de las cuales 1 fue resuelta oportunamente. El indicador registra un 50% de avance y 54% de cumplimiento frente la meta programada para la vigencia.</t>
  </si>
  <si>
    <t>A corte 31 de mayo de 2021 el sector de Minería ha expedido 2 actos administrativos para resolver la solicitud de evaluación de licenciamiento ambiental y 9 actos administrativos para resolver la solicitud de permiso fuera de licencia. El indicador registra un 69% de avance.</t>
  </si>
  <si>
    <t>A corte 30 de  Junio de 2021 el Grupo de Agroquímicos y Proyectos Especiales   Expidio 100 Actos administratvios de los cuales fueron 84 DTA,  12 LA y 4 PMA. El indicador resgistra un 38% de avance.</t>
  </si>
  <si>
    <t>A corte del 30 de Junio  de 2021 el grupo de agroquimios y Proyectos Especiales debía resolver 11 solicitudes; (9) Nuevas, (2) Modificacion de las cuales   se resolvieron   (10) Diez  oportunamente.  El indicador resgistra un 91% de avance y un 99% de cumplimiento frente a la meta programda.</t>
  </si>
  <si>
    <t>A corte del 31 de Mayo  de 2021 el grupo de agroquímicos y Proyectos Especiales debía resolver 9 solicitudes; (7) Nuevas, (2) Modificación de las cuales   se resolvieron   (8) Nuevas oportunamente.  El indicador registra un 89% de avance y un 97% de cumplimiento frente a la meta programada.</t>
  </si>
  <si>
    <t>A corte 31 de Mayo de 2021 el Grupo de Agroquímicos y Proyectos Especiales expidió 85 Actos administrativos de los cuales fueron 72 DTA,  9 LA y 4 PMA. El indicador registra un 32% de avance.</t>
  </si>
  <si>
    <t>A corte 30 de abril de 2021 el Grupo de Agroquímicos y Proyectos Especiales expidio  68 Actos administratvios de los cuales fueron 58 DTA, 6 LA y 4 PMA</t>
  </si>
  <si>
    <t>A corte del 30 de abril  de 2021 el grupo de Agroquimios y Proyectos Especiales debía resolver 9 solicitudes; (7) Nuevas, (2) Modificacion de las cuales   se resolvieron   (8) Nuevas oportunamente.</t>
  </si>
  <si>
    <t>A corte 30 de junio de 2021 se reporta un 8% de avance en la elaboración del Plan de Trabajo e implementación de la Estrategia de Evaluación, de acuerdo con el trabajo realizado con las diferentes dependencias que son partícipes de este proceso, el cual abarca el desarrollo de actividades en los diferentes componentes que hacen parte de la Estrategia. Se registra un 33% de cumplimiento frente a la meta programada en la vigencia.</t>
  </si>
  <si>
    <t>A corte 30 de abril de 2021 la entidad debía resolver 40 solicitudes de licenciamiento ambiental; (18) Nuevas y (22) Modificaciones, de las cuales 38 se resolvieron oportunamente (17) Nuevas, (21) modificaciones.</t>
  </si>
  <si>
    <t>A corte 30 de abril de 2021 se han expedido 124 actos administrativos para resolver las solicitudes de evaluación de licenciamiento ambiental.</t>
  </si>
  <si>
    <t>A corte 30 de abril de 2021, el grupo tenía 126 actividades de cambios menores no reglados por gestionar con vencimiento de términos, de las cuales 124 fueron atendidas oportunamente distribuidas asi: Infraestructura (31), Hidrocarburos (34), Energía (12), Minería (8) y Agroquímicos (41)</t>
  </si>
  <si>
    <t>A corte 30 de abril de 2021, el grupo tenia 149 VPD para gestionar con vencimientos de términos, de las cuales 116 fueron atendidas oportunamente. El indicador registra un 78% de avance y un porcentaje de cumplimiento del 92% frente a la meta programada.</t>
  </si>
  <si>
    <t>A corte 31 de mayo de  2021 ANLA debía resolver 45 solicitudes de licenciamiento ambiental;  (19) Nuevas, (26) Modificaciones, de las cuales 43 solicitudes se resolvieron oportunamente (18) Nuevas, (25) Modificaciones. El indicador registra un 96% de avance y un cumplimiento de 104% frente a la meta programada para la vigencia.</t>
  </si>
  <si>
    <t>A corte 31 de mayo de 2021, el grupo tenía 155 actividades de cambios menores no reglados por gestionar con vencimiento de términos, de las cuales 153 fueron atendidas oportunamente distribuidas por sector así: Infraestructura (34), Hidrocarburos (47), Energía (16), Minería (9) y Agroquímicos (47). El indicador registra un 99% de avance y un cumplimiento del 104% frente a la meta programada en la vigencia</t>
  </si>
  <si>
    <t>A corte 31 de mayo de 2021, el grupo tenia 182 VPD para gestionar con vencimientos de términos, de las cuales 150 fueron atendidas oportunamente. Es importante resaltar que para el mes de mayo se atendieron oportunamente el 96% de las VPD asignadas. El indicador registra un avance acumulad de 82% y un porcentaje de cumplimiento del 97% frente a la meta programada. A partir del mes de mayo se realiza la modificación en la matriz de VPD de acuerdo a la actualización realizada en SILA, en la cual se parametrizaron 7 días hábiles (y no 6 como estaba anteriormente) desde la radicación hasta la respuesta de la VPD, tal como esta establecido en el PR-4 Procedimiento de evaluación y PR-5 Procedimiento de modificación de licencias.</t>
  </si>
  <si>
    <t>A corte 31 de mayo de  2021 se han expedido 152 actos administrativos para resolver las solicitudes de evaluación de licenciamiento ambiental. El indicador registra un 37% de avance.</t>
  </si>
  <si>
    <t>A corte 30 de junio de 2021 ANLA debía resolver 52 solicitudes de licenciamiento ambiental; (23) Nuevas, (29) Modificaciones, de las cuales 50 solicitudes se resolvieron oportunamente (22) Nuevas, (28) Modificaciones. El indicador registra un 96% de avance y un cumplimiento de 105% frente a la meta programada para la vigencia.</t>
  </si>
  <si>
    <t>A  corte 30 de junio de 2021 se han expedido 174 actos administrativos para resolver las solicitudes de evaluación de licenciamiento ambiental. El indicador registra un 42% de avance frente la meta programada para la vigencia.</t>
  </si>
  <si>
    <t>A corte 30 de junio de 2021, el grupo tenía 186 actividades de cambios menores no reglados por gestionar con vencimiento de términos, de las cuales 184 fueron atendidas oportunamente distribuidas asi: Infraestructura (37), Hidrocarburos (62), Energía (17), Minería (13) y Agroquímicos (55). El indicador registra un 99% de avance y un cumplimiento del 104% frente a la meta programada en la vigencia.</t>
  </si>
  <si>
    <t>A corte 30 de junio de 2021, el grupo tenia 209 VPD para gestionar con vencimientos de términos, de las cuales 175 fueron atendidas oportunamente. Es importante resaltar que para el mes de junio se atendieron oportunamente el 100% de las VPD asignadas (26). El indicador registra un avance acumulado de 84% y un porcentaje de cumplimiento del 99% frente a la meta programada.</t>
  </si>
  <si>
    <t>A corte 30 de Junio de 2021, el grupo de Servicios Geoespaciales efectuó la verificación de 46 cambios menores no reglados con vencimiento de terminos a la fecha, los cuales se atendieron oportunamente, para un porcentaje total acumulado del 100% y obteniendo un porcentaje de  cumplimiento frente a la meta del 105%.</t>
  </si>
  <si>
    <t>A corte 30 de Junio de 2021, el grupo de Servicios Geoespaciales efectuó la verificación de 158 VPD que tenian vencimiento de terminos en el periodo, de las cuales para 138 se realizó su revisión en términos alcanzando un porcentaje total acumulado del 87,34%, obteniendo un Porcentaje de cumpliento frente a la meta de producto del 102,8%. Es importante resaltar que para el mes de junio se revisaron oportunamente el 100% de las VPD asignadas (20).</t>
  </si>
  <si>
    <t>A corte del mes de junio de 2021, desde el grupo de Compensaciones_1% fue finalizada la revisión para 33 (treinta y tres) expedientes de los cuales los sectores finalizaron con concepto técnico numerado un total de 23 (veintitres)  expedientes. El indicador registra un avance de 70% y un cumplimiento de 74% frente a la meta programada.</t>
  </si>
  <si>
    <t>A corte del mes de junio de 2021, desde el grupo de Riesgos y Contingencia fue finalizada la revisión para 62 (sesenta y dos) expedientes de los cuales los sectores finalizaron con concepto técnico numerado un total de 57 (cincuenta y siete) expedientes. El indicador registra un avance de 92% y un cumplimiento de 97% frente a la meta programada.</t>
  </si>
  <si>
    <t>A corte del mes de junio de 2021, desde el grupo de valoración económica fue finalizada la revisión para 46 (cuarenta y seis) expedientes de los cuales los sectores finalizaron con concepto técnico numerado un total de 41 (cuarenta y un) expedientes. El indicador registra un avance de 89% y un cumplimiento de 94% frente a la meta programada.</t>
  </si>
  <si>
    <t>A corte 30 de junio de 2021, el grupo de Servicios Geoespaciales efectuó la verificación de 50 informaciónes adicionales, el indicador registra un 100% de avance.</t>
  </si>
  <si>
    <t>A corte 31 de Mayo de 2021, el grupo de Servicios Geoespaciales efectuó la verificación de 33 cambios menores no reglados con vencimiento de términos a la fecha, los cuales se atendieron oportunamente, para un porcentaje total acumulado del 100% y obteniendo un Porcentaje de  cumplimiento frente a la meta de producto del 105%.</t>
  </si>
  <si>
    <t>A corte 31 de Mayo de 2021, el grupo de Servicios Geoespaciales efectuó la verificación de 138 VPD que tenían vencimiento de términos en el periodo, de las cuales para 118 se realizó su revisión en términos alcanzando un porcentaje total acumulado del 85,51%, obteniendo un Porcentaje de cumplimento frente a la meta de producto del 100,6%. Es importante resaltar que para el mes de mayo se revisaron oportunamente el 100% de las VPD asignadas (19).</t>
  </si>
  <si>
    <t>A corte del mes de mayo de 2021, desde el grupo de Compensaciones_1% fue finalizada la revisión para 26 (veintiséis) expedientes de los cuales los sectores finalizaron con concepto técnico numerado un total de 16 (dieciséis)  expedientes. El indicador registra un avance de 62% y un cumplimiento de 65% frente a la meta programada.</t>
  </si>
  <si>
    <t>A corte del mes de mayo de 2021, desde el grupo de Riesgos y Contingencia fue finalizada la revisión para 52 (cincuenta y dos) expedientes de los cuales los sectores finalizaron con concepto técnico numerado un total de 47 (cuarenta y siete) expedientes. El indicador registra un avance de 90% y un cumplimiento de 95% frente a la meta programada.</t>
  </si>
  <si>
    <t>A corte del mes de mayo de 2021, desde el grupo de valoración económica fue finalizada la revisión para 39 (treinta y nueve) expedientes de los cuales los sectores finalizaron con concepto técnico numerado un total de 35 (treinta y cinco ) expedientes. El indicador registra un avance de 90% y un cumplimiento de 94% frente a la meta programada.</t>
  </si>
  <si>
    <t>A corte 31 de Mayo de 2021, el grupo de Servicios Geoespaciales efectuó la verificación de 36 informaciones adicionales,  para un porcentaje total acumulado del 100% y un Porcentaje de cumplimiento frente a la meta de producto del 100%.</t>
  </si>
  <si>
    <t>A corte del 30 de abril se han realizado nueve (9) visitas lo que corresponde al 100% de solicitudes de licenciamiento ambiental a atender dentro de términos del decreto 1076</t>
  </si>
  <si>
    <t>A corte de 30 de abril no se han finalizado conceptos técnicos dentro de los términos internos, de tres (3) conceptos técnicos aprobados</t>
  </si>
  <si>
    <t>A corte del 30 de abril se han generado trece (13) visitas técnicas realizadas para el proceso de evaluación de licencias ambientales</t>
  </si>
  <si>
    <t>A corte del 30 de abril se han generado dieciseis (16) conceptos técnicos realizados para resolver las solicitudes de evaluación de licenciamiento ambiental</t>
  </si>
  <si>
    <t>A corte 30 de abril de 2021 se registra un total de 5 conceptos técnicos de evaluación finalizados por el sector que implementaron los instrumentos acogidos. El indicador registra un 100% de cumplimiento.</t>
  </si>
  <si>
    <t>A corte 31 de mayo de 2021 el sector debía realizar once (11) visitas a solicitudes de licenciamiento ambiental (nuevas y modificaciones), las cuales se realizaron oportunamente. </t>
  </si>
  <si>
    <t>A corte 31 de mayo de  2021  el sector debía elaborar 4 conceptos técnicos, de los cuales uno (1)  se finalizó oportunamente. El indicador registra un 25% de avance y 27% de cumplimiento frente a la meta programada en la vigencia.</t>
  </si>
  <si>
    <t>A corte 31 de mayo de 2021 el sector finalizó quince (15) visitas para resolver las solicitudes de evaluación de licenciamiento ambiental.</t>
  </si>
  <si>
    <t>A corte 31 de mayo de 2021 el sector finalizó veinte (20) CT para resolver las solicitudes de evaluación de licenciamiento ambiental</t>
  </si>
  <si>
    <t>A corte 31 de mayo de 2021 el sector ha implementado en 7 conceptos técnicos los instrumentos acogidos en la etapa de evaluación de licenciamiento ambiental.</t>
  </si>
  <si>
    <t>A corte 30 de junio de 2021 el sector debía realizar 16 visitas técnicas, las cuales se realizaron oportunamente</t>
  </si>
  <si>
    <t>A corte 30 de mayo de 2021 el sector debía elaborar 4 conceptos técnicos, de los cuales uno (1) se finalizó oportunamente</t>
  </si>
  <si>
    <t>A corte 30 de junio de 2021 el sector realizó 19 visitas de licenciamiento ambiental.</t>
  </si>
  <si>
    <t>A corte 30 de junio de 2021 el sector finalizó 22 CT para resolver las solicitudes de evaluación de licenciamiento ambiental.</t>
  </si>
  <si>
    <t>A corte 30 de junio de 2021 el sector finalizó un total de 8 CT con instrumentos acogidos para resolver las solicitudes de evaluación de licenciamiento ambiental.</t>
  </si>
  <si>
    <t xml:space="preserve">A corte de 30 de abril se finalizó un (1) concepto técnico dentro de los términos internos, de once (11) conceptos técnicos aprobados </t>
  </si>
  <si>
    <t>A corte del 30 de abril se han generado diez (10) visitas técnicas realizadas para el proceso de evaluación de licencias ambientales</t>
  </si>
  <si>
    <t>A corte del 30 de abril se han generado trece (13) conceptos técnicos realizados para resolver las solicitudes de evaluación de licenciamiento ambiental</t>
  </si>
  <si>
    <t>A corte 30 de abril de 2021 se registra un total de 9 conceptos técnicos de evaluación finalizados por el sector que implementaron los instrumentos acogidos. El indicador registra un 100% de cumplimiento.</t>
  </si>
  <si>
    <t xml:space="preserve">A corte 31 de mayo de 2021 el sector debía realizar 9 visitas a solicitudes de licenciamiento ambiental (nuevas y modificaciones) , las cuales se realizaron oportunamente. </t>
  </si>
  <si>
    <t>A corte 31 de mayo de 2021 el sector finalizó 11 visitas para resolver las solicitudes de evaluación de licenciamiento ambiental.</t>
  </si>
  <si>
    <t>A corte 31 de mayo de 2021 el sector emitió quince (15) CT para resolver las solicitudes de evaluación de licenciamiento ambiental</t>
  </si>
  <si>
    <t>A corte 31 de mayo de 2021 el sector ha implementado en 12 conceptos técnicos los instrumentos acogidos en la etapa de evaluación de licenciamiento ambiental.</t>
  </si>
  <si>
    <t>A corte 30 de junio de 2021 el sector debía realizar 11 visitas técnicas, las cuales se realizaron todas oportunamente.</t>
  </si>
  <si>
    <t>A corte 30 de junio de 2021 el sector debía elaborar 12 conceptos técnicos, de los cuales uno (1) se realizaron oportunamente. El indicador registra un 8% de avance</t>
  </si>
  <si>
    <t>A corte 30 de junio de 2021 el sector realizó 13 visitas de licenciamiento ambiental.  </t>
  </si>
  <si>
    <t>A corte 30 de junio de 2021 el sector realizó 15 conceptos tecnicos de para licenciamientos ambientales. </t>
  </si>
  <si>
    <t>A corte del 30 de junio el sector ha generado un total de 13 CT con instrumentos acogidos.</t>
  </si>
  <si>
    <t>A corte 30 de abril de  2021 el sector realizó once (11) visitas de licenciamiento ambiental</t>
  </si>
  <si>
    <t>A corte 30 de abril de  2021 el sector finalizaron quince (15) CT para resolver las solicitudes de evaluación de licenciamiento ambiental</t>
  </si>
  <si>
    <t>De los once (11) CT finalizados en el 2021, a diez (10) les aplicó la implementacion de instrumentos; correspondiendo dos (2) de ellos al mes de abril, equivalentes al 100% de los CT a los cuales era posible, durante el referido mes</t>
  </si>
  <si>
    <t>A corte 30 de abril de  2021  el sector debia realizar 10 visitas técnicas, las cuales se realizaron oportunamente.</t>
  </si>
  <si>
    <t>A corte 30 de abril de  2021  el sector debia elaborar 14 conceptos tecnicos, de los cuales 5 se realizaron oportunamente.</t>
  </si>
  <si>
    <t>A corte 31 de mayo de 2021 el sector realizó trece (13) visitas de licenciamiento ambiental.  El indicador registra un 33% de avance.</t>
  </si>
  <si>
    <t>A corte 31 de mayo de 2021 el sector finalizó 19 CT para resolver las solicitudes de evaluación de licenciamiento ambiental.  El indicador registra un 42% de avance.</t>
  </si>
  <si>
    <t>Durante el mes de mayo se les aplicó instrumentos a 12 CT acogidos mediante acto administrativo, siendo este número el total de CT a los cuales era posible implementar los instrumentos </t>
  </si>
  <si>
    <t>A corte 31 de mayo de  2021  el sector debía realizar 13 visitas técnicas, las cuales se realizaron oportunamente. El indicador registra un 100% de avance y 109% de cumplimiento frente a la meta programada en la vigencia.</t>
  </si>
  <si>
    <t>A corte 31 de mayo de  2021  el sector debía elaborar 16 conceptos técnicos, de los cuales seis (6)  se realizaron oportunamente. El indicador registra un 38% de avance y 41% de cumplimiento frente a la meta programada en la vigencia.</t>
  </si>
  <si>
    <t>A corte 30 de junio de 2021 el sector realizaron 17 visitas de licenciamiento ambiental. El indicador registra un avance del 43%.</t>
  </si>
  <si>
    <t>A corte 30 de junio de 2021 el sector finalizó 20 CT para resolver las solicitudes de evaluación de licenciamiento ambiental. El indicador registra un avance del 44%.</t>
  </si>
  <si>
    <t>A corte 30 de junio de  2021  el sector debia realizar 16 visitas técnicas, las cuales se realizaron oportunamente. El indicador registra un 100% de avance y 109% de cumplimiento frente a la meta programda en la vigencia.</t>
  </si>
  <si>
    <t>A corte 30 de junio de  2021  el sector debia elaborar 18 conceptos tecnicos, de los cuales ocho (8) se realizaron oportunamente.  El indicador registra un 44% de avance y 48% de cumplimiento frente a la meta programda en la vigencia.</t>
  </si>
  <si>
    <t>A corte 30 de abril de 2021 el sector de Mineria no tenia visitas con vencimiento de términos para el proceso de evaluación de licenciamiento ambiental.</t>
  </si>
  <si>
    <t>A corte 30 de abril de 2021 el sector de Minería debía finalizar 1 concepto técnico el cual fue finalizado fuera de términos.</t>
  </si>
  <si>
    <t>A corte 30 de abril de 2021 el sector de Mineria ha realizado 1  visita técnica para el proceso de evaluación de licenciamiento ambiental y 4 visitas técnicas para el proceso de permisos fuera de licencia.</t>
  </si>
  <si>
    <t>A corte 30 de abril de 2021 el sector de Mineria ha expedido 2 concepto técnico para resolver las solicitudes de evaluación de licenciamiento ambiental y 6 conceptos técnicos para resolver las solicitudes de permisos fuera de licencia.</t>
  </si>
  <si>
    <t>Al corte de 30 de abril el sector de minería finalizó 2 Conceptos técnicos con instrumentos acogidos.</t>
  </si>
  <si>
    <t xml:space="preserve">A corte 31 de mayo de 2021 el sector de Minería no tenia visitas con vencimiento de términos para el proceso de evaluación de licenciamiento ambiental. </t>
  </si>
  <si>
    <t>A corte 31 de mayo de 2021 el sector de Minería debía finalizar 1 concepto técnico el cual fue finalizado fuera de términos. El indicador registra un 0% de avance.</t>
  </si>
  <si>
    <t>A corte 31 de mayo de 2021 el sector de Minería ha realizado 1  visita técnica para el proceso de evaluación de licenciamiento ambiental y 4 visitas técnicas para el proceso de permisos fuera de licencia. El indicador registra un 36% de avance.</t>
  </si>
  <si>
    <t>A corte 31 de mayo de 2021 el sector de Minería ha expedido 2 concepto técnico para resolver las solicitudes de evaluación de licenciamiento ambiental y 8 conceptos técnicos para resolver las solicitudes de permisos fuera de licencia.  El indicador registra un 56% de avance.</t>
  </si>
  <si>
    <t>A corte 31 de mayo de 2021 se finalizaron 2 Conceptos técnicos con instrumentos acogidos, el indicador registra un cumplimiento del 100%</t>
  </si>
  <si>
    <t>A corte 30 de junio de 2021 el sector de Mineria tenia 1 visita con vencimiento de términos para el proceso de evaluación de licenciamiento ambiental, la cual se realizó oportunamente. El indicador registra 100% de avance y 109% de cumplimiento frente a la meta programada.</t>
  </si>
  <si>
    <t>A corte 30 de junio de 2021 el sector de Minería debía finalizar 1 concepto técnico los cuales fueron finalizados fuera de términos. El indicador registra un 0% de avance.</t>
  </si>
  <si>
    <t>A corte 30 de junio de 2021 el sector de Mineria ha realizado 4  visita técnica para el proceso de evaluación de licenciamiento ambiental y 4 visitas técnicas para el proceso de permisos fuera de licencia. El indicador registra un 57% de avance.</t>
  </si>
  <si>
    <t>A corte 30 de junio de 2021 el sector de Mineria ha expedido 3 concepto técnico para resolver las solicitudes de evaluación de licenciamiento ambiental y 8 conceptos técnicos para resolver las solicitudes de permisos fuera de licencia.  El indicador registra un 61% de avance.</t>
  </si>
  <si>
    <t>A corte 30 de junio se finalizaron 3 Conceptos Técnicos con instrumentos acogidos, cumpliendo así con el 100%</t>
  </si>
  <si>
    <t>A corte 30 de abril de 2021 el Grupo de Agroquímicos y Proyectos especiales realizó 6 visitas correspondientes a 4 LA y 2 PMA</t>
  </si>
  <si>
    <t>Acorte 30 de abril  de 2021 el Grupo de agroquímcios y Proyectos Especiales emitió 54 CT de los cuales correponden a 50 DTA, 2 LA y 2 PMA</t>
  </si>
  <si>
    <t>A corte 30 de abril de 2021 se registra un total de 3 conceptos técnicos de evaluación finalizados que implementan los instrumentos acogidos</t>
  </si>
  <si>
    <t xml:space="preserve">A corte 30 de abril  de 2021 el Sector de Agroquímcios y Proyectos Especiales tenia 4 visitas con venciminto de términos y se realizarpn las 4 visitas en términos </t>
  </si>
  <si>
    <t xml:space="preserve">A corte 30 de Abril  de 2021 el Grupo de Agroquímcios y Proyectos Especiales  debía emitir 5 CT  los cuales se finalizaron oportunamente </t>
  </si>
  <si>
    <t xml:space="preserve">A corte 31 de Mayo de 2021 el Grupo de Agroquímicos y Proyectos especiales  realizó 7 visitas correspondientes a 5 LA y 2 PMA.  El indicador registra un 117% de avance. </t>
  </si>
  <si>
    <t>Acorte 31 de Mayo  de 2021 el Grupo de agroquímicos y Proyectos Especiales emitió   67 CT de los cuales corresponden a  61 DTA, 4 LA y 2 PMA.  El indicador registra un 25% de avance.</t>
  </si>
  <si>
    <t>A corte 31 de mayo de 2021 se finalizaron 2 Conceptos técnicos con instrumentos acogidos, el indicador registra un cumpliendo del 100%.</t>
  </si>
  <si>
    <t>A corte 31 de Mayo  de 2021 el Sector de Agroquímicos y Proyectos Especiales tenia 5 visitas con vencimiento de términos, las cuales se realizaron oportunamente.   El indicador registra un 100% de avance y un 109% de cumplimiento frente a la meta programada.</t>
  </si>
  <si>
    <t>A corte 31 de Mayo  de 2021 el Grupo de Agroquímicos y Proyectos Especiales  debía emitir 5 CT,  los cuales se finalizaron oportunamente. El indicador registra un 100% de avance y un 109% de cumplimiento frente a la meta programada.</t>
  </si>
  <si>
    <t>A corte 30 de abril de 2021 se han realizado 45 visitas técnicas para el proceso de evaluación de licenciamiento ambiental, distribuidas por instrumento y sector así…</t>
  </si>
  <si>
    <t>A corte 30 de abril de 2021 se han elaborado 106 conceptos técnicos para resolver las solicitudes de evaluación de licenciamiento ambiental, distribuidos por sector e instrumento de la siguiente manera…</t>
  </si>
  <si>
    <t>A corte 31 de mayo de 2021 se han realizado 51 visitas de licenciamiento ambiental.  El indicador registra un 43% de avance.</t>
  </si>
  <si>
    <t>A corte 31 de mayo de 2021 se han finalizado 131 CT para resolver las solicitudes de evaluación de licenciamiento ambiental.  El indicador registra un 33% de avance.</t>
  </si>
  <si>
    <t>A corte 30 de junio de 2021 se han realizado 66 visitas técnicas de licenciamiento ambiental, el indicador registra un 55% de avance. </t>
  </si>
  <si>
    <t>A corte 30 de junio de 2021 se han finalizado 165 CT para resolver las solicitudes de evaluación de licenciamiento ambiental. El indicador registra un 42% de avance frente a la meta programada para la vigencia.</t>
  </si>
  <si>
    <t>A corte 30 de junio de 2021 se registra un total de 41 conceptos técnicos de evaluación finalizados que implementan los instrumentos acogidos, estos CT corresponden a tramites de Licencia Ambiental (LA), Plan de Manejo Ambiental (PMA) y Diagnostico Ambiental Alternativas (DAA) en los casos que aplique. El indicador registra un 100% de avance frente a la meta programada.</t>
  </si>
  <si>
    <t>Porcentaje de conceptos técnicos con instrumentos acogidos en la etapa de evaluación de licenciamiento ambiental</t>
  </si>
  <si>
    <t>Número de conceptos técnicos de evaluación finalizados que implementan los instrumentos acogidos/Total de conceptos técnicos</t>
  </si>
  <si>
    <t xml:space="preserve">ABRIL </t>
  </si>
  <si>
    <t>Durante el periodo comprendido entre el 01 y 30 de abril de 2021, la Oficina de Control Disciplinario Interno, capacitó a 81 colaboradores del ANLA en total en dos sesiones; “Jornada Conociendo la ANLA” a 53 colaboradores de los cuales 46 llenaron la encuesta de satisfacción y “Charla sobre políticas de seguridad y medidas disciplinarias” a 28 colaboradores</t>
  </si>
  <si>
    <t>Durante el periodo comprendido entre el 1 y 31 de mayo de 2021, la Oficina de Control Disciplinario Interno emitió 17 actos administrativos</t>
  </si>
  <si>
    <t>Durante el periodo comprendido entre el 01 y 31 de mayo de 2021, la Oficina de Control Disciplinario Interno, capacitó a 97 colaboradores del ANLA en total en tres sesiones: Jornada Conociendo la ANLA a 30 colaboradores de los cuales 30 llenaron la encuesta de satisfacción
Conversatorio de la Ley 1952 a 30 colaboradores de los cuales 24 llenaron la encuesta de satisfacción.
Charla sobre políticas de seguridad y medidas disciplinarias a 37 colaboradores en la cual no se compartió una encuesta de satisfacción.</t>
  </si>
  <si>
    <t>Durante el periodo comprendido entre el 1 y 30 de junio de 2021, la Oficina de Control Disciplinario Interno emitió 17 actos administrativos</t>
  </si>
  <si>
    <t>Se reporta el avance a junio con un desarrollo más detallado de la política de acuerdo con los componentes requeridos de acuerdo con el Sistema de Gestión de Calidad y la revisión del contenido según lo planteado en el diagnóstico y el desarrollo de las mesas de relacionamiento acorde con el plan de trabajo 2021.</t>
  </si>
  <si>
    <t>Durante el periodo comprendido entre el 01 y 30 de junio de 2021, la Oficina de Control Disciplinario Interno, capacitó a 226 colaboradores del ANLA en total en tres sesiones.</t>
  </si>
  <si>
    <t>Actividades realizadas con corte 30 de abril de 2021:
Durante el periodo comprendido entre el 01 y 30 de abril de 2021, en la Oficina de Control Disciplinario Interno se realizaron dos mesas de relacionamiento los días 7 y 21 de abril con SELA y SMPCA respectivamente.</t>
  </si>
  <si>
    <t>Durante el periodo comprendido entre el 01 y 31 de mayo de 2021, en la Oficina de Control Disciplinario Interno se realizaron dos mesas de relacionamiento los días 5 y 19 de mayo con SSLA y OAJ respectivamente.</t>
  </si>
  <si>
    <t>Durante el periodo comprendido entre el 01 y 30 de junio de 2021, en la Oficina de Control Disciplinario Interno se realizaron dos mesas de relacionamiento los días 2 y 16 de junio con Dirección General y OCI respectivamente.</t>
  </si>
  <si>
    <t>Una vez realizada la divulgación de los canales de atención de Quejas Disciplinarias y Denuncias por Actos de Corrupción (link de denuncias en la página de la ANLA y la línea de ética), a la Oficina de Control Disciplinario Interno se han allegado 5 quejas o denuncias.</t>
  </si>
  <si>
    <t>A corte 30 de abril se tiene un 10% de avance ponderado en las herramientas</t>
  </si>
  <si>
    <t>A corte 31 de mayo se tiene una vance ponderado de 20% en el avance de los módulos de las herramientas</t>
  </si>
  <si>
    <t>A corte 30 de junio el avance de las herramientas es de un 40%</t>
  </si>
  <si>
    <t>A corte 30 de junio se tiene un ponderado de 49.38% en indicadores de producto del PAI</t>
  </si>
  <si>
    <t>A corte 31 de mayo la entidad presentó 39.1% de avance en indicadores de producto</t>
  </si>
  <si>
    <t>A corte 30 de abril la entidad presentó 30.3% de avance en indicadores de producto</t>
  </si>
  <si>
    <t>A corte 30 de abril no se ha realizado ningún seguimiento completo a ninguno de los 7 documentos de planeación planeados para la vigencia</t>
  </si>
  <si>
    <t>A corte 31 de mayo no se ha realizado ningún seguimiento completo a ninguno de los 7 documentos de planeación planeados para la vigencia</t>
  </si>
  <si>
    <t>A corte 30 de junio no se ha realizado ningún seguimiento completo a ninguno de los 7 documentos de planeación planeados para la vigencia</t>
  </si>
  <si>
    <t>Durante el mes de junio se adelantaron las siguientes actividades, quedando pendiente  ajustar las redacción de las actividades del plan de trabajo y cargar las evidencias de las actividades correspondientes al numeral 6.3 Planificación de cambios.
1. Se realizó la clasificación de los subfactores por temáticas de la matriz DOFA del contexto interno y externo de la entidad y se adelantaron reuniones internas con el equipo de OAP con el fin de establecer las estratégias pilotos relacionadas con dicho contexto. Está pendiente programar las mesas de trabajo por macroprocesos con el fin de definir y aprobar tanto las estratégias como el plan de trabajo.
2. Se realizó la presentación de los grupos de interés identificados, se elaboró un formulario para la validación de los GI y se están realizando los ajustes para la aprobación de la versión final.
3. El 2 de junio se llevó a cabo a mesa de trabajo con el equipo de calidad en la que se realizó el ajuste y cambio en el manual del SIG en GESPRO.
4. El 4 de junio la profesional de OAP designada para la administración riesgos, lideró reunión con la retroalimentación de los resultados del monitoreo del primer cuatrimestre 2021. Está pendiente que cada enlace haga los respectivos ajustes en las fórmulas de los indicadores antes del próximo monitoreo.
5. Se llevó a cabo una reunión interna con el equipo de calidad para definir posibles temas para sensibilizar, entre esos se define usar la estructura del ciclo PHVA ajustada a la ANLA y presentar en Julio lo relacionado con H(implementar procesos y autocontrol) y agosto con V (PMI, audiorias, indicadores, informes de rendición de cuentas y de gestión GRI.
Se prevee iniciar auditoria interna entre el 26 al 30 de julio por tal razón se propone la 1 sesión para 22 de julio.
6. El 22 de junio comunicaciones envió correo masivo con el tip No. 2 y el 25 de junio el equipo de calidad envió la solicitud de publicación del tipo No. 3
7. Se realizó balance de resultados del plan de trabajo de la socialización de los documentos de calidad en GESPRO en el que se evidencia un avance del 100% es decir que se socializaron el total de  677 documentos inicialmente programados.
8. Se elaboró la versión inicial de los documentos precontractuales (estudios previos, de sector y  de mercado) para adelantar el proceso de contratación de servicio de auditoria interna de calidad bajo los lineamientos de la NTC ISO 9001:2015, así mismo se participó de la reunión que se llevó a cabo con la abaogada del grupo de gestión contractual para aclarar las dudas respecto a la revisión de estos documentos.
9. Serevisa presentación por parte de de la profesional responsable de hacer seguimiento desde la OAP a los planes de mejoramiento tanto internos como los suscritos con la CGR. Se está pendiente la confirmación de fecha para presentar a la dirección general. En resumen se está haciendo seguimiento a 128 acciones en PM.</t>
  </si>
  <si>
    <t>Durante el mes de mayo se dio apoyo y acompañamento a todos los procesos de la entidad en el desarrollo del ejercicio para la priorización a través de votaciones, evaluación y consolidación del contexto interno y externo de la entidad. Asi mismo se adelantó el ejercicio identificación DOFA entre dependencias, como resultado de lo anterior  la matriz consolidada y depurada, quedando pendiente establecer las estratégias y el plan de trabajo con las acciones para abordar dicho contexto.
10/05/2021 Se llevó a cabo reunión con la SMPCA, en la que se revisó la propuesta de los grupos y subgrupos de interés, como resultado de las mesas de grupos focales liderada por Andrea Villa. Como resultado de esta revisión, se concluye que debe definirse el alcance de la metodología, así como revisar las definiciones de los grupos de tal forma que se delimite y no quede tan generalzada, ya que como está planteado no es claro y dificulta la orientación del ejercicio.
11/05/2021 Se propone redacción de los siguientes grupos de interés:  usuarios externos y ciudadanía, se revisa y ajusta los subgrupos que los componen.
Se realizó el 25 de mayo de 2021 un taller asociado a la socialización de la politica del SIG en cual tuvo la participación de todos los enlaces de calidad de los procesos de la entidad.
Se revisó con el equipo de calidad los ajustes al manual del SIG tanto lo relacionado con roles y responsabilidades de las lineas de defensa como un párrafo asociado a la selección, evaluación, seguimiento al desempeño y reevaluación de proveedores. Esta actividad quedará finalizada con la aprobación publicación en GESPRO para el mes de Junio.
Se revisó y actualizó el manual del SIG en lo relacionado con la selección, evaluación y reevaluación de proveedores externos. Se tiene pendiente aprobar y publicar la nueva versión en GESPRO.
Se hicieron seguimientos con los facilitadores de calidad de los procesos en cuanto al cumplimiento del plan de trabajo de las socializaciones de los documentos de calidad en GESPRO. Se tiene un avance de 100% aunque aún se tiene pendiente organziar evidencias en ONE DRIVE. Se resalta el trabajo de todos los procesos en el ejercicio.</t>
  </si>
  <si>
    <t xml:space="preserve">Durante el mes de abril se avanzó en las siguientes actividades según plan de trabajo:
1. Se realiza la divulgación de la metodología para la identificación de contexto interno y externo en la entidad. Así mismo se llevaron a cabo de manera dinámica las sesiones y ejercicios de formulación de contexto en la herramienta MIRO con  todas las dependencias.
2. Se finalizó desarrollo y puesta en marcha del módulo de monitoreo y evalaución del mapa de riesgos en el aplicativo GESRIESGOS.
3. Se cumplió con el cronograma de monitoreo de las acciones a los riesgos de cada proceso en el aplicativo GESRIESGOS, se dió el respectivo acompañamiento y se envió informe a la OCI.
3. Se lleva a cabo la 2 mesa de trabajo con la profesional de gestión de cambio. 
Se ha avanzado en la formulación y diseño de posibles indicadores que mida la efectividad para cada proyecto o plan de gestión.
Por otro lado se está trabajando en los planes piloto de los instrumentos internos de la SIPTA (fase diagnóstico).
Para el mes de mayo se solicita los planes de trabajo actualizados con corte a 30 de abril: actividad, producto o entregable, avance cuantitativo y cualitativo.
4. Se llevó a cabo reunión con el equipo de comunicaciones para revisar la matriz de comunicación interna y externa. Como resultado de esta reunión comunicaciones enviará correo a las dependencias el 30/04/2021 con los lineamientos para la revisión y su actualización.
5. Se consolidó la presentación de la RXD de todos los process requeridos y se acordó con cada lider que contenido se presentará en el CIGD el 7/05/2021. </t>
  </si>
  <si>
    <t>Cumplido el segundo trimestre de 2021 se tiene un avance del 67.7%, esto conforme al cumplimiento de 84 de las 124 acciones programadas</t>
  </si>
  <si>
    <t>Durante el mes de abril no se presentó avance para este indicador</t>
  </si>
  <si>
    <t>A corte 30 de abril se presenta un avance del 5% del plan de acción de este indicador</t>
  </si>
  <si>
    <t>A corte 30 de abril se presenta un avance del 25% del plan de acción de este indicador</t>
  </si>
  <si>
    <t>Durante el mes de mayo no se tuvo avance para este indicador</t>
  </si>
  <si>
    <t>Durante el mes de mayo se realizó la reunión de levantamiento de requisitos para la herramienta</t>
  </si>
  <si>
    <t>Durante el mes de mayo se realizó el manual de usuario de SIRES y la ficha de GESPRO</t>
  </si>
  <si>
    <t>Durante el mes de junio se trabajó en el levantamiento de requerimientos, el diccionario de datos y la interfaz gráfica</t>
  </si>
  <si>
    <t>Durante el mes de junio re realizaron los manuales de usuario de las herramientas GESRIESGOS, GESPRO, OELA y OELA móvil</t>
  </si>
  <si>
    <t>Durante el mes de junio se realizó el quinto seguimiento al PAI. A corte 30 de junio se tiene un acumulado de nueve seguimientos: 5 reportes de PAI, 2 reportes de estrategia de evaluación, mapa de riesgos y seguimiento al PAAC</t>
  </si>
  <si>
    <t>Durante el mes de mayo se realizó el cuarto seguimiento al PAI. A corte 31 de mayo se tiene un acumulado de siete seguimientos: 4 reportes de PAI, estrategia de evaluación, mapa de riesgos y seguimiento al PAAC</t>
  </si>
  <si>
    <t>Durante el mes de abril se realizó el tercer seguimiento al PAI, el seguimiento al mapa de riesgos y el seguimiento al PAAC. A corte 30 de abril se tiene un acumulado de seis seguimientos: 3 reportes de PAI, estrategia de evaluación, mapa de riesgos y seguimiento al PAAC</t>
  </si>
  <si>
    <t>Se realizó el primer seguimiento al PIGD del MIPG con corte a 31 de marzo, obteniendo un 27% de avance en el PIGD</t>
  </si>
  <si>
    <t xml:space="preserve">El segundo seguimiento al PIGD se realizó con corte 30 de junio </t>
  </si>
  <si>
    <t>Para el año 2020, se mantuvo la tendencia de los años anteriores, donde no se han reportado hallazgos (H) ni por entes de control ni por las dependencias internas, por lo que el indicador obtuvo un valor de 0, de igual modo, no se ha presentado ningún acto de corrupción materializado (ACM) durante la vigencia 2020, por lo tanto, el indicador también tuvo un valor de 0. En cuanto al indicador del RITA, dado que todavía está en proceso de formulación por parte de la secretaria de transparencia, tampoco registra valor.
Por la parte de los indicadores del componente de prevención, el componente de integridad del MIPG tuvo una reducción al pasar de 86,80% al 86%, mientras que el componente de integridad tuvo una reducción al pasar de 79,8 al 79,5%, lo propio ocurrió con el componente del Mapa de riesgos de corrupción donde pasó de tener un resultado del 76,7% al 75,7%. 
De esta forma el indicador pasa de 2019 de 0,867  a 0,862 en 2020 , lo que de acuerdo con la meta del 85%, representa un avance de 101%.</t>
  </si>
  <si>
    <t>Durante el mes de mayo se obtuvo un 87.5% en el índice de desempeño institucional del DAFP</t>
  </si>
  <si>
    <t>Este indicador tiene frecuencia de medición trimestral, sin embargo el reporte se obtendrá en julio</t>
  </si>
  <si>
    <t>Al 30 de abril de 2021 se emitieron  148  AA  que acogieron la evaluación  de solicitudes de permisos, de éstas, 90 correspoden al trámite No Cites y corresponden al 60,81% de los AA, 32 AA de Diversidad Biológica  con el 21,62%, 24 de Permisos Fuera de Licencia con el 16,22% y  2 AA de Posconsumo.</t>
  </si>
  <si>
    <t>Al 31 de mayo de 2021 se emitieron  203  AA  que acogieron la evaluación  de solicitudes de permisos, de éstos, 138 correspoden al trámite No Cites y corresponden al 67,98% de los AA, 35 AA de Diversidad Biológica  con el 17,24%, 28 de Permisos Fuera de Licencia con el  13,79% y  2 AA de Posconsumo.</t>
  </si>
  <si>
    <t>Al 30 de junio de 2021 se emitieron  261  AA  que acogieron la evaluación  de solicitudes de permisos, de éstas, 183 correspoden al trámite No Cites y corresponden al 70,11% de los AA, 44 AA de Diversidad Biológica  con el 16,86%, 30 de Permisos Fuera de Licencia con el  11,49% y  4 AA de Posconsumo.
NOTA: En cuanto a los certificados NCT, al 30 de junio se emitieron 183, sin embargo, en SILA se encuentran registrados solo 179, respecto a los 4 faltantes se presentan las siguientes aclaraciones  (una vez se finalicen las gestiones, estos certificados quedaran en SILA con fechas de junio) :
EXPEDIENTE	OBSERVACIÓN
AIE0148-00-2021	Se registró mal fecha de finalización, se debe solicitar ajuste con mesa de ayuda
AIE0162-00-2021	Se registró mal fecha de finalización, se debe solicitar ajuste con mesa de ayuda
AIE0164-00-2021	En etapa de finalización en SILA
AIE0168-00-2021	En firma</t>
  </si>
  <si>
    <t>Al 30 de junio se emitiron 342 actos administrativos para acoger los seguimientos realizados a permisos otorgados, 171 del grupo Posconsumo  correspondientes al 50%, 132 de IDB con el  39%  y  39 de PFL con el 11%.</t>
  </si>
  <si>
    <t>Al 31 de mayo se emitiron 246 actos administrativos para acoger los seguimientos realizados a  permisos otorgados, 110 del grupo Posconsumo  correspondientes al  44,7%,  105 de IDB con el  42,7%  y  31 de PFL con el 12,6%
Es importante mencionar que a partir de Mayo, se ajustó la meta de seguimiento, contemplado un nuevo grupo de profesionales para el trámite de Envases y Empaques, así las cosas la meta de AA de seguimiento de permisos pasa de 1021 a 1104.</t>
  </si>
  <si>
    <t>Al 30 de abril se emitiron 163 actos administrativos para acoger los seguimientos realizados a  permisos otorgados, 76 del grupo IDB correspondientes al  46,6%,  62 de Posconsumo con el 38%  y 25 de PFL con el 15,3%</t>
  </si>
  <si>
    <t>Para el periodo de abril no se registra la completitud en un 100% de los instrumentos relacionados con la optimizacion de los procesos de evaluacion y seguimiento de Licencias Ambientales , sin embargo se registra un avance en cuanto al porcentaje de gestion del  27.5% el cual corresponde al promedio de avance de cada uno de los hitos establecidos segun la naturaleza de cada instrumento.</t>
  </si>
  <si>
    <t>Para el periodo de junio se registra el instrumento de  Obligaciones mínimas Fase III (Agroquímicos)  en un 100%  y 17 de los instrumentos restantes con un avance del  43.2% el cual corresponde al promedio de avance de cada uno de los hitos establecidos según la naturaleza de cada instrumento danto como totalidad un 46.4%  al porcentaje de gestión.</t>
  </si>
  <si>
    <t>Hasta el  30 de junio de 2021 se emitieron 11.458 AA de evaluación de certificaciones, de los cuales 10.734 corresponden a VUCE, trámite que aporta el 93.68% dentro de este avance, 510 fueron de Prueba Dinámica con una participación de 4.45% y por último Beneficios Tributarios con 214 actos administrativos.</t>
  </si>
  <si>
    <t>Hasta el 31 de mayo de 2021 se emitieron 9.646 AA de evaluación de cetificaciones, de los cuales 9.041 corresponden a VUCE, trámite que aporta el 93.73% dentro de este avance, 435 fueron de Prueba Dinámica con una participación de 4.51% y por último Beneficios Tributarios con 170 actos administrativos.</t>
  </si>
  <si>
    <t>Hasta el 30 de abril de 2021 se emitieron 7.865 AA de evaluación de cetificaciones, de los cuales 7.386 corresponden a VUCE, trámite que aporta el 93.91% dentro de este avance, 356 fueron de Prueba Dinámica con una participación de 4.53% y por último Beneficios Tributarios con 123 actos administrativos.</t>
  </si>
  <si>
    <t>A corte 30 de abril de 2021, se registra culminación (100%) en el Reporte de Alertas Río Metica - Expediente REG0004-00-2016.
A corte 31 de marzo de 2021, se registra un avance Reporte SZH Río Sogamoso del 18% - Expediente REG0007-00-2016.
A corte 31 de marzo de 2021, se registra un avance del 2% en el Reporte Bahía de Cartagena y Canal del Dique - Expediente REG0012-00-2016.
1.2. Avance Actualizaciones:
No se reporta avance en actualizaciones para este período.
1.3. Avance Diagnosticos Estrategias:
Se avanzó en el diagnóstico y formulación de la estrategia de monitoreo del acuífero Yopal - Casanare en un 95% -REG0003-00-2016.
Se avanzó en el diagnóstico y formulación de la estrategia de monitoreo de hidroeléctricas en un 98% - REG0011-00-2021. 
Se avanzó en el diagnóstico y formulación de la estrategia de monitoreo recurso hídrico superficial Putumayo en un 58%. - REG0016-00-2016.
Se avanzó en el diagnóstico y formulación de la estrategia de biodiversidad  (Flora - avance del 35% y Fauna - avance del 43%) región Orinoquia-Amazonía. REG0011-00-2021.
Se avanzó en el diagnóstico y formulación de la estrategia de monitoreo de la Bahía Cartagena (Componente Atmosférico) en 23%. REG0012-00-2016. 
Se avanzó en el diagnóstico y formulación de la estrategia de monitoreo de la Bahía Cartagena (Recurso Hídrico Superficial) en 15%).  REG0012-00-2016."
https://anla-my.sharepoint.com/:f:/g/personal/aromero_anla_gov_co/Er71n3XnrdhJtv-9lE7UxHkBcAUKwgat0Iy9lE2wB-bR-A?e=PgWAUD</t>
  </si>
  <si>
    <t>1.1. Avance Reportes: 
1.1.1. Reporte de Alertas Río Metica - Expediente REG0004-00-2016: 100% ejecutado. Se resalta que en este periodo se respondieron las observaciones de la OAJ y se remitió a comunicaciones para diagramación y publicación.
1.1.2. Reporte cuenca hidrográfica Río Sogamoso y afluentes directos al Lebrija medio - Expediente REG0007-00-2016: A 31 de mayo se registra un avance del 90%, que corresponde a la etapa de finalización de la actividad de elaboración del documento e inicio de la actividad de revisión y ajuste.
1.1.3. Reporte Bahía de Cartagena y Canal del Dique - Expediente REG0012-00-2016: A 31 de mayo se registra un avance del 20%, que corresponde a la revisión del estado de licenciamiento y la finalización de la Gestión documental de Expedientes que se realizó con el Apoyo de varios profesionales del equipo de Regionalización.
1.2. Avance Actualizaciones: No se reporta avance en actualizaciones para este período.
1.3. Avance Diagnosticos Estrategias:
1.3.1. Estrategia de Monitoreo del Acuífero Yopal-Casanare - Expediente REG0003-00-2016: 100% ejecutada.
1.3.2. Estrategia de Monitoreo de Hidroeléctricas - Expediente REG0011-00-2021: 100% ejecutada.
1.3.3. Estrategia de Monitoreo recurso hídrico superficial Putumayo  - REG0016-00-2016: A 31 de Mayo, se registra un avance del 95% en el diagnóstico y formulación de esta estrategia.
1.3.4. Estrategia de Biodiversidad Fase I - Expediente REG0011-00-2021: Pasos de fauna región Caribe-Pacífico: A 31 de Mayo, se registra avance del 35% en el diagnóstico y formulación de esta estrategia. En cuanto a la estrategia de Parcelas Permanentes (Flora), se registra un avance del 30% en el diagnóstico y formulación de esta estrategia, teniendo un promedio de avance en total del 32.5%.
Pasos de fauna región Orinoquia-Amazonía: A 31 de Mayo se registra avance del 90% en el diagnóstico y formulación de esta estrategia. En cuanto a la estrategia de Parcelas Permanentes (Flora), no se registra avance para el presente mes en el diagnóstico y formulación de esta estrategia, por lo tanto en  promedio  se reporta avance total del 69%.
1.3.5. Estrategia de Monitoreo de la Bahía Cartagena (Recurso Hídrico Superficial) -Expediente REG0012-00-2016: A 31 de Mayo, se registra avance del 97% en el diagnóstico y formulación de esta estrategia.
1.3.6. Estrategia de Monitoreo de la Bahía Cartagena (Componente Atmosférico) - Expediente REG0012-00-2016: A 31 de Mayo, se registra avance del 52</t>
  </si>
  <si>
    <t>Con corte al 30 de abril, se realizaron 157 CT técnicos de evaluación de solicitudes de permisos, de las cuales 107 fueron sobre el trámite NCT y representan el 68.15% de los CT de evaluación de permisos realizados, seguido  de IDB con el 21.66%, 34 CT,  PFL  14 CT correspondientes al 8.92% y Posconsumo 2 CT con el 1.27%.</t>
  </si>
  <si>
    <t>Con corte al 31 de mayo se realizaron 207 CT técnicos de evaluación de solicitudes de permisos, de las cuales 140 fueron sobre el trámite NCT y representan el 67.63% de los CT de evaluación de permisos realizados, seguido  de IDB con el 22,22%, 46 CT,  PFL  17 CT correspondientes al 8.21% y Posconsumo 4 CT con el 1.93%.</t>
  </si>
  <si>
    <t>Con corte al 30 de junio se realizaron 270 CT técnicos de evaluación de solicitudes de permisos, de las cuales 183 fueron sobre el trámite NCT y representan el 67.68% de los CT de evaluación de permisos realizados, seguido  de IDB con el 22,96%, 62 CT,  PFL  20 CT correspondientes al 7,41% y Posconsumo 5 CT con el 1.85%.</t>
  </si>
  <si>
    <t>Al 30 de junio de 2021 se otorgaron 233 permisos solicitados, de las cuales 183 son del trámite NCT, 37 de Diversidad Biológica, 9 de PFL y 4 de Posconsumo.</t>
  </si>
  <si>
    <t xml:space="preserve">	
Al 31 de mayo de 2021 se otorgaron 178 permisos solicitados, de las cuales 138 son del trámite NCT, 30 de Diversidad Biológica, 8 de PFL y 2 de Posconsumo.</t>
  </si>
  <si>
    <t>Al 30 de abril de 2021 se otorgaron 124 permisos solicitados, de los cuales 90 son del trámite NCT, 26 de Diversidad Biológica, 6 de PFL y 2 de Posconsumo.</t>
  </si>
  <si>
    <t>Al cierre de abril se realizaron 201 CT para hacer seguimiento a los permisos otorgados, el 44,8% de estos seguimientos corresponden a los trámites de Posconsumo, 90 CT; IDB realizó 83 CT, es decir el 41,3% de participación en el avance y 13.9% Permisos Fuera de Licencia con 28 CT.</t>
  </si>
  <si>
    <t>Al cierre de mayo se realizaron 288 CT para hacer seguimiento a los permisos otorgados, el 49% de estos seguimientos corresponden a los trámites de Posconsumo, 141 CT; IDB realizó 113 CT, es decir el 39,2% de participación en el avance y 11,8% Permisos Fuera de Licencia con 34 CT.
Es importante mencionar que a partir de Mayo, se ajustó la meta de seguimiento, contemplado un nuevo grupo de profesionales para el trámite de Envases y Empaques, así las cosas la meta de CT de seguimiento de permisos pasa de 1021 a 1104.</t>
  </si>
  <si>
    <t>Al cierre de junio se realizaron 383 CT para hacer seguimiento a los permisos otorgados, el 51,7% de estos seguimientos corresponden a los trámites de Posconsumo, 198 CT; IDB realizó 142 CT, es decir el 37,1% de participación en el avance y 11,2% Permisos Fuera de Licencia con 43 CT.</t>
  </si>
  <si>
    <t>Para el periodo de junio se registra  el instrumento de  Obligaciones mínimas Fase III (Agroquímicos)  en un 100% relacionados con la optimización de los procesos de evaluación y seguimiento de Licencias Ambientales y un avance del 45% restante  en cuanto al porcentaje de gestión el cual corresponde al promedio de avance de cada uno de los hitos establecidos según la naturaleza de cada instrumento.</t>
  </si>
  <si>
    <t>Parar el mes de junio  no se ha finalizado ninguna mejora adicional a la reportada para beneficios tributario por lo tanto el avance se mantiene en 158 de 441 .</t>
  </si>
  <si>
    <t>Parar el mes de mayo  no se ha finalizado ninguna mejora adicional a la reportada para beneficios tributario por lo tanto el avance se mantiene en 158 de 441 .</t>
  </si>
  <si>
    <t>Parar el mes de abril  no se ha finalizado ninguna mejora adicional a la reportada para beneficios tributario por lo tanto el avance se mantiene en 158 de 441 .</t>
  </si>
  <si>
    <t>Con corte al 30 de junio de 2021 se emitieron 968 CT de evaluación para certificaciones, de los cuales 676 CT corresponden al trámite de Prueba Dinámica y representan 69.83% del avance y Beneficios Tributarios aportó el  30,17% con 292 conceptos técnicos.</t>
  </si>
  <si>
    <t>Con corte al 31 de mayode 2021 se emitieron 798 CT de evaluación para cetificaciones, de los cuales 573 CT corresponden al trámite de Prueba Dinámica y representan 71.80% del avance y Beneficios Tributarios aportó el 28.20% con 225 conceptos técnicos.</t>
  </si>
  <si>
    <t>Con corte al 30 de abril de 2021 se emitieron 637 CT de evaluación para cetificaciones, de los cuales 470 CT corresponden al trámite de Prueba Dinámica y representan 73.78% del avance y Beneficios Tributarios aportó el 26.22% con 167 conceptos técnicos.</t>
  </si>
  <si>
    <t>Al finalizar abril de  2021 se otorgaton 7.598 certificaciones, 7.170 de VUCE, 321 de Prueba Dinámica y 107 de Beneficios Tributarios</t>
  </si>
  <si>
    <t>Al finalizar mayo de  2021 se otorgaton 9.334 certificaciones, 8.794 de VUCE, 389 de Prueba Dinámica y 151 de Beneficios Tributarios.</t>
  </si>
  <si>
    <t>Al finalizar junio de  2021 se otorgaton 11.105 certificaciones y vistos buenos, 10.458 de VUCE,  457 de Prueba Dinámica y 190 de Beneficios Tributarios.</t>
  </si>
  <si>
    <t>Este indicador es de medición semestral. Sin embargo no se reporrtará en este periodo</t>
  </si>
  <si>
    <t>Este indicador es de medición semestral, sin embargo no se reportará en este periodo</t>
  </si>
  <si>
    <t>El porcentaje de de reproceso por verificación de documentos de inicio fue de 5,51%, así que, de un universo de 11.433 solicitudes recibidas a junio, se realizó requerimiento a  630 solicitudes.</t>
  </si>
  <si>
    <t>El porcentaje de de reproceso por verificación de documentos de inicio fue de 5,52%, así que, de un universo de 9.644 solicitudes recibidas a mayo, se realizó requerimiento a  532 solicitudes.</t>
  </si>
  <si>
    <t>5,49%</t>
  </si>
  <si>
    <t>El porcentaje de de reproceso por verificación de documentos de inicio fue de 5,49%</t>
  </si>
  <si>
    <t>2.2. Avance Actos Administrativos de Evaluación
A la fecha, se registra un total de 20 Actos Administrativos de 57 solicitudes de acompañamiento para el proceso de evaluación de LA, los cuales se detallan a continuación:
13.LAM0069 Gasoducto Barrancabermeja
14.LAM0806 Mineros (Nechí)
15.ASB0007 La Loma
16.VAR0035 Mina Pribbenow
17.VAR0016 La Loma
18.LAM0761 Reficar
19.LAV0037-00-2020 Mangle SSJN-7
20. LAV0016-00-2020 PTAR Paraiso
2.3. Avance Conceptos Técnicos de Seguimiento:
A la fecha se registran 44 CT numerados de 63 solicitudes de acompañamiento para la toma de decisiones en el marco de Seguimiento de LA, los CT se detallan a continuación:
30.LAM6705 Construcción nueva vía Ibagué
31.LAM0227 Campos Castilla y Chichimene
32.LAM0227 Campos Castilla y Chichimene
33.LAM0227 Campos Castilla y Chichimene
34.LAM0530 La Fiscala
35.LAM0725 Planta de producción de plaguicidas
36.LAM1179 Termoguajira
37.LAM1499 Calizas en Payandé
38.LAM1749 Línea de Interconexión a 230 kV Pasto - Quito
39.LAM2249 Campos de la Superintendencia de Mares 
40.LAM6420 Relleno Sanitario El Carrasco
41.LAV0052-00-2019 Cerros Queresas y Porvenir.
42.LAV0056-00-2015 APE Cumplidor
43.LAV0089-00-2015 Construcción Unidad Funcional 3 
44.LAM0019 Campo Rubiales
"
https://anla-my.sharepoint.com/:f:/g/personal/aromero_anla_gov_co/EkrNQtk7kNpCocpNn8A24XwBnkohGUZHWdICFsut1QH7QA?e=g2DhPo</t>
  </si>
  <si>
    <t>"2.1. Sentencias
2.1.1. Sentencia PNN Parque Tayrona (T-606/2015). A corte 31 de marzo de 2021, se  genera un (1) documento asociado al informe del segundo semestre 2020  para la sentencia en mención.  A corte 30 de abril se reporta: Mesa técnica interinstitucional ANLA-INVEMAR (29/04/2021) Riesgo asociado a la presencia de material particulado de carbón mineral en las playas y el lecho marino, por operación portuaria"" en el Plan Maestro de Protección y Restauración del Parque Nacional Natural Tayrona. Reunión interna Sentencia T-606/2015 (16/04/2021).  El expediente asociado es REG0012-00-2016. 
2.1.2. Sentencia Amazonas (T-4360/2018): Para este mes no se realizaron actividades en cumplimiento de ésta sentencia.
2.1.3. Sentencia Bahía de Cartagena - Acción Popular 2017-00987101.  Elaboración respuesta a invitación CARDIQUE para socialización sistemas de monitoreo componentes atmosférico e hídrico Rad. ANLA 2021048776-2-001 del 15/04/2021. Articulación Proyecto Basic Cartagena - Grupo Reportes de Alertas y Centro de Monitoreo (15/04/2021). Mesa técnica interinstitucional Plan de Restauración Ecológica Bahía de Cartagena (28/04/2021). Reunión inicial sobre Programa de evaluación, prevención, reducción y control de fuentes terrestres y marinas - Plan de Restauración Bahía de Cartagena -  EPA Cartagena (28/04/2021). Asistencia delegada coordinadora Martha Ramírez a Comité Operativo (30/04/2021).
2.1.4. Sentencia Guajira - Población Wayuú municipios Riohacha, Manaure y Uribia (T-302 de 2017). Diligenciamiento encuesta estado de avance Sentencia T-302 de 2017 - Consejería Presidencial para las regiones: Como soporte se presenta la encuesta diligenciada para las cuatro (4) propuestas presentadas en la oferta institucional 2019 de ANLA. Desagregado del presupuesto ejecutado Sentencia T-302 de 2017 - Consejería Presidencial para las regiones:  Se presenta el desagregado del presupuesto que se relacionó en la encuesta del punto 3.2. relacionado con el porcentaje de avance en cada propuesta.  Tercera comisión intersectorial Sentencia T-302 de 2017 (30/04/2021). El expediente asociado es REG0012-00-2016.
2.1.5. Sentencia Guajira - Provincial (T-614/2019). A corte 30 de abril se genera (1) documento: Informe sobre apoyo técnico en cumplimiento de la orden sexta: Este documento presenta de manera cronológica los documentos y/o acompañamientos técnicos que se han realizado desde el grupo de Regionalización y Centro de Monitoreo en el accionar interno e interinstitucional junto a Corpoguajira y MinAmbiente. Asistencia reunión interinstitucional para Estructuración proyecto de inversión FCA Plan de Monitoreo Orden Sexta  (12/04/2021). Auditoría Financiera Cumplimiento de Sentencia T-614 de 2019 y T-281 de 2019 (13/04/2021). Comisión Técnica - Defensoría del Pueblo (27/04/2021). El expediente asociado es REG0010-00-2016.
2.1.6. Sentencia  Cerromatoso (T-733):  Reunión para solicitud de apoyo por parte de SIPTA a cumplimiento sentencia (26/04/2021). Plan de trabajo en atención a solicitud SSLA por parte de coordinadora Martha Ramírez (26/04/2021).
2.2. Avance Actos Administrativos de Evaluación
A la fecha, se registra un total de 20 Actos Administrativos de 57 solicitudes de acompañamiento para el proceso de evaluación de LA, los cuales se detallan a continuación:
13.LAM0069 Gasoducto Barrancabermeja
14.LAM0806 Mineros (Nechí)
15.ASB0007 La Loma
16.VAR0035 Mina Pribbenow
17.VAR0016 La Loma
18.LAM0761 Reficar
19.LAV0037-00-2020 Mangle SSJN-7
20. LAV0016-00-2020 PTAR Paraiso
2.3. Avance Conceptos Técnicos de Seguimiento:
A la fecha se registran 44 CT numerados de 63 solicitudes de acompañamiento para la toma de decisiones en el marco de Seguimiento de LA, los CT se detallan a continuación:
30.LAM6705 Construcción nueva vía Ibagué
31.LAM0227 Campos Castilla y Chichimene
32.LAM0227 Campos Castilla y Chichimene
33.LAM0227 Campos Castilla y Chichimene
34.LAM0530 La Fiscala
35.LAM0725 Planta de producción de plaguicidas
36.LAM1179 Termoguajira
37.LAM1499 Calizas en Payandé
38.LAM1749 Línea de Interconexión a 230 kV Pasto - Quito
39.LAM2249 Campos de la Superintendencia de Mares 
40.LAM6420 Relleno Sanitario El Carrasco
41.LAV0052-00-2019 Cerros Queresas y Porvenir.
42.LAV0056-00-2015 APE Cumplidor
43.LAV0089-00-2015 Construcción Unidad Funcional 3 
44.LAM0019 Campo Rubiales
"
https://anla-my.sharepoint.com/:f:/g/personal/aromero_anla_gov_co/EixNsZ2jBBtDtJVNqViXTbwB9LzzWSpFgCMzZp_cx1c58w?e=a161tj</t>
  </si>
  <si>
    <t>REG0010-00-2016.
"2.1 Sentencias
2.1.1. Sentencia T-606/2015 Plan Maestro Tayrona: Reunión interna grupo de regionalización y centro de monitoreo con el objetivo de socializar algunos aspectos a revisar con CORPAMAG del SVCA y solicitar apoyo de un profesional biótico para apoyo en el indicador asociado a la problemática ""Riesgo asociado a la presencia de material particulado de carbón mineral en playas y el lecho marino, por operación portuaria"". Se remite insumo técnico a la OAJ para manejo del segundo indicador asociado a la problemática ""Riesgo asociado a la presencia de material particulado de carbón mineral en playas y el lecho marino, por operación portuaria""24-06-2021: Se socializa con OAJ insumo técnico enviado para manejo del segundo indicador asociado a la problemática ""Riesgo asociado a la presencia de material particulado de carbón mineral en playas y el lecho marino, por operación portuaria""25-06-2021: Se participa en reunión citada por la OAJ con la Coordinación del Plan Maestro de Protección y Restauración del Parque Nacional Natural Tayrona, la cual tenía como objetivo presentar propuesta y limitaciones en el manejo de segundo indicador asociado a la problemática ""Riesgo asociado a la presencia de material particulado de carbón mineral en playas y el lecho marino, por operación portuaria"". En dicha reunión se concluye que se debe citar comité técnico nuevamente, para lo cual OAJ enviará la solicitud a la Coordinación del Plan Maestro de Protección y Restauración del Parque Nacional Natural Tayrona. 30-06-2021: Se participa en comité técnico interinstitucional, en el cual se revisaron nuevas acciones a incluir y se consultaron por las acciones que presentan retrasos en el cumplimiento y los indicadores que quedaron pendientes. Cabe destacar, que en la reunión la ANLA no ha sido señada con incumplimiento en las acciones, ni presenta retrasos o vacíos en los datos de los indicadores. 
2.1.2. Sentencia Amazonas (T-4360/2018): Para este mes no se realizaron actividades en cumplimiento de ésta sentencia.
2.1.3. Sentencia Bahia de Cartagena Acción Popular 2017-00987-1: Reunión para reporte de novedades OAJ - Plan de Restauración Bahía de Cartagena. 04-06-2021. Cuarta sesión del Comité interinstitucional Bahía de Cartagena 11-06-2021. 
2.1.4. Sentencia Guajira - Población Wayuú municipios Riohacha, Manaure y Uribia (T-302 de 2017): Revisión de oferta institucional para dar respuesta a solicitud de información en el marco de la Audiencia Pública de la Comisión Interamericana de Derechos Humanos CIDH - medidas cautelares en favor de pueblo indígena Wayuú.
2.1.5. Sentencia Guajira - Provincial (T-614/2019): 1. Documentos técnicos y revisión de expedientes. Memorando de respuesta a observaciones prepliego proceso Subasta Inversa Electrónica No. 005 de 2021 radicado 2021112062-3-000 del 03/06/2021.  Memorando evaluación técnica proceso SIE No. 005 de 2021 radicado 2021119408-3-000.  Memorando de revisión de respuestas por parte de oferentes a las observaciones de la evaluación técnica del proceso SIE 005/2021 Radicado 2021124434-3-000 del 21/06/2021.  Elaboración primera versión de estudios previos convenio CORPOGUAJIRA - ANLA 2021 traslado, puesta en funcionamiento y operación de una estación de monitoreo automática de medición de material particulado (PM10, PM2.5) en el Resguardo Indígena de Provincial, como acción para el cumplimiento de la Orden Sexta de la Sentencia T-614 de 2019. Propuesta de condiciones técnicas del nuevo proceso de contratación mínima cuantía - campañas de monitoreo de calidad de agua. 2. Reuniones y acompañamientos técnicos interinstitucionales: Revisión jurídica requisito habilitante acreditación proceso SIE 005/2021 03-06-2021. Comité de contratación SIE 005/2021.  Análisis de riesgo Sentencia Provincial sesión No. 1 16-06-2021. Análisis de riesgo Sentencia Provincial sesión No. 2 24-06-2021. Revisión SSLA SIPTA CORPOGUAJIRA Primera versión convenio 28-06-2021.  Seguimiento junio Sentencia MinAmbiente - Corpoguajira - ANLA 17-06-2021. 
2.1.6. Sentencia Cerromatoso (T-733/2017): Asistencia a reunión interinstitucional MADS-CVS-ANLA citada por MADS, cuyo objetivo fue definir equipo de trabajo, plan de trabajo, cronograma y respuestas a la Contraloría 21-06-2021.
2.2. Avance Actos Administrativos de Evaluación 
A la fecha, se registra un total de 35 Actos Administrativos de 97 solicitudes de acompañamiento para el proceso de evaluación de LA, los cuales se detallan a continuación: 
26. LAM5342 Área de perforación Exploratoria Bello
27. LAM4567 Explotación Minera de Oro y Materiales 
28. LAV0036-00-2020 Parque Solar fotovoltaico Guayepo 400 MW
29. LAM0806 Proyecto de Explotación aurífera en la cuenca del río Nechí
30. VAR0035 Explotación de Carbón a Cielo Abierto Mina Pribbenow La Loma.
31. LAV0017-00-2016 Construcción Unidades Funcionales UF1 y UF2 
32. LAM1568 Construcción de la Variante de Pamplona - UF-1.
33. LAV0002-00-2021 Cerro Matoso
34. LAM0275 Termobarranquilla
2.3. Avance Conceptos Técnicos de Seguimiento: 
A la fecha se registran 64 CT numerados de 102 solicitudes de acompañamiento para la toma de decisiones en el marco de Seguimiento de LA, los CT se detallan a continuación: 
54. LAM 2583 Central Hidroeléctrica San Francisco – Chinchiná Caldas
55. LAM2233 Hidroeléctrico Pescadero – Ituango
56. LAV0046-00-2017 Construcción Unidad Funcional 1 Bucaramanga – Pamplona.
"
https://anla-my.sharepoint.com/:f:/g/personal/aromero_anla_gov_co/Ejfw4IVQEf9NpSqH6w8RWL8BUwHXdHpUQjqRx66YbjKAZQ?e=XxQQYd</t>
  </si>
  <si>
    <t>.Diagnósticos Desarrollados
3.1 Documento diagnóstico de Modelación del área regionalizada de Alto San Jorge: A 30 de abril se registró culminación 100% conforme con el plan de trabajo de modelación. El expediente asociado a este documento diagnóstico es REG0004-00-2017.
3.2 Documento diagnóstico de Modelación  del área regionalizada (Componente Atmósfera) de la Zona Minera del Cesar se encuentra actualmente en fase de Análisis y/o procesamiento de información: El porcentaje de avance de este ejercicio corresponde a un 89% conforme con el plan de trabajo de modelación. El expediente asociado a este documento diagnóstico es REG0011-00-2017.
3.3. Documento diagnóstico de Modelación (Ruido) Aeropuerto El Dorado se encuentra actualmente en fase de Preparación e implementación de modelo: El porcentaje de avance de este ejercicio corresponde a un 44%  (tierra) y un 37% (aire) conforme con el plan de trabajo de modelación, lo cual da un promedio de porcentaje total de 40,5%. El expediente asociado a este documento diagnóstico es REG0002-00-2017.
3.4 Documento diagnóstico de Modelación SZH Río Sogamoso (recurso hídrico superficial, recurso hídrico subterráneo y medio biótico, presenta un avance del 58%. Expediente REG0002-00-2016.</t>
  </si>
  <si>
    <t>%</t>
  </si>
  <si>
    <t>En el mes de abril se firmaron 70 contratos de prestación de servicios y/o apoyo a la gestión, de los cuales el 100% fueron suscritos dentro de los términos de oportunidad del procedimiento.</t>
  </si>
  <si>
    <t>Al cierre del mes de  abril/2021 se registra un recaudo efectivo en seguimiento y evaluación por valor de $26.725.832.479, lo cual  corresponde al 25% de la meta proyectada 2021 de $105.533.877.773.</t>
  </si>
  <si>
    <t>Al cierre del mes de abril/2021 el presupuesto ANLA registrA obligaciones acumulados del 28% ($29.673.269.400), lo cual Incluye presupuesto asignado a la unidad ejecutora ANLA y la subunidad FONAM-ANLA.</t>
  </si>
  <si>
    <t>Para el cierre del mes de abril de 2021, se registran compromisos acumulados del 67% ($105.277.315.567,81); lo cual incluye presupuesto asignado a la unidad ejecutora ANLA y la subunidad FONAM-ANLA.</t>
  </si>
  <si>
    <t>Este indicador logrará  avance una vez que se realice el ajuste de los indicadores referente a la implementación en el Sistema de Gestión Electrónicos de Archivo - SGDEA.</t>
  </si>
  <si>
    <t>Se realiza actividades referente al Plan de Trabajo el cual se encuentra adjunto. Se presenta actualización de Formato Unico de Inventario Documental, transferencias documentales, actas de reunión de propuestas para las Tablas de Retención Documental, chequeo de las instalaciones de bodega y documento borrador del Plan de Emergencias</t>
  </si>
  <si>
    <t>Para el mes de abril se tenía un total de 8 actividades programadas y se ejecutaron las 8 en su totalidad, para un porcentaje de cumplimiento en el periodo de 100%, y un acumulado de 28% con 22 actividades cumplidas de las 26 programadas hasta el mes en mención.</t>
  </si>
  <si>
    <t>Se calificaron en el mes de abril un total de 14 casos, de los cuales 10 fueron de calificación excelente (100/100), 4 casos de calificación bueno (70/100) y 0 casos de calificación regular (30/100) para un total de 91% de satisfacción para este periodo y un acumulado para el año de 89%.</t>
  </si>
  <si>
    <t>El “Porcentaje de impacto de los eventos de bienestar” correspondiente al mes de ABRIL en el cual se obtuvo una calificación del 92,2% de impacto de las actividades:
1.    Jornada de atención de la Oficina Móvil de Cafam.     93,000%
2.    Charla "Subsidio de vivienda con Cafam"    89,000%
3.    Descanso compensado de Semana Santa    96,000%
4.    Charla Portafolio de Servicios de Cafam    91,000%
5.    Celebración Día de la Niñez y la Recreación - Taller de     92,000%</t>
  </si>
  <si>
    <t>En el mes de ABRIL se realizaron 9 actividades de las 109 propuestas para la vigencia, representadas en un 8,25688073394495% de avance a la meta, a continuación, se relacionan estas actividades:
1.    Medidas preventivas
2.    Jornada Conociendo la ANLA 
3.    Proceso sancionatorio ambiental y la elaboración del concepto técnico
4.    SIGPRO y seguridad de la información
5.    SILA
6.    AGIL
7.    Actualización en legislación ambiental 
8.    Control social 
9.    Compensaciones y 1 %</t>
  </si>
  <si>
    <t>En ABRIL se registra un avance del 10%, realizando así la siguiente actividad (se divide el porcentaje ya que se hace 1 de las 2 actividades) que hace parte de una de las 5 fases y tienen el peso porcentual mencionado:
•    Logo y políticas de participación 20%: se envía documento con los componentes de la actividad.</t>
  </si>
  <si>
    <t>Durante el mes de ABRIL se logró un avance del 7,51295336787565% correspondiente a las actividades que a continuación se describen:
1.    Actualización del procedimiento y la matriz de requisitos legales
2.    Divulgación  Guía de  Participación y Consulta 
3.    Revisión y/o actualización del Reglamento de Higiene y Seguridad Industrial, divulgación al personal.
4.    Divulgación Manual de Convivencia Laboral
5.    Acompañamiento reuniones mensuales y revisión acta de COPASST
6.    Análisis estadístico de Ausentismo.
7.    Intervención en promoción y prevención -personal asintomático y riesgo bajo - Pausas Activas
8.    Seguimiento a resultados de encuesta de autorreporte de condiciones de salud en consecuencia del COVID 19
9.    Intervención población en riesgo medio y alto - Escuela terapéutica 
10.    Envío masivo de TIPs de prevención y promoción de DME- En casa-COVID 19
11.    Retroalimentación  Individual a trabajadores que puntuaron  niveles  alto y muy alto en la medición subjetiva de Factores de riesgo psicosocial.
12.    Revisión formatos y manual de convivencia
13.    Jornadas de manejo de fatiga y carga mental (pausas cognitivas)  
14.    Programación y realización de actividades físicas para colaboradores - Hábitos de Vida Saludable- Talleres de Nutrición-Acompañamiento Individual.
15.    Pausas visuales
16.    Entrega de Informe deTapabocas / Kit de Bioseguridad para comisiones. / Kit de Bioseguridad para personal fuera de Bogotá
17.    Divulgación del Plan de Emergencias y Análisis de Vulnerabilidad (Sede Nueva - Bodega)
18.    Pruebas de radios punto a punto (informe y correo) 
19.    Capacitación de Primeros Auxilios 
20.    Seguimientos y retroalimentación de MEDEVACs
21.    Acompañamientos por parte del Ingeniero Asesor de la ARL a los programas de seguridad industrial
22.    Implementación del Programa SBC. Capacitaciones y Observaciones
23.    Realización de Inspecciones de EPPs - Contratistas (En campo y/o revisión de informes post comisión)
24.    Realización de Inspecciones de Botiquines y Camillas
25.    Seguimientos a hallazgos encontrados en inspecciones
26.    Seguimiento a los reportes de actos y condiciones recibidos
27.    Seguimiento al programa de mantenimiento de instalaciones y maquinaria
28.    Actualización del Manual de criterios SSTA para contrataciones (en conjunto con Gestión Contractual y Gestión Administrativa)
29.    Seguimiento a Indicadores y planes de acción establecidos en los diferentes Programas del SG-SST</t>
  </si>
  <si>
    <t>En el mes de ABRIL se realiza un avance de 11,25% producto de las diferentes actividades gestionadas que se describen a continuación:
1.    Validar los miembros de Equipo de Gestores de Integridad 2021, encargados de apoyar la apropiación de la Política de Integridad en la entidad: se recibe la validación por parte de los coordinadores y jefes de área.
2.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3.    Asegurar que los Gerentes Públicos de la entidad, obligados por la Ley 2013 de 2019, publiquen la declaración de bienes, rentas y conflicto de intereses en los aplicativos establecidos por Función Pública: después de enviado el correo de solicitud en el mes de ABRIL se reciben 6
declaraciones de 10, esto se traduce en un 0.30 más para esta actividad.
Adicionales
•    Seguimiento y monitoreo al registro de conflictos de intereses que han surtido trámite: durante el mes se propone la matriz para los seguimientos.</t>
  </si>
  <si>
    <t>Para la presente vigencia 2021 se registra un avance acumulado del 98.2%, para el mes de Abril el Grupo de Gestión de Notificaciones realizó el proceso de publicidad para 1325 usuarios de los cuales se inició en termino a 1300, quedando 25 fuera de término, así:
Dos (2) reinicios de proceso de publicidad mediante constancia, uno solicitado por la Oficina Asesora Jurídica -OAJ- mediante memorando No. 2021066210-3-000 del 12/04/2021 y el otro lo ordenó el Auto 1846 del 05 de abril de 2021 en su artículo segundo.
Un (1) acto administrativo presentó inconsistencia al llegar al Módulo de Notificaciones, por lo que se solicitó mesa de ayuda No 0012055 a la OTI, la cual se solucionó hasta el día 8 de abril de 2021.
Veintidós (22) actos administrativos de procesos de cobro coactivo que ingresaron al Grupo de Gestión de Notificaciones fuera del término establecido en la Ley 1437 de 2011 para iniciar proceso de notificación, esto fue mediante Un memorando del año 2020 (2020193713-3-000 del 04/11/2020) y Uno del 2021 (2021046886-3-000 del 16/03/2021).
Sobre el memorando de vigencia 2020, en la dependencia de origen (OAJ) se indicó como dependencia de destino “CORRESPONDENCIA” lo que ocasionó que en su momento no llegara al Grupo de Gestión Administrativa – Área de Notificaciones y en efecto no se asignara para su trámite en término, situación que solo se evidenció por parte de la OAJ al hacer seguimiento de los procesos de cobro coactivo. Sobre el memorando de vigencia 2021, suscrito por la Coordinadora del Grupo de Cobro Coactivo - OAJ, se remitieron a esta dependencia  dos (2) actos administrativos expedidos en el año 2020, es decir, ya fuera del término de Ley indicado.</t>
  </si>
  <si>
    <t>Al cierre del mes de abril/2021, ANLA resgistra una ejeución del presupuesto ejecutado frente al asignado del 19% ($29.673.269.400,28). Donde el presupuesto ejecutado es medido frente a obligaciones (Funcionamiento e inversion).</t>
  </si>
  <si>
    <t>Para el mes de Abril  no se realiza avance de este indicador, ya que se realizará ajustes de los indicadores referente a la implementación en el Sistema de Gestión Electrónicos de Archivo - SGDEA.</t>
  </si>
  <si>
    <t>Para el mes de Abril se cumple con las actividades planificadas en el cronograma, el plan de trabajo se encuentra adjunto, se realizó Control de Calidad, actualización de inventarios, avance de actividades de planes de conservación, reuniones con dependencias para las TRD y capacitación con sus respectivas evidencias.</t>
  </si>
  <si>
    <t>En el mes de abril, el consumo total fue de 18.824 número de hojas, para un ahorro del 85%, comparado con el promedio anual histórico que es de 128.751 número de hojas.
(la meta se supera teniendo en cuenta la contingencia por el COVID-19 y la ausencia de usuarios internos en la entidad) 
En el mes de abril, el consumo total fue de 37.647 número de páginas (No. de hojas por peso: 92 kg), para un ahorro del 85%, comparado con el promedio anual histórico de hoja de 128.751 (No. de hojas por peso: 627 kg), sin embargo se determino un porcentaje del 35% después de un calculo que tiene en cuenta la contingencia por el COVID-19 que ocasiona la ausencia de la gran mayoría de colaboradores en las instalaciones de la entidad (implementado por la OAP).</t>
  </si>
  <si>
    <t>El “propuesta de la estrategia de calidad de vida” correspondiente al mes de ABRIL en el cual se obtuvo una calificación del 92,2% de impacto de las actividades:
1.    1.Jornada de atención de la Oficina Móvil de Cafam.     93,000%
2.    Charla "Subsidio de vivienda con Cafam"    89,000%
3.    Descanso compensado de Semana Santa    96,000%
4.    Charla Portafolio de Servicios de Cafam    91,000%
5.    Celebración Día de la Niñez y la Recreación - Taller de     92,000%</t>
  </si>
  <si>
    <t>Durante el mes de ABRIL no se presentaron accidentes en la entidad, el porcentaje de este indicador del mes de ABRIL fue 0,0% y en promedio de la vigencia es de 0,040290088638195%, por tal motivo se cumple con el indicador al 100% en este mes ya que la estadística se encuentra en un valor menor al 1% máximo de accidentes por mes propuesto.</t>
  </si>
  <si>
    <t>Al cierre del mes de  abril/2021 se registra recaudo por servicio de seguimiento de $19.717.774.205, lo cual corresponde al 23% de la meta esperada para la vigencia 2021 ($87.393.968.825).</t>
  </si>
  <si>
    <t>En el mes de mayo se suscribieron 98 contratos de Prestación de servicios profesionales y/o apoyo a la gestión, de los cuales el 100% se realizaron dentro de los términos de oportunidad del procedimiento.</t>
  </si>
  <si>
    <t>Al cierre de mayo/2021 se registra un recaudo de $36.257.046.154 correspondiente al 34% de la meta ($105.533.877.773) proyectada para la vigencia 2021.</t>
  </si>
  <si>
    <t>Al cierre de mayo/2021 el prespuesto registró obligaciones acumulados del 37% ($40.717.108.947,02); el cual Incluye presupuesto asignado a la unidad ejecutora ANLA y la subunidad FONAM-ANLA.</t>
  </si>
  <si>
    <t>Al cierre del mes de mayo/2021, el presupuesto registró compromisos acumulados del 70% ($109.257.813.617,68); el cual incluye presupuesto asignado a la unidad ejecutora ANLA y la subunidad FONAM-ANLA.</t>
  </si>
  <si>
    <t xml:space="preserve">	
Para el mes de mayo se realizó el proceso precontractual para la organización y digitalización de expedientes, según el Plan de Trabajo generado y revisado junto con la SAF y Planeación.</t>
  </si>
  <si>
    <t>en el mes de Mayo se realizó la ejecución del Plan de trabajo del Plan Institucional de Archivos - PINAR, el cual tiene como actividades: Ejecución del Plan de Conservación Documental, Plan de Trabajo PGD, Cuadro de Clasificación Documental, asignación de radicados SIGPRO y  FUID.</t>
  </si>
  <si>
    <t>Para el mes de mayo se tenía un total de 5 actividades programadas y se ejecutaron las 5 en su totalidad, para un porcentaje de cumplimiento en el periodo de 100%, y un acumulado de 34% con 27 actividades cumplidas de las 31 programadas hasta el mes en mención.</t>
  </si>
  <si>
    <t>Para el mes de mayo se recibió un total de 98 casos en la mesa de ayuda, de los cuales 95 fueron calificados como Excelente (100/100), 3 calificados como Bueno y 0 calificados como Regular, obteniendo de esta manera un avance del 99.08% de avancde para el periodo (mes mayo).</t>
  </si>
  <si>
    <t>El “Porcentaje de impacto de los eventos de bienestar” correspondiente al mes de MAYO en el cual se obtuvo una calificación del 93% de impacto de las actividades:
1    Socialización: Requisitos y documentos solicitud de apoyo educativo    89,000%
2    Jornada de atención de la Oficina Móvil de Cafam.    97,000%</t>
  </si>
  <si>
    <t>En el mes de MAYO se realizaron 11 actividades de las 109 propuestas para la vigencia, representadas en un 10,091743119266% de avance a la meta, a continuación, se relacionan estas actividades:
1.    Compensaciones y 1%
2.    ÁGIL 
3.    Jurisprudencia ambiental 
4.    MIPG Trabajo en equipo para un mejor servicio al usuario
5.    Liderazgo para coordinadores y asesores
6.    Actualización tributaria  2021  aplicable a la ANLA no a personas 
7.    Reforma código de procedimiento administrativo y de lo contencioso administrativo ley 1437 de 2011
8.    MIPG Comunicación en el servicio al usuario
9.    Jornada Conociendo la ANLA 
10.    SIGPRO y seguridad de la información
11.    SILA</t>
  </si>
  <si>
    <t>En MAYO se registra un avance del 15%, realizando así las siguientes actividades :
* Comunicación de pieza de sensibilización para ser parte del programa 5%
* Definición del Grupo Piloto de Formadores Internos 10%</t>
  </si>
  <si>
    <t>Durante el mes de MAYO se logró un avance del 8,29015544041451% correspondiente a las actividades que a continuación se describen:
1.    Solicitud soportes reuniones trimestrales Comité de Convivencia Laboral 
2.    Programación y Seguimiento de Asesorías con la ARL para Seguridad Vial
3.    Realización de comunicaciones masiva sobre prevención de accidentes o incidentes viales
4.    Acompañamiento reuniones mensuales y revisión acta de COPASST
5.    Análisis estadístico de Ausentismo.
6.    Intervención en promoción y prevención -personal asintomático y riesgo bajo - Pausas Activas
7.    Seguimiento a resultados de encuesta de autorreporte de condiciones de salud en consecuencia del COVID 19
8.    Intervención población en riesgo medio y alto - Escuela terapéutica 
9.    Retroalimentación  Individual a trabajadores que puntuaron  niveles  alto y muy alto en la medición subjetiva de Factores de riesgo psicosocial.
10.    Jornadas de manejo de fatiga y carga mental (pausas cognitivas)  
11.    Realización de envío de comunicados masivos sobre TIPs de prevención de riesgo cardiovascular.
12.    Programación y realización de actividades físicas para colaboradores - Hábitos de Vida Saludable- Talleres de Nutrición-Acompañamiento Individual.
13.    Revisión y Actualización del documento de Programa de Prevención de Riesgo Visual
14.    Pausas visuales
15.    Entrega de Informe deTapabocas / Kit de Bioseguridad para comisiones. / Kit de Bioseguridad para personal fuera de Bogotá
16.    Revisión Programa de Reincorporación y seguimiento a recomendaciones medico laboral  a casos de enfermedad laboral- y casos médicos con recomendación o restricción. - Seguimiento casos COVID-19
17.    Capacitación de Primeros Auxilios 
18.    Seguimientos y retroalimentación de MEDEVACs
19.    Revisión y actualización de ATS
20.    Acompañamientos por parte del Ingeniero Asesor de la ARL a los programas de seguridad industrial
21.    Supervisión SST en Campo / Realización de Charlas de Seguridad en Campo
22.    Implementación del Programa SBC. Capacitaciones y Observaciones
23.    Realización de Inspecciones de EPPs - Contratistas (En campo y/o revisión de informes post comisión)
24.    Realización de Inspecciones de Vehículos
25.    Realización de Inspecciones de Extintores
26.    Seguimientos a hallazgos encontrados en inspecciones
27.    Seguimiento a los reportes de actos y condiciones recibidos
28.    Solicitar comunicaciones masivas sobre seguridad indicando la importancia de la familia
29.    Actividad lúdica presencial o virtual donde se resalte la importancia de la seguridad en la familia
30.    Revisión de documentación para selección de contratistas (exámenes médicos, vacunas, inducción, código de integridad, afiliación a ARL, entre otros)
31.    Seguimiento a Indicadores y planes de acción establecidos en los diferentes Programas del SG-SST
32.    Revisión por la Alta Dirección</t>
  </si>
  <si>
    <t>En el mes de MAYO se realiza un avance de 7,5% producto de las diferentes actividades gestionadas que se describen a continuación:
1.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2.    Asegurar que los Gerentes Públicos de la entidad, obligados por la Ley 2013 de 2019, publiquen la declaración de bienes, rentas y conflicto de intereses en los aplicativos establecidos por Función Pública: De acuerdo con la publicación en el Aplicativo se encuentra la publicación de los miembros del comité directivo.  E: Carpeta de la publicación de información
Adicionales
•    Seguimiento y monitoreo al registro de conflictos de intereses que han surtido trámite: Se encuentra en revisión la matriz y el procedimiento para el seguimiento y monitoreo de conflicto de intereses.</t>
  </si>
  <si>
    <t>Para la presente vigencia 2021 se registra un avance acumulado del 98.4%, para el mes de Mayo el Grupo de Gestión de Notificaciones realizó el proceso de publicidad para 1682 usuarios de los cuales se inició en termino a 1668, quedando 14 fuera de término, así:
Ocho (8) Autos de cobro que no llegaron al Modulo de Notificaciones debido a una falla en el sistema, lo cual se registró en mesa de ayuda 0008496 del 28 de enero de 2021 y que tuvo solución hasta el día 7 de mayo de 2021.
Dos (2) reinicios de proceso de publicidad mediante constancia, solicitados por la Oficina Asesora Jurídica de ANLA mediante memorandos 2021078179-3-000 del 23 de abril de 2021 y 2021068757-3-000 del 14 de abril de 2021
Dos (2) reinicios de proceso de publicidad mediante constancia, ordenados en Auto 2617 del 27 de abril de 2021 y Auto 3235 del 12 de mayo de 2021.
Un (1) acto administrativo que se expidió el 27/07/20 se remitió mediante memorando 2021096076-3-000 del 14/05/2021 por parte del Grupo de Cobro Coactivo para iniciar proceso de notificación.  
Un (1) acto administrativo liberado fuera de término para iniciar proceso de publicidad.</t>
  </si>
  <si>
    <t>Al cierre de mayo/2021 por concepto de seguimiento  se registra recaudo de $27.578.693.097, lo cual  corresponde al 32% de la meta  ($87.393.968.825) proyectada para la vigencia 2021.</t>
  </si>
  <si>
    <t>Al cierre del mes de mayo/2021 se registra un avance del 26% del presupuesto ejecutado frente al asignado;  el presupuesto ejecutado es medido frente a obligaciones (Funcionamiento e inversion).</t>
  </si>
  <si>
    <t>Según el Plan de Trabajo realizado y aprobado en el mes mayo junto con la SAF y Planeación, se cuenta con un avance de: Manual de Organización Documental e Instructivo de Inventarios Documentales.</t>
  </si>
  <si>
    <t>En el mes mayo se adelantó el proceso precontractual para la organización y digitalización de los Metros Lineales, documentos que se encuentran en verificación por el Grupo de Gestión Contractual.</t>
  </si>
  <si>
    <t>en el mes de Mayo se realizó la ejecución del Plan de trabajo del Programa de Gestión Documental - PGD, el cual comprende actividades como: control de calidad, reportes Gespro, Capacitaciones, Informe de Auditoria, FUID, Plan de Emergencias y Plan de Preservación Digital.</t>
  </si>
  <si>
    <t>En el mes de Mayo, el consumo total fue de 12.507 número de hojas, para un ahorro del 90%, comparado con el promedio anual histórico que es de 128.751 número de hojas. (la meta se supera teniendo en cuenta la contingencia por el COVID-19 y la ausencia de usuarios internos en la entidad).
En el mes de mayo, el consumo total fue de 25.013 número de páginas (No. de hojas por peso: 92 kg), para un ahorro del 90%, comparado con el promedio anual histórico de hoja de 128.751 (No. de hojas por peso: 627 kg), sin embargo se determino un porcentaje del 35% después de un calculo que tiene en cuenta la contingencia por el COVID-19 que ocasiona la ausencia de la gran mayoría de colaboradores en las instalaciones de la entidad (implementado por la OAP).</t>
  </si>
  <si>
    <t>El “propuesta de la estrategia de calidad de vida” correspondiente al mes de MAYO en el cual se obtuvo una calificación del 94,2290058299743% de impacto de las actividades:
1    362 ACTIVIDADES SGSST    96,687%
2    Socialización: Requisitos y documentos solicitud de apoyo educativo    89,000%
3    Jornada de atención de la Oficina Móvil de Cafam.    97,000%
Nota: en el avance del mes de mayo se reporta 362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</si>
  <si>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Durante el Durante el mes de mayo  no se presentaron accidentes en la entidad, el porcentaje de este indicador del mes de ABRIL fue 0,0% y en promedio de la vigencia es de 0,040290088638195%, por tal motivo se cumple con el indicador al 100% en este mes ya que la estadística se encuentra en un valor menor al 1% máximo de accidentes por mes propuesto. de ABRIL no se presentaron accidentes en la entidad, el porcentaje de este indicador del mes de ABRIL fue 0,0% y en promedio de la vigencia es de 0,040290088638195%, por tal motivo se cumple con el indicador al 100% en este mes ya que la estadística se encuentra en un valor menor al 1% máximo de accidentes por mes propuesto.</t>
  </si>
  <si>
    <t>En el periodo de abril a junio se generaron 352 certificados de 1446 certificados por generar, lo cual representa una ejecución acumulada del 84% en lo corrido del año.</t>
  </si>
  <si>
    <t>En el mes de junio se suscribieron 13 contratos de Prestación de servicios y/o apoyo a la gestión, de los cuales el 100% se realizaron dentro de los términos del procedimiento.</t>
  </si>
  <si>
    <t>En el periodo de abril a junio de 2021 se recibieron 13 solicitudes de liquidación de contratos en debida forma, de las cuales 13 fueron realizadas de manera satisfactoria.</t>
  </si>
  <si>
    <t>Al cierre de junio/21 seregistró un recaudo de $42.453.367.047, los cuales corresponden al 40% de la meta  $105.533.877.773 esperada para 2021.</t>
  </si>
  <si>
    <t>Al cierre del mes de junio/2021 el presupuesto ANLA registró obligaciones acumulados del 46%, Incluyendo presupuesto asignado a la unidad ejecutora ANLA y la subunidad FONAM-ANLA.</t>
  </si>
  <si>
    <t>El prespuesto vigencia 2021 en el mes de junio registró compromisos acumulados del 72%. Incluyendo presupuesto asignado a la unidad ejecutora ANLA y la subunidad FONAM-ANLA.</t>
  </si>
  <si>
    <t>Para el mes de Junio se realizó correcciones de los documentos para el proceso precontractual para la organización y digitalización de expedientes.</t>
  </si>
  <si>
    <t>Se ejecuta el Plan de Trabajo del PINAR para el mes de junio. Se adjunta evidencias tales como: avance en Tablas de Retención Documental, Plan de trabajo PGD, actualización de FUID, reporte de bodega.</t>
  </si>
  <si>
    <t>Para el mes de junio se tenía un total de 9 actividades programadas y se ejecutaron las 9 en su totalidad, para un porcentaje de cumplimiento en el periodo de 100%, y un acumulado de 46% con 36 actividades cumplidas de las 40 programadas hasta el mes en mención.</t>
  </si>
  <si>
    <t>el mes de junio se recibió un total de 76 casos en la mesa de ayuda, de los cuales 75 fueron calificados como Excelente (100/100), 1 calificados como Bueno y 0 calificados como Regular, obteniendo de esta manera un avance del 99.61% de avance para el periodo (mes junio).</t>
  </si>
  <si>
    <t xml:space="preserve"> Mes	
El “Porcentaje de impacto de los eventos de bienestar” correspondiente al mes de MAYO en el cual se obtuvo una calificación del 93,4444444444444de impacto de las actividades:
1.    Jornada de atención del FNA.    92,00%
2.    Charla Agencia de Viajes Cafam    88,00%
3.    Jornada de atención de la Oficina Móvil de Cafam.    92,00%
4.    Taller de artes: Caricaturas Grupo 1    91,00%
5.    Clase deportiva 1 Rumba.    96,00%
6.    Clase deportiva 2 Pilates.    96,00%
7.    Clase deportiva  3 Yoga.    96,00%
8.    Webinar: Manejo del tiempo en casa    94,00%
9.    Día de la Familia I semestre    96,00%</t>
  </si>
  <si>
    <t>En el mes de JUNIO se realizaron 18 actividades de las 109 propuestas para la vigencia, representadas en un 16,5137614678899% de avance a la meta, a continuación, se relacionan estas actividades:
1.    Inteligencia emocional y su influencia en la felicidad 1
2.    Inteligencia emocional y su influencia en la felicidad 2
3.    Inteligencia emocional y su influencia en la felicidad 3
4.    Inteligencia emocional y su influencia en la felicidad 4
5.    Inteligencia emocional y su influencia en la felicidad 5
6.    Estrategia de conflicto de intereses
7.    Excel básico a intermedio 
8.    Oratoria
9.    Conciliación y defensa judicial 
10.    Requerimientos jurídicos en el seguimiento ambiental para técnicos y jurídicos 
11.    Reuniones efectivas 
12.    Gestión de Proyectos PMI
13.    Redacción profesional
14.    Normatividad vigente presupuesto de ingresos y gastos 
15.    Consulta previa
16.    AGIL
17.    Seguridad basada en el comportamiento 1
18.    Seguridad basada en el comportamiento 2</t>
  </si>
  <si>
    <t xml:space="preserve">	
En JUNIO se registra un avance del 10%, realizando así las siguientes actividades:
* Taller de preparación en oratoria (Solo para servidores públicos) 10%</t>
  </si>
  <si>
    <t xml:space="preserve"> Mes	
Durante el mes de JUNIO se logró un avance del 7,7720207253886% correspondiente a las actividades que a continuación se describen:
1.    Acompañamiento reuniones mensuales y revisión acta de COPASST
2.    Análisis estadístico de Ausentismo.
3.    Intervención en promoción y prevención -personal asintomático y riesgo bajo - Pausas Activas
4.    Seguimiento a resultados de encuesta de autorreporte de condiciones de salud en consecuencia del COVID 19
5.    Intervención población en riesgo medio y alto - Escuela terapéutica 
6.    Envío masivo de TIPs de prevención y promoción de DME- En casa-COVID 19
7.    Retroalimentación  Individual a trabajadores que puntuaron  niveles  alto y muy alto en la medición subjetiva de Factores de riesgo psicosocial.
8.    Intervensión grupal derivada de aplicación de Batería de Riesgo Psisocial (Liderazgo-Comunicación y Trabajo en Equipo- Inteligencia Emiocional y Felicidad- Manejo de Cambio- Recuperando la vida familiar ) 
9.    Jornadas de manejo de fatiga y carga mental (pausas cognitivas)  
10.    Programación y realización de actividades físicas para colaboradores - Hábitos de Vida Saludable- Talleres de Nutrición-Acompañamiento Individual.
11.    Pausas visuales
12.    Temáticas virtuales y TIPs de prevención de riesgo publico
13.    Entrega de Informe deTapabocas / Kit de Bioseguridad para comisiones. / Kit de Bioseguridad para personal fuera de Bogotá
14.    Simulacro de escritorio COE (Guión e informe)- Charla COE 
15.    Pruebas de radios punto a punto (informe y correo) 
16.    Capacitación de Primeros Auxilios 
17.    Seguimientos y retroalimentación de MEDEVACs
18.    Acompañamientos por parte del Ingeniero Asesor de la ARL a los programas de seguridad industrial
19.    Supervisión SST en Campo / Realización de Charlas de Seguridad en Campo
20.    Implementación del Programa SBC. Capacitaciones y Observaciones
21.    Realización de Inspecciones SSTA
22.    Realización de Inspecciones de EPPs - Funcionarios
23.    Realización de Inspecciones de EPPs - Proveedores
24.    Realización de Inspecciones de EPPs - Contratistas (En campo y/o revisión de informes post comisión)
25.    Seguimientos a hallazgos encontrados en inspecciones
26.    Seguimiento a los reportes de actos y condiciones recibidos
27.    Inicio Proceso de contratación adquisición de elementos para la prevención del COVID 19
28.    Realización de Evaluación de Contratistas (en cuenta de cobro final se identificara el cumplimiento de los deber y responsabilidades SST de los contratistas)
29.    Cierre de los planes de acción resultantes de los programas y planes existentes en el SG-SST
30.    Seguimiento a Indicadores y planes de acción establecidos en los diferentes Programas del SG-SST</t>
  </si>
  <si>
    <t>En el mes de JUNIO se realiza un avance de 25% producto de las diferentes actividades gestionadas que se describen a continuación:
1.    Desarrollar actividades sensibilización y formación para la apropiación de la Política de Integridad: Se realizó la difusión de la Política de Integridad a través de la Ronda semanal donde se dio a conocer y sensibilizar sobre esta política (2 publicaciones en la ronda)
2.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Así mismo se asistió a la reunión de Líderes con la Subdirección de Seguimiento de Licencias Ambientales reforzando la Política de Integridad. (2 actividades realizadas)
Adicionales
•    Seguimiento y monitoreo al registro de conflictos de intereses que han surtido trámite: Se encuentra en revisión la matriz y el procedimiento para el seguimiento y monitoreo de conflicto de intereses por parte del Grupo de Gestión Contractual para posterior publicación.</t>
  </si>
  <si>
    <t>Para la presente vigencia 2021 se registra un avance acumulado del 98.7%, para el mes de Junio el Grupo de Gestión de Notificaciones realizó el proceso de publicidad para 1739 usuarios de los cuales se inició en termino a 1733, quedando 6 fuera de término, así:
Dos (2) reinicios de proceso de publicidad mediante constancia, solicitados por la Oficina Asesora Jurídica de ANLA mediante memorandos 2020224521-3-000 del 17 de diciembre de 2020 y 2021103112-3-000 del 25 de mayo de 2021
Dos (2) reinicios de proceso de publicidad mediante constancia, según validación realizada conforme a lo expuesto en derecho de petición presentado mediante radicado 2021106276-1-000 por AGRIMORPHO LTDA. 
Un (1) reinicio de proceso de publicidad mediante constancia, ordenado en Auto 4031 del 08 de junio de 2021.
Un (1) acto administrativo notificado fuera de término para iniciar proceso de publicidad.</t>
  </si>
  <si>
    <t>Al cierre de junio/2021 se registro un recaudo por concepto de servicio de seguimiento de $ 32.532.201.872, lo cual corresponde al 37% de la meta  $ 87.393.968.825 esperada para 2021.</t>
  </si>
  <si>
    <t>La ejecución del presupuesto ejecutado frente al asignado al cierre del mes de junio/2021 corresponde al 33%. Donde el presupuesto ejecutado es medido frente a obligaciones (Funcionamiento e inversion).</t>
  </si>
  <si>
    <t>Al cierre de junioo/2021 se registra ingresos de $59.181.829.385,oo y compromisos de $113.099.036.853,oo, lo cual arroja un indicador de 0.52 (ingresos/gasto)</t>
  </si>
  <si>
    <t>Al cierre de junio/2021 se registra avance oportuno de las actividades programadas, lo cual corresponde al 39% de lo porgramado para 2021.</t>
  </si>
  <si>
    <t>Para el mes de junio se realiza avance de elaboración de documentos soportes para el SGDEA (Elaboración de Instructivo y Avance Programa Evaluación y Seguimiento), Inventarios documentales y actividad del Plan de Preservación (Informe de Instrumentos Archivisticos).</t>
  </si>
  <si>
    <t>En el mes de junio se adelantó el proceso precontractual para la organización y digitalización de los Metros Lineales, documentos que se encuentran en verificación por el Grupo de Gestión Contractual.</t>
  </si>
  <si>
    <t>Para el mes de Junio se cumple con las actividades planificadas en el cronograma, el plan de trabajo se encuentra adjunto, se realizó Control de Calidad, actualización de inventarios, avance de actividades de planes de conservación  y capacitación con sus respectivas evidencias, entre otras.</t>
  </si>
  <si>
    <t>El “propuesta de la estrategia de calidad de vida” correspondiente al mes de JUNIO en el cual se obtuvo una calificación del 96,2171783084099% de impacto de las actividades:
1.    Jornada de atención del FNA.    92,00%
2.    Charla Agencia de Viajes Cafam    88,00%
3.    Jornada de atención de la Oficina Móvil de Cafam.    92,00%
4.    Taller de artes: Caricaturas Grupo 1    91,00%
5.    Clase deportiva 1 Rumba.    96,00%
6.    Clase deportiva 2 Pilates.    96,00%
7.    Clase deportiva  3 Yoga.    96,00%
8.    Webinar: Manejo del tiempo en casa    94,00%
9.    Día de la Familia I semestre    96,00%
10.    Inteligencia emocional y su influencia en la felicidad Servidor Público junio 01 de 2021    98,63%
11.    Inteligencia emocional y su influencia en la felicidad Servidor Público junio 08 de 2021    97,50%
12.    Inteligencia emocional y su influencia en la felicidad Servidor Público junio 15 de 2021    98,65%
13.    Inteligencia emocional y su influencia en la felicidad Servidor Público junio 22 de 2021    99,39%
14.    Inteligencia emocional y su influencia en la felicidad Servidor Público junio 29 de 2021    96,60%
15.    Liderazgo Servidor Público mayo 20 de 2021    97,94%
16.    Reuniones efectivas Servidor Público junio 17 de 2021    98,28%
17.    Seguridad basada en el comportamiento Servidor Público junio 03 de 2021    96,35%
18.    Seguridad basada en el comportamiento Servidor Público junio 10 de 2021    98,69%
19.    Inteligencia emocional y su influencia en la felicidad Contratista junio 01 de 2021    97,19%
20.    Inteligencia emocional y su influencia en la felicidad Contratista junio 08 de 2021    98,78%
21.    Inteligencia emocional y su influencia en la felicidad Contratista junio 15 de 2021    99,46%
22.    Inteligencia emocional y su influencia en la felicidad Contratista junio 22 de 2021    97,86%
23.    Inteligencia emocional y su influencia en la felicidad Contratista junio 29 de 2021    97,60%
24.    Seguridad basada en el comportamiento Contratista junio 10 de 2021    97,78%
25.    81 ACTIVIDADES SGSST    93,73%
Nota: en el avance del mes de JUNIO se reporta 81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</si>
  <si>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Durante el mes de JUNIO no se presentaron accidentes en la entidad, el porcentaje de este indicador del mes de JUNIO fue 0,0% y en promedio de la vigencia es de 0,02686005909213%, por tal motivo se cumple con el indicador al 100% en este mes ya que la estadística se encuentra en un valor menor al 1% máximo de accidentes por mes propuesto.</t>
  </si>
  <si>
    <t>En el mes de junio, el consumo total fue de 36.425 número de hojas, para un ahorro del 69%, comparado con el promedio anual histórico que es de 119.405 número de hojas. (la meta se supera teniendo en cuenta la contingencia por el COVID-19 y la ausencia de usuarios internos en la entidad).
En el mes de junio, el consumo total fue de 72.849 número de páginas (No. de hojas por peso: 177 kg), para un ahorro del 69%, comparado con el promedio anual histórico de hoja de 119.405 (No. de hojas por peso: 582 kg), sin embargo, se determinó un porcentaje del 33% después de un cálculo que tiene en cuenta la contingencia por el COVID-19 que ocasiona la ausencia de la gran mayoría de colaboradores en las instalaciones de la entidad (implementado por la OAP).</t>
  </si>
  <si>
    <t>Se emitieron 57 actos administrativos para el mes de marzo vigencia 2021, distribuidos en los tres indicadores de la siguiente manera: Indicador 1 se emitieron 14 actos administrativos acogiendo CT de inicio, indicador 2 se emitieron 5 decisiones de fondo y para el indicador 3 se emitieron 38 actos administrativos de gestión entre las etapas del proceso sancionatorio.
E1_SANCIONATORIO_ACTOS ADMINISTRATIVOS FIRMADOS_MARZO_2021</t>
  </si>
  <si>
    <t xml:space="preserve"> 
Se emitieron 97 actos administrativos para el mes de abril vigencia 2021, distribuidos en los tres indicadores de la siguiente manera: Indicador 1, se emitieron 28 actos administrativos acogiendo CT de inicio, indicador 2, se emitieron 7 decisiones de fondo y para el indicador 3 se emitieron 62 actos administrativos de gestión entre las etapas del proceso sancionatorio.
E1_SANCIONATORIO_ACTOS ADMINISTRATIVOS FIRMADOS_ABRIL_2021</t>
  </si>
  <si>
    <t>Se emitieron 95 actos administrativos para el mes de mayo vigencia 2021, distribuidos en los tres indicadores de la siguiente manera: Indicador 1, se emitieron 25 actos administrativos acogiendo CT de inicio, indicador 2, se emitieron 9 decisiones de fondo y para el indicador 3 se emitieron 61 actos administrativos de gestión entre las etapas del proceso sancionatorio.
E1_SANCIONATORIO_ACTOS ADMINISTRATIVOS FIRMADOS_MAYO_2021</t>
  </si>
  <si>
    <t xml:space="preserve"> 
Se emitieron 101 actos administrativos para el mes de junio vigencia 2021, distribuidos en los tres indicadores de la siguiente manera: Indicador 1, se emitieron 15 actos administrativos acogiendo CT de inicio, indicador 2, se emitieron 14 decisiones de fondo y para el indicador 3 se emitieron 72 actos administrativos de gestión entre las etapas del proceso sancionatorio.
E1_SANCIONATORIO_ACTOS ADMINISTRATIVOS FIRMADOS_JUNIO_2021</t>
  </si>
  <si>
    <t>Para el primer indicador se emitieron 26 autos de apertura de investigación, 1 auto que avoca conocimiento y 1 resolución que impone medida preventiva.
E1_SANCIONATORIO_INDICADOR 1_ABRIL_2021</t>
  </si>
  <si>
    <t>Para el primer indicador se emitieron 21 autos de apertura de investigación y 4 resoluciones que imponen medida preventiva.
E1_SANCIONATORIO_INDICADOR 1_MAYO_2021</t>
  </si>
  <si>
    <t>Para el primer indicador se emitieron 13 autos de apertura de investigación, 1 auto avoca conocimiento por competencia y 1 auto de indagación preliminar.
E1_SANCIONATORIO_INDICADOR 1_JUNIO_2021</t>
  </si>
  <si>
    <t>Para el segundo indicador se emitieron 4 resoluciones de cesación, 2 resoluciones que imponen sanción y 1 resolución que exonera responsabilidad.
E1_SANCIONATORIO_INDICADOR 2_ABRIL_2021</t>
  </si>
  <si>
    <t xml:space="preserve"> 
Para el segundo indicador se emitieron 4 resoluciones de cesación, 3 resoluciones que declaran la caducidad y 2 resoluciones que imponen sanción.
E1_SANCIONATORIO_INDICADOR 2_MAYO_2021</t>
  </si>
  <si>
    <t xml:space="preserve"> 
Para el segundo indicador se emitieron 8 resoluciones que declaran la caducidad, 3 resoluciones de cesación, 1 resolución que resuelve recurso y 2 resoluciones que imponen sanción.
E1_SANCIONATORIO_INDICADOR 2_JUNIO_2021</t>
  </si>
  <si>
    <t>Para el tercer indicador se emitieron 23 autos que ordenan diligencia dentro de investigación; 14 autos que decreta, rechaza o niega pruebas: 7 autos que reconoce tercer interviniente;  6 autos de formulación de cargos,  6 autos de aclaración; 1 auto de traslado por competencia, 1 resolución que levantan medida preventiva, 1 auto de acumulación, 1 auto de revocatoria, 1 autos de archivo de proceso sancionatorio,  y 1 auto que resuelve recurso de reposición.
E1_SANCIONATORIO_INDICADOR 3_ABRIL_2021</t>
  </si>
  <si>
    <t>Para el tercer indicador se emitieron 21 autos que decreta, rechaza o niega pruebas, 16 autos que ordenan diligencia dentro de investigación, 10 autos de archivo de proceso sancionatorio, 7 autos de aclaración, 3 autos de formulación de cargos, 1 resolución que levanta medida preventiva, 2 autos de revocatoria,   y 1 auto que resuelve recurso de reposición.
E1_SANCIONATORIO_INDICADOR 3_MAYO_2021</t>
  </si>
  <si>
    <t>Para el tercer indicador se emitieron 29 autos que decreta, rechaza o niega pruebas, 19 autos que ordenan diligencia dentro de investigación, 11 autos de archivo de proceso sancionatorio, 5 autos de aclaración, 5 autos de formulación de cargos, 1 resolución que niega levantamiento medida preventiva, 1 resolución aclara resolución y 1 auto que resuelve recurso de reposición.
E1_SANCIONATORIO_INDICADOR 3_JUNIO_2021</t>
  </si>
  <si>
    <t>Durante el mes de marzo el Grupo de Actuaciones Sancionatorias Ambientales recibió 22 solicitudes de apoyo para responder dentro de este período y 2 de febrero que fueron resueltas dentro del término, en  marzo, para un total de 24 solicitudes realizadas por parte de otros grupos o dependencias de la ANLA, así:
9 Solicitudes realizadas por parte del Grupo de Defensa Jurídica.
3 Solicitud es de apoyo realizadas por parte de la Subdirección de Evaluación.
2 Solicitudes de la Subdirección de Seguimiento de Licencias Ambientales - SSLA.
9 Solicitudes del Grupo RASP.
1 Solicitud realizada por la Oficina Asesora Jurídica.
E1_Identificación de solicitud de apoyo marzo 2021</t>
  </si>
  <si>
    <t>Durante el mes de abril el Grupo de Actuaciones Sancionatorias Ambientales recibió 14 solicitudes de apoyo para responder dentro de este período y 1 de marzo que fue resuelta dentro del término, en  abril, para un total de 15 solicitudes realizadas por parte de otros grupos o dependencias de la ANLA, así:
4 Solicitudes realizadas por parte del Grupo de Defensa Jurídica.
2 Solicitudes de apoyo realizadas por parte de la Subdirección de Evaluación.
1 Solicitud de apoyo realizada por parte de la Subdirección de Seguimiento.
5 Solicitudes del Grupo RASP.
3 Solicitud realizada por la Oficina Asesora Jurídica.
E1_Identificación de solicitudes de apoyo ABRIL 2021</t>
  </si>
  <si>
    <t>Durante el mes de mayo el Grupo de Actuaciones Sancionatorias Ambientales recibió 8 solicitudes de apoyo para responder dentro de este período y 5 de abril que fueron resueltas dentro del término, en  mayo, para un total de 13 solicitudes realizadas por parte de otros grupos o dependencias de la ANLA, así:
4 Solicitudes realizadas por parte del Grupo de Defensa Jurídica.
2 Solicitud de apoyo realizada por parte de la Subdirección de Seguimiento.
7 Solicitudes del Grupo RASP.
E2_Identificación de solicitudes de apoyo Mayo_2021</t>
  </si>
  <si>
    <t>Durante el mes de junio el Grupo de Actuaciones Sancionatorias Ambientales recibió 17 solicitudes de apoyo para responder dentro de este período y 5 de mayo que fueron resueltas dentro del término en junio, para un total de 22 solicitudes realizadas por parte de otros grupos o dependencias de la ANLA, así:
1 Dirección General
9 Solicitudes realizadas por parte del Grupo de Defensa Judicial.
10 Solicitudes del Grupo RASP.
1  Subdirección de Evaluación de Licencias Ambientales
1  Subdirección de Seguimiento de Licencias Ambientales 
E2_Identificación de solicitudes de apoyo Junio_2021</t>
  </si>
  <si>
    <t>En Abril el Grupo de Gestión Administrativa y Financiera reportó al Grupo de Cobro Coactivo el recaudo de $238,399,570, correspondientes al pago total o parcial de obligaciones. 
El recaudo real en abril corresponde a $250,471,570, sin embargo el GGFyP descontó $12,072,000 que corresponde a dos pagos registrados y reportados en meses anteriores, que fueron reversados este mes:
1.   Proceso COA0422-00-2020 $928,000, reportadoes en marzo de 2021, cheque rebotado. 
2. Proceso COA0402-00-2020, $11,144,000, reportado en octubrede 2020. Por tutela fallada en 2021 se ordenó reiniciar la notificación del auto de cobro
E1_COACTIVO_Recaudo Abril_2021</t>
  </si>
  <si>
    <t xml:space="preserve"> 
En Mayo el Grupo de Gestión Administrativa y Financiera reportó al Grupo de Cobro Coactivo el recaudo de $843,610,631, correspondientes al pago total o parcial de obligaciones. 
E1_Cuadro de seguimiento Cobro Coactivo Mayo_2021
E2_COACTIVO_Recaudo Mayo_2021</t>
  </si>
  <si>
    <t>En Junio el Grupo de Gestión Administrativa y Financiera reportó al Grupo de Cobro Coactivo el recaudo de $635.714.119, correspondientes al pago total o parcial de obligaciones. 
E1_Cuadro de seguimiento Cobro Coactivo Junio_2021
E2_COACTIVO_Recaudo Junio_2021</t>
  </si>
  <si>
    <t xml:space="preserve"> 
En abril se recaudaron $162.409.253 que corresponden al pago total o parcial de obligaciones en cobro coactivo.
Se ordenó la apertura de 51 procesos, cambia de etapa cartera por $1,575,744,441; se incrementa la meta de recaudo en coactivo en $472,723,332
E2_COACTIVO_Recaudo Coactivo Abril_2021
E3_COACTIVO_Procesos de CP a CC Abril_2021</t>
  </si>
  <si>
    <t xml:space="preserve"> 
En Mayo se recaudaron $257,137,693 que corresponden al pago total o parcial de obligaciones en cobro coactivo.
Se ordenó la apertura de 20 procesos; cambia de etapa cartera por $440,223,000; se incrementa la meta de recaudo en coactivo en $132,066,900
E3_COACTIVO_Recaudo Coactivo Mayo_2021
E4_COACTIVO_Procesos de CP a CC Mayo_2021</t>
  </si>
  <si>
    <t>En Junio se recaudaron $119.149.784 que corresponden al pago total o parcial de obligaciones en cobro coactivo.
Se ordenó la apertura de 48 procesos; cambio de etapa de cartera persuasiva a coactiva por $661.378.428; se incrementa la meta de recaudo en coactivo en $198.413.528
E3_COACTIVO_Recaudo Coactivo Junio_2021
E4_COACTIVO_Procesos de CP a CC Junio_2021</t>
  </si>
  <si>
    <t>En abril se recaudaron $88,062,317 que corresponden al pago total o parcial de obligaciones en etapa persuasiva de cobro; se descuentan $12,072,000 que corresponde a dos pagos registrados y reportados en meses anteriores, que fueron reversados este mes, por lo anterior se registran como recaudo en abril $75,990,317.
E4_COACTIVO_Recaudo Persuasivo Abril_2021</t>
  </si>
  <si>
    <t>En Mayo se recaudaron $586,472,938 que corresponden al pago total o parcial de obligaciones en etapa persuasiva de cobro
E5_COACTIVO_Recaudo Persuasivo Mayo_2021</t>
  </si>
  <si>
    <t>En junio se recaudaron $539.376.995 que corresponden al pago total o parcial de obligaciones en etapa persuasiva de cobro; se descuentan $22.812.660 que corresponde a tres pagos registrados y reportados en el mes anterior, que fueron reimputados este mes, por lo anterior se registra como recaudo en junio $516.564.335.
Mediante memorando 2021131056-3-000 del 29/06/2021 el Grupo de Gestión Financiera y Presupuestal remitió a la OAJ la obligación contenida en el auto 335 de 2021 por valor de $123.381.000 para iniciar proceso de cobro coactivo, por lo tanto se incrementa la meta del persusivo del 60% del valor de la obligación que corresponde a 74.028.600.
E5_COACTIVO_Recaudo Persuasivo Junio_2021</t>
  </si>
  <si>
    <t xml:space="preserve"> 
Para el mes de abril de 2021, se emitieron 3 fallos ejecutoriados los cuales fueron favorables para la Entidad, para un total de 13 fallos favorables de 13 fallos ejecutoriados en el 2021.
E1_JUDICIALES_FALLOS ABRIL 2021</t>
  </si>
  <si>
    <t>En el mes de mayo de 2021 no se emitió ningún  fallo, en consecuencia se mantiene un total de 13 fallos favorables de 13 fallos ejecutoriados en el 2021.</t>
  </si>
  <si>
    <t xml:space="preserve"> 
Para el mes de junio de 2021, se emitieron 6 fallos ejecutoriados los cuales fueron favorables para la Entidad, para un total de 19 fallos favorables de 19 fallos ejecutoriados en el 2021.
E1_JUDICIALES_FALLOS JUNIO 2021</t>
  </si>
  <si>
    <t>El proyecto de Modificación de la Ley 1333 de 2009 propuesto por la ANLA fue radicado por los Senadores Name y Corrales a la comisión Quinta del Senado el 19 de marzo de 2021, dicho documento fue remitido mediante correo electrónico al Dr Nicolas Neira el pasado 18 de marzo. 
El documento radicado puede ser consultado en el siguiente link:  http://leyes.senado.gov.co/proyectos/index.php/textos-radicados-senado/p-ley-2020-2021/2178-proyecto-de-ley-425-de-2021%20)
E1_Proyecto_PL 425-21 Modificacion Ley 1333</t>
  </si>
  <si>
    <t>En el mes de abril de 2021 se reportan 31 solicitudes de conceptos jurídicos, de las cuales fueron atendidas 30 en oportunidad, entre las cuales destacamos:
Competencias Grupo de Permisos y Trámites Ambientales SIPTA y Subdirección de Seguimiento de Licencias, en permisos de recolección previstos en el Decreto 1076 de 2015, (artículos 2.2.2.8.1.1. y 2.2.2.9.2.1.), compilatorio de los Decretos 1376 de 2013 y 3016 de 2013; Concepto jurídico sobre la Viabilidad de convocatoria de oficio Audiencias Públicas Ambientales; Procedimiento a seguir para la construcción y operación de la alternativa de conducción Embalse Miraflores – Embalse Troneras y la PCH Miraflores. Complejo Hidroeléctrico Guadalupe. LAM2578 2021045942-3-000; 2021002196 Proyecto de memo rutal del sol -  sobre decaimiento de las licencias ambientales Concesionaria Ruta del Sol.
 E1_BASE DE ASIGNACIÓN DE TAREAS ABRIL 2021</t>
  </si>
  <si>
    <t>En el mes de mayo se atendieron en tériminos las 20 solicitudes a cargo del grupo de conceptos jurídicos, entre las cuales se destacan: Solicitud de información - Revisión normas pandemia - Servicios no presenciales SAF; Concepto jurídico GESPLAN; Expedientes de Veda de INVIAS ATV 924 y ATV 720;  competencia ANLA medio socio económico; Auto de reconocimiento de terceros intervinientes"; Proyecto de acto administrativo - Proyecto resolución que modifica la conformación del Comité Directivo de la ANLA;  comentarios al proyecto de Ley  por medio del cual se establece el Código de Responsabilidad Jurídica por daños ambientales   y el Procedimiento  Administrativo Sancionatorio en materia ambiental.
 E1_BASE DE ASIGNACIÓN DE TAREAS MAYO 2021</t>
  </si>
  <si>
    <t xml:space="preserve">Se presenta el siguiente avance en relación con los documentos de lineamientos técnicos 
Indicadores  peso N° avance corte junio avance ponderado junio Avance indicador PI
Estrategias de Relacionamiento 25% 1 55% 14% 2,275
Ejercicios de Participación 25% 1 23% 6%
Reducción de quejas y reclamos 25% 1 100% 25%
Satisfacción grupos de interés 25% 1 50% 13%
  100% 4   57%
</t>
  </si>
  <si>
    <t>Durante el semestre se llevaron a cabo las siguientes actividades:
Autoridades Ambientales: Se realizaron catorce (14) capacitaciones de acuerdo con el cronograma acordado en el marco de la agenda con ASOCARS, el cual corresponde a un 63%. Sin embargo, está pendiente la elaboración del documento técnico y el plan de trabajo.
Congreso: Se llevó a cabo la actualización del Documento de Estrategia de Relacionamiento con el Congreso, e igualmente se elaboró el plan de trabajo para la vigencia, el cual contiene actividades concretas en cuatro (4) líneas estratégicas. De este plan de trabajo se reporta un avance de 49%.
ECOS: Se aprobó el Documento técnico de la Estrategia para la vigencia 2021. Del plan de trabajo de la Estrategia de relacionamiento con Entes de Control se reporta un porcentaje de avance de 49%.</t>
  </si>
  <si>
    <t>Se presenta el siguiente porcentaje de avance en las acciones de participación ciudadana, lineamientos técnicos socioeconómicos y de fortalecimiento de capacidades:
Indicadores  peso N° avance corte junio avance ponderado junio Avance indicador PAI
Acciones de Participación Ciudadana 33,33% 1 59% 20% 53%
Lineamientos Técnicos Socioeconómicos 33,33% 1 50% 17%
Fortalecimiento de capacidades en grupos de interés 33,33% 1 50% 17%
  100,00% 3   53%
VI. ACCIONES A TOMAR EN CASO DE NO CUMPLIR LA META
VII. ALINEACIÓN ESTRATÉGICA
Estrategia transversal PND -</t>
  </si>
  <si>
    <t>No se presenta avance, los ejercicios de participación se tienen previstos para el segundo semestre del año. La estrategia de rendición de cuentas para el 2021, aprobada a través del Plan Anticorrupción y de Atención al Ciudadano contempla seis (6) espacios de diálogo así:
*cuatro (4) espacios de diálogo focalizados con abogados y ambientalistas denominados ENLACE, dos por cada semestre, programados para los meses de julio y noviembre.
* una (1) Audiencia Pública Sectorial de Rendición de Cuentas liderada por el MADS, programada para el mes de octubre. 
* un (1) espacio de diálogo territorial de rendición de cuentas programado para el segundo semestre del año.
No obstante, para el Encuentro y Diálogo sobre Licenciamiento Ambiental -ENLACE- que se llevará a cabo en el mes de julio con Abogados y Ambientalistas, se realizaron las siguientes actividades durante el semestre, en cumplimiento a lo establecido en el Manual Único de Rendición de Cuentas:
Consulta de encuesta de temas de interés para la rendición de cuentas
Tabulación de resultados
Elaboración del Informe de rendición de cuentas para el espacio de diálogo
Definición de la metodología y agenda para el espacio
Remisión de invitaciones para la participación del evento.
Por otra parte, se tienen previstos dos (2) ejercicios piloto de control social (Boyacá -Antioquia). El primer Plan Piloto de Control Social se inició con la Veeduría Ciudadana para la gestión ambiental del municipio de Nobsa y con el acompañamiento de la Personería Municipal de Nobsa, la oficina de Cambio Climático de la Administración Municipal de Nobsa y CORPOBOYACÁ. Se han adelantado 3 encuentros así: presencial (22 participantes-25/03/2021), virtual (12 participantes - 22/04/2021) y virtual (6 participantes - 26/05/2021), se continuará con los encuentros del primer piloto en el segundo semestre de 2021. Porcentaje de avance 30%.</t>
  </si>
  <si>
    <t xml:space="preserve"> 
Se elaboraron las fichas de conflictividad para los municipios de Nobsa - Corrales (Boyacá), Chía - Guaduas (Cundinamarca) y Floridablanca (Santander), con un porcentaje de avance del 15%. Así mismo, se construyó la matriz de identificación de conflictos la cual cuenta con información de la región, el nombre del conflicto, el recurso afectado, el año de aparición del conflicto, tipo de conflicto, expediente, localización, actores, acciones realizadas, entre otros, con un porcentaje de avance del 15%. 
Por su parte el monitoreo de opinión realizado en el marco del paro nacional presenta un porcentaje de avance del 35%.</t>
  </si>
  <si>
    <t>En el mes de abril de 2021 se llevaron a cabo 96 acciones de pedagogía institucional en territorio. Durante el cuatrimestre, se han llevado a cabo 289 acciones.
Nota: el número de acciones de pedagogía del mes de febrero cambió de 81 a 82, teniendo en cuenta que se había identificado una (1) como reunión interinstitucional. Por lo tanto, el acumulado corresponde a 290.</t>
  </si>
  <si>
    <t>En el mes de mayo de 2021 se llevaron a cabo 103 acciones de pedagogía institucional en territorio. Durante los primeros cinco (5) meses del año, se han llevado a cabo 393 acciones de pedagogía.</t>
  </si>
  <si>
    <t>En el mes de junio de 2021 se llevaron a cabo 76 acciones de pedagogía institucional en territorio. Durante el primer semestre del año, se han llevado a cabo 469 acciones de pedagogía.</t>
  </si>
  <si>
    <t>Se llevó a cabo el primer curso de licenciamiento ambiental de la vigencia 2021 (tercera cohorte) con una duración de tres (3) meses, el cual contó con 998 inscritos, de los cuales 586 aprobaron el curso.
A continuación se listan los módulos temáticos desarrollados durante el curso:
1. Generalidades
2. Evaluación de Licencias Ambientales
3. Seguimiento a Instrumentos de Manejo y Control Ambiental
4. Plan de Gestión del Riesgo y eventos de contingencia en los procesos de evaluación y seguimiento
5. Inversión forzosa de no menos del 1%
6. Mecanismos de Participación Ciudadana Ambiental</t>
  </si>
  <si>
    <t>Se actualizó el protocolo de LINEAMIENTOS Y ACCIONES PARA LA PARTICIPACIÓN DE LA ANLA EN PROCESOS DE CONSULTA PREVIA y se elaboró el documento LINEAMIENTOS PARA LA INCLUSIÓN DE LA INFORMACIÓN RESULTADO DE LA AUDIENCIA PÚBLICA AMBIENTAL EN LOS CONCEPTOS TÉCNICOS Y ACTOS ADMINISTRATIVOS DE EVALUACIÓN Y SEGUIMIENTO, se encuentran en  proceso de adopción en el sistema integrado de gestión.</t>
  </si>
  <si>
    <t xml:space="preserve"> 
Hasta el mes de Abril de 2021 se finalizado un total de 688 actividades (DPE).  Del total de estas actividades, el 100% fueron finalizadas dentro de los términos establecidos; esto arroja un porcentaje de oportunidad del 100% para el mes de Abril de 2021. </t>
  </si>
  <si>
    <t>Durante el mes de Mayo de 2021 se finalizaron un total de 209 actividades (DPE).  Del total de estas actividades, 208 fueron finalizadas dentro de los términos establecidos. En total acumulado al mes de Mayo de 2021 se han recibido un total de 897 solicitudes, de las cuales todas las 896 han sido gestionadas dentro de los términos establecidos, lo que arroja un porcentaje de oportunidad acumulado del 99,9%.</t>
  </si>
  <si>
    <t xml:space="preserve"> 
En total acumulado al mes de Junio de 2021 se han recibido un total de 1095 solicitudes, de las cuales todas las 1094 han sido gestionadas dentro de los términos establecidos, lo que arroja un porcentaje de oportunidad acumulado del 99,9%.</t>
  </si>
  <si>
    <t>Hasta el  mes de abril se finalizaron un total de 323 actividades (ECO). Del total de estas actividades, el 100% fueron finalizadas dentro de los terminos establecidos, esto arroja un porcentaje de oportunidad del 100% hasta el mes de abril de 2021</t>
  </si>
  <si>
    <t>Para el reporte del mes de mayo se realizo el ajuste y se presenta totalidad de ecos tramitados por al entidad. Durante el mes de Mayo de 2021 se presentaron un total de 135 actividades (ECO).  Del total de estas actividades, 120 fueron finalizadas dentro de los términos establecidos; esto arroja un porcentaje de oportunidad del 100% para el mes de Mayo. En total acumulado al mes de Mayo de 2021 se han recibido un total de 694 solicitudes, de las cuales todas las 643 han sido gestionadas dentro de los términos establecidos, lo que arroja un porcentaje de oportunidad acumulado del 100%.</t>
  </si>
  <si>
    <t>En el mes de Junio se recibieron 136 solicitudes por parte de los Entes de Control, para tener un acumulado en el presente año de 836 solicitudes y se contestaron por parte de toda la entidad en lo que va del presente año un total de 780. El reporte de oportunidad se mantiene en 100%</t>
  </si>
  <si>
    <t xml:space="preserve"> 
A la fecha, la entidad cuenta con 5 proyectos o programas vigentes de cooperación internacional.  Durante el segundo trimestre se ha firmado el “PACTO PARA LA EJECUCIÓN DEL PROGRAMA PETRÓLEO PARA EL DESARROLLO”, se adjunta evidencia.</t>
  </si>
  <si>
    <t>Para el mes de abril la Entidad respondió 983  peticiones, quejas, reclamos y sugerencias ordinarias, todas dentro de los terminos legales, es decir, un porcentaje de cumplimiento del 100%. Las peticiones ordinarias atendidas dentro de los términos, con corte a 30 de abril fueron 4241, de un total de 4246, representando un porcentaje de cumplimiento acumulado del 99,9%, en razón, al vencimiento de 5 peticiones ( Enero: 2 y Febrero: 3).
Téngase en cuenta que por disposición del artículo 5° del Decreto Legislativo 491 del 28 de marzo de 2020, se ampliaron los términos de respuesta para atender los derechos de petición.</t>
  </si>
  <si>
    <t xml:space="preserve"> 
Para el mes de mayo la Entidad respondió 1031 peticiones, quejas, reclamos y sugerencias ordinarias, de las cuales tuvo un (1) vencimiento, es decir, un porcentaje de cumplimiento del 99,9%. Las peticiones ordinarias atendidas dentro de los términos, con corte a 31 de mayo fueron 5288, de un total de 5294, representando un porcentaje de cumplimiento acumulado del 99,9%, en razón, al vencimiento de 6 peticiones ( Enero: 2; Febrero: 3 y Mayo:1).
Téngase en cuenta que por disposición del artículo 5° del Decreto Legislativo 491 del 28 de marzo de 2020, se ampliaron los términos de respuesta para atender los derechos de petición.</t>
  </si>
  <si>
    <t>Para el mes de junio la Entidad respondió 966 peticiones, quejas, reclamos y sugerencias ordinarias, de las cuales cinco (5) se respondieron fuera de término, es decir, un porcentaje de cumplimiento del 99,5%.
Las peticiones ordinarias atendidas dentro de los términos, en el primer semestre de la vigencia fueron 6263, de un total de 6274, representando un porcentaje de cumplimiento acumulado del 99,8%, en razón, a la respuesta fuera de término de 11 peticiones ( Enero: 2; Febrero: 3; Mayo:1; Junio: 5).
Nota: Se actualiza la información reportada durante el primer semestre, el cuál arrojó una variación de treinta y un (31) registros adicionales que no fueron reportados en los meses de marzo, abril y mayo, en razón a reasignaciones y respuestas no asociadas al radicado inicial; situación que no afectó el porcentaje de cumplimiento reportado en los meses anteriores.
Téngase en cuenta que por disposición del artículo 5° del Decreto Legislativo 491 del 28 de marzo de 2020, se ampliaron los términos de respuesta para atender los derechos de petición.</t>
  </si>
  <si>
    <t xml:space="preserve"> 
1183 usuarios calificaron la atención brindada a travé del canal chat como BUENA , entre tanto 31 calificaron como MALA la atención recibida, lo que corresponde a un porcentaje de satisfacción del 97%</t>
  </si>
  <si>
    <t xml:space="preserve"> 
1738 usuarios calificaron la atención brindada a traves de los canales telefónico, chat, chatbot y presencial como BUENA, entre tanto 50 calificaron como MALA la atención recibida, lo que corresponde a un porcentaje de satisfacción del 97,2%.</t>
  </si>
  <si>
    <t xml:space="preserve"> 
En el mes de abril se recibió 1 reclamo, para un consolidado de 13 en el cuatrimestre, lo que corresponde a que se han reducido el 92% de las Quejas y Reclamos con respecto al total del 2020.</t>
  </si>
  <si>
    <t xml:space="preserve">En el mes de mayo se recibieron 4 reclamos, para un consolidado de 17 entre el 1° de enero y 31 de mayo, lo que corresponde a que se ha reducido en un 90% las Quejas y Reclamos con respecto al total del 2020. Se da alcance teniendo en cuenta que se contó una (1) sugerencia, que no se debe reportar en el indicador. </t>
  </si>
  <si>
    <t>En el mes de junio se recibieron 3 reclamos, para un consolidado de 20 entre el 1° de enero y el 30 de junio de 2021, lo que corresponde a que se ha reducido en un 88,1% las Quejas y Reclamos con respecto al total reibidos en la vigencia 2020.</t>
  </si>
  <si>
    <t>Los resultados de la satisfacción de los usuarios frente a los trámites y servicios que adelantan en la Entidad, arrojaron un 85,6% de satisfacción general.</t>
  </si>
  <si>
    <t xml:space="preserve">En abril se evaluaron 94 acciones de las cuales se cerraron 86 (91.4). El acumulado es 164 acciones evaluadas y cerradas 151 (92). </t>
  </si>
  <si>
    <t>En el mes de mayo se evaluaron 129 acciones, de las cuales se cerraron 124. El acumulado resulta de 293 acciones evaluadas de las cuales se cerraron 275, es decir, el 93.8%.</t>
  </si>
  <si>
    <t>En el mes de junio se realizó la evaluación de 129 acciones de las cuales se cerraron 123. El acumulado corresponde a la evaluación de 422 acciones de las cuales se han cerrado 398, es decir el 94.3%.</t>
  </si>
  <si>
    <t xml:space="preserve"> 
En abril se realizó la evaluación de 93 acciones de las cuales se cerraron 86 (92.4). El acumulado es 149 acciones evaluadas de las cuales se cerraron 140 (93.9).</t>
  </si>
  <si>
    <t xml:space="preserve">En el mes de mayo de 2021 se evaluaron 125 acciones de, las cuales se cerraron 121, es decir el 96.8%. El acumulado es 274 acciones evaluadas de las cuales se cierran 261, es decir, el 95.2%. </t>
  </si>
  <si>
    <t xml:space="preserve"> 
En el mes de junio se realizó la evaluación de 88 acciones de las cuales 85 fueron positivas. El acumulado hace referencia a 362 acciones evaluadas de las cuales se han cerrado 346, para una efectividad del 95.5%</t>
  </si>
  <si>
    <t>En abril se evaluó 1 acción y no fue cerrada (avance 0). El acumulado es evaluadas 15 con cierre 11 (73.3)</t>
  </si>
  <si>
    <t>En el mes de mayo se evaluaron 4 acciones y se cerraron 3. El acumulado resulta de 19 acciones evaluadas de las cuales se cerraron 14, es decir, un 73.6%.</t>
  </si>
  <si>
    <t>En el mes de junio se evaluaron 41 acciones de las cuales se realizó el cierre de 38. El acumulado corresponde a la evaluación de 60 acciones de las cules se cerraron 52, es decir, el 86.6%.</t>
  </si>
  <si>
    <t>JULIO</t>
  </si>
  <si>
    <t>AGOSTO</t>
  </si>
  <si>
    <t>SEPTIEMBRE</t>
  </si>
  <si>
    <t>OCTUBRE</t>
  </si>
  <si>
    <t>NOVIEMBRE</t>
  </si>
  <si>
    <t>DICIEMBRE REAL</t>
  </si>
  <si>
    <t>.</t>
  </si>
  <si>
    <t>GSP</t>
  </si>
  <si>
    <t>DIRECCIÓN</t>
  </si>
  <si>
    <t>N.A.</t>
  </si>
  <si>
    <t>24 acciones o herramientas Ev001: Desarrollo de backend de validación de estructura de MAG (Esquema 2182, Topología, Relaciones, Coordenadas de Puntos, Áreas de Polígonos, Sistema de Referencia, Atributos Obligatorios).
Ev002: Integración en el frontend con los resultados de los validadores.
Ev003: Estructuración de Informe de Cargue para los estudios cargados con la aplicación.
Ev004: Soportes en AGIL para la consulta de proyectos en evaluación y seguimiento de Puerto WIlches, Santander.
Ev005: Soporte en AGIL para descarga de proyectos a Shp.
Ev006: Creación de Usuario de Consulta Planet
Ev007: Construcción de Basemap para tableros de control
Ev008: Servicio de imágenes de DigitalGlobe-Image Conect
Ev009: Transferencia ArcGIS Enterprise ANLA, Ambiente Productivo
Ev010: Revisión cargue WEB MAG articulación Centro monitoreo y vedas
Ev011: Mesa de trabajo articulación cargue WEB MAG, centro monitoreo y vedas
Ev012: Administración Base de Datos en Servidores Power 8
Ev013: ANLA - Socialización Banco de Imágenes
Ev014: Revisión de cargue MAG
Ev015: Revisión almacenamiento para modelo YNC
Ev016: Generación listado para requerimiento de proyectos de las Líneas de Transmisión y Torres Eléctricas - ANLA.msg
Ev017: Generación de archivos shapefile de Líneas de Transmisión Licenciadas y Torres.msg
Ev018: Atención solicitud de revisión y ajuste de georreferenciación de proyecto licenciado LAM2432.msg
Ev019: Identificación de acciones en proceso VPD para correcto funcionamiento de herramienta ‘Consultar Proyecto en Evaluación’ en AGIL.msg
Ev020: Actualización contenido del servicio Compensaciones e inversiones en AGIL.msg
Ev021: Diagrama de proceso GESTIÓN INFORMACIÓN RECURSO HÍDRICO versión 3.msg
Ev022: Presentación Capacitacion_AGIL_Externo.msg
Ev023: Capacitación AGIL nivel 1.PNG
Ev024: Capacitación AGIL nivel 2 - Grupo Alto Magdalena - Cauca.PNG
Formula: 24 Herramientas o Acciones implmentadas/ 24 Herramientas o Acciones Aceptadas = 100%</t>
  </si>
  <si>
    <t>Se calcula el valor del indicador, teniendo en cuenta los % de avance y ponderaciones a cada indicador del índice, alcanzando el 81% al mes de abril de la vigencia</t>
  </si>
  <si>
    <t>No se presenta avance en el mes, toda vez que se esta revaluando las fases de SILA II que se realizaran en la vigencia 2021. Se sugiere realizar analisis de requerimientos únicamente, pero de manera articulada y en relación con la realidad de la ANLA</t>
  </si>
  <si>
    <t>2021_03 Ev001: 11093 Actualizar datos Tablero Control Conectante C1-C2
2021_03 Ev002: 11651 Adicionar datos Tablero Control Doña Juana
2021_03 Ev003: 11996 Adicionar datos Tablero Control Doña Juana
2021_04 Ev004: Plantilla tableros de control centro de monitoreo
2021_04 Ev005: Construcción de Basemap para tableros de control
Formula: 5 Actualizaciones realizadas / 5 Actualizaciones solicitadas</t>
  </si>
  <si>
    <t xml:space="preserve">Se ha avanzado en:
</t>
  </si>
  <si>
    <t>No se han materializado ataques contra los servicios tecnológicos de la entidad a abril</t>
  </si>
  <si>
    <t>De las 27 adquisiciones propuestas para 2021, 4 ya se encuentran implementadas y en funcionamiento con licencimianto, soporte y garantia. Adicionalmente ya se presenta avance en 2 procesos del colocation que da un avance del 18,64</t>
  </si>
  <si>
    <t>1.123 Solicitudes Atendidas / 1.253 Solicitudes recibidas = 89,6% en el mes de abril de 2021</t>
  </si>
  <si>
    <t xml:space="preserve">6 RFC de marzo + 8 RFC de Abril = 14 RFC Acumulados
RFC: Documento para solicitar despliegue en producción de ajustes o mejoras a los aplicativos de la ANLA
</t>
  </si>
  <si>
    <t>Se finalizaron dos proyectos estrategicos priorizados en 2020:
Ajustes tablero de control, procesos judiciales
Formulario único de Beneficios Tributarios</t>
  </si>
  <si>
    <t>Sin avance en este nes, ya que los proyectos se priorizaron a mediados de abril.</t>
  </si>
  <si>
    <t>El avance del plan de seguridad de la información se toma de las actividades establecidas en el "Plan de seguridad digital" donde se evidencia un avance a corte de ABRIL de 25,12%</t>
  </si>
  <si>
    <t>Se realizó el documento de entendimiento para identificar tendencias y posibles proveedores para la realización de pruebas de concepto de tecnologías de la revolución 4.0, del plan de trabajo, (EQUIVALENTE A 6%) + Presentación de propuesta y aprobación del comité directivo de la implementación de computación en la nube para el fortalecimiento de la Infraestructura. Revisión de paso a paso y documentos Acuerdo Marco de Precios (EQUIVALENTE AL 10%)</t>
  </si>
  <si>
    <t>El cálculo se basa en el uso de los sitemas más utilizados en la entidad:
SILA: 822/1324
SIGPRO: 328/1343
Formula: (822+328)/(1324+1343) = 43%
Avance 43% frente a la meta</t>
  </si>
  <si>
    <t xml:space="preserve">28 Herramientas o Acciones implmentadas/ 28 Herramientas o Acciones Aceptadas = 100%
Ev001: Desarrollo de backend de validación de estructura de MAG (Esquema 2182, Topología, Relaciones, Coordenadas de Puntos, Áreas de Polígonos, Sistema de Referencia, Atributos Obligatorios).
Ev002: Implementar Script y servicio para consumir con el fin de estructurar los datos en File GDB y evitar usar la licencia de Data Reviewer for Server.
Ev003.Realizar la transacción de datos de envío y llegada entre el servidor de la aplicación (pruebas) y el file server en donde se alojarán las bases de datos geográficas.
Ev004: Esquema de integración del aplicativo de monitoreos, cargaWebMAG y geoportal.
Ev005: Se realiza la publicación de los geoprocesos que se ven intervenidos en la validación de la data geográfica.
Ev006: Se integra en el frontend la respuesta de los geoprocesos resultantes de las validaciones.
Ev007: Estadísticas de crecimiento GDB postgres en ANBOGSIGBD
Ev008: Archivo consolidado para Perfilamiento de Datos Geográficos
Ev009: Dudas sobre el Diccionario Datos MAG YNC PPI
Ev010: Propuesta plan para perfilamiento de datos
Ev011: Cambio de DB de la app SDE
Ev012: Optimización y republicación servicio Resultados ONG
Ev013: Alcance de la revisión topológica para el piloto radicación web PPII-YNC
Ev014: Solicitudes resueltas (16) de acceso a consultas de AGIL
Ev015: Capacitación Procuraduría plataforma AGÍL Y VITAL
Ev016: Capacitación ÁGIL nivel 1
Ev017: Séptima sesión virtual Entérese del manejo del Sistema ÁGIL
Ev018: Archivos para definición validador en línea info. geográfica PPII-YNC
Ev019: Enlace descarga GDB expedientes de hidrocarburos LAV0020-00-2018 y LAV0032-00-2019
Ev020: Diagrama de proceso GESTIÓN INFORMACIÓN RECURSO HÍDRICO versión 4
Ev021: Diagrama de proceso GESTIÓN INFORMACIÓN RECURSO HÍDRICO versión 5
Ev022: Consolidación GDB LÍNEAS ELÉCTRICAS_1ra parte
Ev023: Consolidación GDB LÍNEAS ELÉCTRICAS_2da parte
Ev024: Revisión y entrega información expedientes Energía
Ev025: Archivo Perfilamiento de Datos para Articulación Gestión Información Geográfica
Ev026: Actualización en AGIL de GDB de inversión y compensaciones
Ev027: Georreferenciación línea proyecto LAM1818 y disposición en AGIL
Ev028: Atención e indicaciones sobre información geoespacial del tema Área Influencia en AGIL" 100% </t>
  </si>
  <si>
    <t>Se calcula el valor del indicador, teniendo en cuenta los % de avance y ponderaciones a cada indicador del índice, alcanzando el 94% al mes de mayo de la vigencia</t>
  </si>
  <si>
    <t>La dependencia ha avanzado en un 37,57% del plan de trabajo establecido para el cumplimiento de las apuestas del PETI en 2021</t>
  </si>
  <si>
    <t xml:space="preserve">Sin avance </t>
  </si>
  <si>
    <t>La dependencia ha avanzado en un 27% del plan de trabajo establecido para el cumplimiento de las apuestas del PETI en 2021</t>
  </si>
  <si>
    <t>2021_03 Ev001: 11093 Actualizar datos Tablero Control Conectante C1-C2
2021_03 Ev002: 11651 Adicionar datos Tablero Control Doña Juana
2021_03 Ev003: 11996 Adicionar datos Tablero Control Doña Juana
2021_04 Ev004: Plantilla tableros de control centro de monitoreo
2021_04 Ev005: Construcción de Basemap para tableros de control
Formula: 5 Actualizaciones realizadas / 5 Actualizaciones solicitadas (en mayo no se recibieron solicitudes, se mantiene avance)</t>
  </si>
  <si>
    <t>16 acciones ejecutadas/50 acciones proyectadas= 32% (en mayo no presenta avance)
2021_02 Ev001: Publicación de Núcleos de Deforestación
2021_02 EV002: Publicación del servicio Regionalización Guajira 2021
2021_02 EV003: Publicación del servicio Regionalización Mojana
2021_02 EV004: Publicación del servicio Regionalización Rio Bogotá
2021_02 EV005: Publicación del servicio Regionalización Tribuga
2021_03 Ev001: Publicación de Ocupaciones de Cauce
2021_03 Ev002: Publicación de Captaciones de Agua Superficial (puntos)
2021_03 Ev003: Publicación de Captaciones de Agua Superficial (tramos)
2021_03 Ev004: Publicación de Vertimientos en Fuente Superficial (puntos)
2021_03 Ev005: Publicación de Vertimientos en Fuente Superficial (tramos)
2021_03 Ev006: Publicación de Aspersión en Vía (Gestión Residuos Líquidos)
2021_03 Ev007: Publicación de Vertimiento en Suelo
2021_03 Ev008: Publicación de Punto de Muestreo de Agua Superficial
2021_03 Ev009: Publicación de Captaciones de Agua Subterránea
2021_03 Ev010: Publicación de Punto de Muestreo de Agua Subterránea
2021_03 Ev011: Publicación de Inyección</t>
  </si>
  <si>
    <t xml:space="preserve">Se han finalizado 5 de los 27 procesos de adquisición de equipos de hardware y/o herramientas de software planeados
</t>
  </si>
  <si>
    <t>El día 5 de mayo en horas de la noche se presentó un ataque de denegación de servicios contra el protal web de la entidad, lo cual generó la indisponibilidad de la misma.
Nota: Se incluye el reporte del incidente y el acta de la reunión de revisión realizada antes de la presentación del incidente.</t>
  </si>
  <si>
    <t>De las 27 adquisiciones propuestas para 2021, 5 ya se encuentran implementadas y en funcionamiento con licencimianto, soporte y garantia. Adicionalmente ya se presenta avance en 2 procesos del colocation que da un avance del 18,64</t>
  </si>
  <si>
    <t>1036 solicitudes resueltas en primera línea / 1183 solicitudes recibidas a través de Mesa de Ayuda acumulada en el periodo de mayo</t>
  </si>
  <si>
    <t>Se adjunta cuadro en excel (pestaña Proyectos Completados 2021) con relación de 15 RFCs implementados en el mes de Mayo de 2021 para un total acumulado de  51 en el año 2021. ( Archivo Seguimiento a Proyectos con corte a 20210531.xls pestaña Proyectos completados 2021)</t>
  </si>
  <si>
    <t>Al mes de mayo se tienen 3 proyectos priorizados en fase de despliegue.</t>
  </si>
  <si>
    <t>Se priorizaron 34 proyectos, de los cuales el porcentaje de avance es de 30%, que corresponden al promedio de los avances individuales de los 19 proyectos en curso (ver pestaña Proyectos en Curso de la tabla adjunta.</t>
  </si>
  <si>
    <t>El avance del plan de seguridad de la información se toma de las actividades establecidas en el "Plan de seguridad digital" donde se evidencia un avance a corte de mayo de 35,58%</t>
  </si>
  <si>
    <t>Se realizó el documento de entendimiento para identificar tendencias y posibles proveedores para la realización de pruebas de concepto de tecnologías de la revolución 4.0, del plan de trabajo, (EQUIVALENTE A 6%) + Se definió la estrategia de implementación de tecnologías emergentes en el marco del componente de Transformación Digital del Nuevo PETI (EQUIVALENTE AL 15%)</t>
  </si>
  <si>
    <t>El cálculo se basa en el uso de los sitemas más utilizados en la entidad:
SILA: 883 / 1437 = 61.45%
SIGPRO: 299 / 1437 = 20.81%
GESPRO: 169 / 1437 = 11.76%
SPGI: 78 / 93 = 83.87%
GESRIESGOS: 42 / 69 = 60.86%
OELA: 45/69 = 65.21%
OESA: 23/46 = 50%
Promedio 50.56%</t>
  </si>
  <si>
    <t xml:space="preserve">28 Herramientas o Acciones implmentadas/ 28 Herramientas o Acciones Aceptadas = 100% (en junio no presentó avance, se mantiene avance a mayo)
Ev001: Desarrollo de backend de validación de estructura de MAG (Esquema 2182, Topología, Relaciones, Coordenadas de Puntos, Áreas de Polígonos, Sistema de Referencia, Atributos Obligatorios).
Ev002: Implementar Script y servicio para consumir con el fin de estructurar los datos en File GDB y evitar usar la licencia de Data Reviewer for Server.
Ev003.Realizar la transacción de datos de envío y llegada entre el servidor de la aplicación (pruebas) y el file server en donde se alojarán las bases de datos geográficas.
Ev004: Esquema de integración del aplicativo de monitoreos, cargaWebMAG y geoportal.
Ev005: Se realiza la publicación de los geoprocesos que se ven intervenidos en la validación de la data geográfica.
Ev006: Se integra en el frontend la respuesta de los geoprocesos resultantes de las validaciones.
Ev007: Estadísticas de crecimiento GDB postgres en ANBOGSIGBD
Ev008: Archivo consolidado para Perfilamiento de Datos Geográficos
Ev009: Dudas sobre el Diccionario Datos MAG YNC PPI
Ev010: Propuesta plan para perfilamiento de datos
Ev011: Cambio de DB de la app SDE
Ev012: Optimización y republicación servicio Resultados ONG
Ev013: Alcance de la revisión topológica para el piloto radicación web PPII-YNC
Ev014: Solicitudes resueltas (16) de acceso a consultas de AGIL
Ev015: Capacitación Procuraduría plataforma AGÍL Y VITAL
Ev016: Capacitación ÁGIL nivel 1
Ev017: Séptima sesión virtual Entérese del manejo del Sistema ÁGIL
Ev018: Archivos para definición validador en línea info. geográfica PPII-YNC
Ev019: Enlace descarga GDB expedientes de hidrocarburos LAV0020-00-2018 y LAV0032-00-2019
Ev020: Diagrama de proceso GESTIÓN INFORMACIÓN RECURSO HÍDRICO versión 4
Ev021: Diagrama de proceso GESTIÓN INFORMACIÓN RECURSO HÍDRICO versión 5
Ev022: Consolidación GDB LÍNEAS ELÉCTRICAS_1ra parte
Ev023: Consolidación GDB LÍNEAS ELÉCTRICAS_2da parte
Ev024: Revisión y entrega información expedientes Energía
Ev025: Archivo Perfilamiento de Datos para Articulación Gestión Información Geográfica
Ev026: Actualización en AGIL de GDB de inversión y compensaciones
Ev027: Georreferenciación línea proyecto LAM1818 y disposición en AGIL
Ev028: Atención e indicaciones sobre información geoespacial del tema Área Influencia en AGIL" 100% </t>
  </si>
  <si>
    <t>Se calcula el valor del indicador, teniendo en cuenta los % de avance y ponderaciones a cada indicador del índice, alcanzando el 93,01% al mes de junio de la vigencia</t>
  </si>
  <si>
    <t>La dependencia ha avanzado en un 42,44% del plan de trabajo establecido para el cumplimiento de las apuestas del PETI en 2021</t>
  </si>
  <si>
    <t>9 solicitudes de actualización de tableros de control geoespacial atendidos / 9 solicitudes de actualización de  tableros de control geoespacial recibidas = 100%
Ev001: Reunión Tablero de Control Conectante
Ev002: CONCECTANTE C1-C1 actualizado
Ev003: Solicitud - cargue de información Tablero de Control proyecto Conectante C1-C2
Ev004: actualizar enlace  del dashboard Conectante C1-C2
Ev005: R Tablero de control
Ev006: Tabla Estandarizada Ruta del Cacao
Ev007: Tablas Tablero Control - Ruta Cacao
Ev008: Traslado de Tablero de ECOS en el portal
Ev009: Datos para el tablero METEOROLOGIA del proyecto Doña Juana</t>
  </si>
  <si>
    <t>A corte de junio 27 acciones ejecutadas/50 acciones proyectadas= 54%</t>
  </si>
  <si>
    <t>Para el mes de junio, de un total de 27 contratos, se presenta un avance de 10 procesos adjudicados tal como se plasma en la última columna de la tabla precedente. Para el siguiente reporte se solicitará la modificación de la metodología de medición.</t>
  </si>
  <si>
    <t>Según los pesos del licenciamiento, soporte y garantía:
% de avance = 40 (sumatoria herramientas con licencias, soporte y/o garantia) / 108 (sumatoria todos las herramientas planeadas por adquirir) = 37.03%</t>
  </si>
  <si>
    <t>Porcentaje de servicios de soporte informático atendidos Junio = Cantidad de solicitudes resueltas en primera línea / Cantidad total de solicitudes recibidas a través de Mesa de Ayuda acumulada en el periodo = 939/1079 = 87.02%</t>
  </si>
  <si>
    <t>Total acumulado de 5 actualizaciones y/o ajustes a las herramientas existentes. Adicionalmente según las fechas de los despliegues realizados se tiene:
Febrero: 1
Marzo: 4
Abril: 0
Mayo: 0 
Junio: 0</t>
  </si>
  <si>
    <t>Al mes de junio se tienen 9 proyectos priorizados en fase de despliegue.</t>
  </si>
  <si>
    <t>Se priorizaron 34 proyectos, de los cuales el porcentaje de avance es de 33.67%, que corresponden al promedio de los avances individuales de los 19 proyectos en curso (ver pestaña Proyectos en Curso de la tabla adjunta.</t>
  </si>
  <si>
    <t>El avance del plan de seguridad de la información se toma de las actividades establecidas en el "Plan de seguridad digital" donde se evidencia un avance a corte de mayo de 40,62%</t>
  </si>
  <si>
    <t xml:space="preserve">El avance de las actividades del plan de tratamiento de riesgos plasmado en la tabla llamada "PLan tratamiento riesgos" 63% actividad que presenta avance "GESTIÓN DE RIESGOS DE SEGURIDAD Y LA PRIVACIDAD DE LA INFORMACIÓN </t>
  </si>
  <si>
    <t>Se registra un avance del 59% de avance del plan de trabajo del Plan de tecnologías emergentes</t>
  </si>
  <si>
    <t>El cálculo se basa en el uso de los sitemas más utilizados en la entidad:
SILA: 908 / 1440 = 63.05%
SIGPRO: 375 / 1440 = 26.04%
GESPRO: 192 / 1440 = 13.33%
SPGI: 71 / 94 = 75531%
GESRIESGOS: 24 / 72 = 33.33 %
OELA: 42/71 = 59.15%
OESA: 16/47 =34.04%
Promedio = 43,49%</t>
  </si>
  <si>
    <t>Para el mes de abril se realizaron 11 oralidades, 9 autos y 1 resolución para un total de 21 actos administrativos.</t>
  </si>
  <si>
    <t>A corte 30 de abril de 2021 se han expedido 85 actos administrativos, los cuales 78 corresponden a vigencia actual y 7 a rezagos vigencia 2020</t>
  </si>
  <si>
    <t>Para el mes de abril la región de MMCC realizo 11 actas 4 autos y 3 resoluciones, el acumulado para el mes de abril es de 39 actos administrativos, (conformados por 25 actas, 8 autos y 6 resoluciones), de las 298 programadas como meta.
Es importante recordar que la región de MMCC no contempla rezagos 2020.</t>
  </si>
  <si>
    <t>A corte 30 de abril del 2021, la Región Orinoquia Amazonas, expidió 62 actos administrativos que acogen el seguimiento a proyectos licenciados, de los cuales 18 actos administrativos corresponden a rezagos vigencia 2020 y 44 actos administrativos corresponden a vigencia actual</t>
  </si>
  <si>
    <t>A corte de 30 de abril de 2021 el grupo (Seguimiento) de Agroquímicos y Proyectos Especiales ha expedido 184 actos administrativos, para un total de 503 actos administrativo-acumulados en el año 2021 de 1584 programados como meta.
Cabe mencionar que en el mes de marzo no se incluyó 1 (uno) acto admirativo, por lo tanto, fueron sumados en el mes de abril.</t>
  </si>
  <si>
    <t>Al mes de abril de 2021 se emitieron 744 actos administrativos, de los cuales 710 son vigencia 2021 (547 autos, 147 oralidades y 16 resolución) y 34 son rezagos (24 Autos y 10 Oralidades)</t>
  </si>
  <si>
    <t>A corte de 30 de abril se han aprobado 349  proyectos licenciados objeto de seguimiento con Seguimiento Documental Espacial.  Ahora bien en atención a lo observado por Cindy Huertas, se ajusta el adjunto cambiando el nombre de las filas: "Proyectos con Índice de Desempeño Ambiental en implementación".
Es de destacar, que no existe ningún cambio o impacto en los valores PAI reportados.</t>
  </si>
  <si>
    <t>A corte de 30 de abril se han aprobado 349  proyectos licenciados objeto de seguimiento con Seguimiento Documental Espacial.  Ahora bien en atención a lo observado por Cindy Huertas, se ajusta el adjuntocambiando el nombre de las filas: "Proyectos con Índice de Desempeño Ambiental en implementación".
Es de destacar, que no existe ningún cambio o impacto en los valores PAI reportados.</t>
  </si>
  <si>
    <t>En abril hubo pronunciamiento acumulado sobre 1059  informes de cumplimiento ambiental verificados preliminarmente, frente a 1189 informes de cumplimiento ambiental radicados por los titulares de los proyectos, es decir un 89% de gestión. Se hizo ajuste del ajunto teniendo en cuenta que este indicador es acumulativo</t>
  </si>
  <si>
    <t>A corte del 30 de abril se han aprobado un total de 2098,05 hectaréas  para desarrollar acciones de conservación, preservación y restauración con cargo al 1% y la compensación ambiental en las áreas habilitadas por la estrategia para Compensación y 1%</t>
  </si>
  <si>
    <t>A corte de 30 de abril se Número 55 conceptos técnicos de seguimiento  con participación del equipo de valoración económica sobre 56 conceptos técnicos de seguimiento asignados al equipo de valoración económica</t>
  </si>
  <si>
    <t xml:space="preserve">A corte del 30 de abril se han emitido 4 Actos administrativos administrativos que acogen el seguimiento realizado a los expedientes priorizados de contingencias operacionales recurrentes. </t>
  </si>
  <si>
    <t>Para el mes de abril se realizaron 11 visitas, 3 guiadas y 8 presenciales, se reportan dos visitas guiadas de marzo correspondientes a los expedientes LAM6061 y LAM2980, que no fueron reportadas en marzo</t>
  </si>
  <si>
    <t>Para el mes de abril se realizaron 9 conceptos técnicos con visita</t>
  </si>
  <si>
    <t>Para el mes de abril se realizaron 9 conceptos técnicos documentales.</t>
  </si>
  <si>
    <t>Para el mes de abril se realizaron 11 reuniones de control y seguimiento ambiental, 9 autos y 1 resolución para un total de 21 actos administrativos.</t>
  </si>
  <si>
    <t>A corte 30 de abril de 2021 la Región realizó 56 visitas de seguimiento presencial y 31 visitas guiadas.</t>
  </si>
  <si>
    <t>A corte 30 de abril de 2021 la Región elaboró 60 CT con visita</t>
  </si>
  <si>
    <t xml:space="preserve">A corte 30 de abril de 2021 la Región elaboró 34 CT documental de seguimiento   </t>
  </si>
  <si>
    <t>A corte del 30 de abril de 2021 se tiene un avance de 71% de oralidades, correspondiente a 60 actas ejecutadas.</t>
  </si>
  <si>
    <t>Para el mes de abril la región de MMCC realizo 22 visitas (4 presenciales y 14 guiadas), el acumulado para el mes de abril es de 63 visitas (17 presenciales, 46 guiadas), de las 212 programadas como meta.
Es importante recordar que la región de MMCC no contempla rezagos 2020.</t>
  </si>
  <si>
    <t>Para el mes de abril la región de MMCC realizo 14 conceptos técnicos con visita, el acumulado para el mes de abril es de 32 conceptos técnicos con visitas, de las 212 programadas como meta.
Es importante recordar que la región de MMCC no contempla rezagos 2020</t>
  </si>
  <si>
    <t>Para el mes de abril la región de MMCC realizo 4 conceptos técnicos documentales, el acumulado para el mes de abril es de 16 conceptos técnicos documentales, de los 86 programados como meta.
Es importante recordar que la región de MMCC no contempla rezagos 2020</t>
  </si>
  <si>
    <t>Para el mes de abril la región de MMCC presidio 11 Actas, el acumulado al mes de abril es de 25 Actas (Avance del 64%), los actos administrativos totales son 39 (conformados por 25 actas, 8 autos y 6 resoluciones). de los 298 Programados.
Es importante recordar que la región de MMCC no contempla rezagos 2020.</t>
  </si>
  <si>
    <t>A corte 30 de abril del 2021, la Región Orinoquia Amazonas realizó 65 visitas, de los cuales 26 corresponden a visitas presenciales, y 39 corresponden a visitas Guiadas</t>
  </si>
  <si>
    <t>A corte 30 de abril del 2021, la Región Orinoquia Amazonas, expidió 36 CT con visita, de los cuales 23 corresponden a CT de visitas guiadas y 13 corresponde a CT de visita presencial.</t>
  </si>
  <si>
    <t>A corte 30 de abril del 2021, la Región Orinoquia Amazonas, expidió 27 CT documental.</t>
  </si>
  <si>
    <t>A corte 30 de abril del 2021, la Región Orinoquia Amazonas expidió 41 Actas de Oralidad de las cuales 6 actas corresponden a rezagos vigencia 2020 y 35 actas corresponden  a vigencia actual.</t>
  </si>
  <si>
    <t>A corte de 30 de abril de 2021 el grupo (Seguimiento) de Agroquímicos y Proyectos Especiales ha realizado 149 conceptos técnicos, para un total de 539 conceptos técnicos acumulados en el año 2021 de 1584 programados como meta.</t>
  </si>
  <si>
    <t>No Aplica actualmente el indicador para este Grupo por eso se reporta 0%. TRIMESTRAL</t>
  </si>
  <si>
    <t>Durante el mes abril de 2021 se realizaron 266 visitas, de las cuales 138 fueron presenciales y 128 guiadas</t>
  </si>
  <si>
    <t>Al mes de abril de 2021, se realizaron 800 conceptos técnicos, los cuales fueron 637 documentales y 163 con visita</t>
  </si>
  <si>
    <t>Durante el mes de abril de 2021 se tuvo un avance del 65% en las oralidades, dado que de los 241 actos administrativos generados por los grupos Alto Magdalena-Cauca, Caribe - Pacifico, Magdalena Medio - Cauca – Catatumbo y Orinoquia – Amazonas, 157 fueron por Oralidad.</t>
  </si>
  <si>
    <t xml:space="preserve">Al mes de abril de 2021, se realizó seguimiento a 178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</si>
  <si>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abril se realizó seguimiento a 21 proyectos en construcción de los 141 identificados en esta etapa.</t>
  </si>
  <si>
    <t>A 30 de abril se avanzó en 105  conceptos técnicos numerados que incluyen el componente de compensación e inversión del 1% en etapa de seguimientos sobre 115  conceptos técnicos revisados por profesionales del equipo de compensación e inversión del 1% en etapa de seguimiento. Acorde a las observaciones se hizo ajuste de las fechas de la columna L de la pestaña denominada "Indicador 1" dado que algunas estaban traslocadas por lo que no coincidia el reporte. Se hizose modificación del adjunto porque el concepto técnico 1120 del LAM0443 se encuentra repetido</t>
  </si>
  <si>
    <t>A corte del 30 de abril se han numerado el 75% de los conceptos técnicos de seguimiento con participación del equipo de contingencias es decir 103 Conceptos finalizados sobre 138 asignados</t>
  </si>
  <si>
    <t>Para el mes de mayo se realizaron 12 oralidades, 9 autos de seguimiento y 1 resolución para un total de 22 actos administrativos.</t>
  </si>
  <si>
    <t>A corte 31 de mayo se han expedido 121 actos administrativos, los cuales 114 corresponden a vigencia actual y 7 a rezagos vigencia 2020.</t>
  </si>
  <si>
    <t>Para el mes de mayo la región de MMCC realizo 9 actas 8 autos y 1 resoluciones, el acumulado para el mes de mayo es de 57 actos administrativos, (conformados por 34 actas, 16 autos y 7 resoluciones), de las 298 programadas como meta.
Es importante recordar que la región de MMCC no contempla rezagos 2020.</t>
  </si>
  <si>
    <t>A corte 31 de mayo del 2021, la Región Orinoquia Amazonas, expidió 92 actos administrativos que acogen el seguimiento a proyectos licenciados, de los cuales 18 actos administrativos corresponden a rezagos vigencia 2020 y 74 actos administrativos corresponden a vigencia actual.</t>
  </si>
  <si>
    <t>A corte de 31 de mayo de 2021 el grupo (Seguimiento) de Agroquímicos y Proyectos Especiales ha expedido 145 actos administrativos, para un total de 649 actos administrativo-acumulados en el año 2021 de 1584 programados como meta.</t>
  </si>
  <si>
    <t>Al mes de mayo de 2021 se emitieron 996 actos administrativos, de los cuales 962 son vigencia 2021 (728 autos, 204 oralidades y 30 resolución) y 34 son rezagos (24 Autos y 10 Oralidades)</t>
  </si>
  <si>
    <t>A 31 de mayo se adelanto el Seguimiento documental Espacial a 454 Proyectos licenciados, es decir un avance del 36%</t>
  </si>
  <si>
    <t>A 31 de mayo se les ha aplicado  la metodología del Indice de Desempeño Ambiental a 454 proyectos, es decir el 36% de 1265</t>
  </si>
  <si>
    <t>A corte del 31 de mayo se han gestionado 1428 informes de cumplimiento ambiental verificados preliminarmente, frente a 1467 los informes de cumplimiento ambiental radicados por los titulares de los proyectos.</t>
  </si>
  <si>
    <t>Frente al avance a 31 de mayo se han aprobado planes en 2872,08 Ha  donde se desarrollen acciones de conservación. preservación y restauración con cargo al 1% y a la compensación ambiental que se encuentran localizadas en las  áreas habilitadas por la estrategia para Compensación y 1%</t>
  </si>
  <si>
    <t>A 31 de mayo se han numerado 84  conceptos técnicos de seguimiento, con participación del equipo de valoración económica  sobre 85   conceptos técnicos de seguimiento asignados al equipo de valoración económica</t>
  </si>
  <si>
    <t xml:space="preserve">A corte del 31 de mayo se han emitido 8 Actos administrativos administrativos que acogen el seguimiento realizado a los expedientes priorizados de contingencias operacionales recurrentes. </t>
  </si>
  <si>
    <t>En el mes de mayo se realizaron 12 visitas, 3 presenciales y 9 guiadas; en el mes de febrero no se reportó la visita al expediente LAM2307 que se llevo a cabo del 22 al 26 de febrero de 2021,por lo tanto se reportan 13 visitas para el mes de mayo.</t>
  </si>
  <si>
    <t>En el mes de mayo se elaboraron 16 conceptos técnicos con visita.</t>
  </si>
  <si>
    <t>En el mes de mayo se elaboraron 5 conceptos técnicos documentales.</t>
  </si>
  <si>
    <t>En el mes de mayo se hicieron 12 oralidades para un total de 43 oralidades de 77 actos administrativos lo que equivale al 56%.</t>
  </si>
  <si>
    <t>A corte 31 de mayo de 2021 la Región realizó 66 visitas de seguimiento presencial y 42 visitas guiadas.</t>
  </si>
  <si>
    <t>A corte 31 de mayo de 2021 la Región elaboró 86 CT con visita</t>
  </si>
  <si>
    <t>A corte del 31 de mayo la región elaboró 41 CT documentales. 
Se aclara que, si bien para el reporte de abril fueron reportados 34 CT, y en la BD de mayo aparecen 35 CT, esto se debe a que fue incluido el expediente LAM2622 (CT 1668 07/04/2021) ahora en mayo, para un total de 41 CT.</t>
  </si>
  <si>
    <t>A corte del 31 de mayo la región tiene un avance de oralidades del 68%</t>
  </si>
  <si>
    <t>Para el mes de mayo la región de MMCC realizo 15 visitas (3 presenciales y 12 guiadas), el acumulado para el mes de mayo es de 78 visitas (20 presenciales, 58 guiadas), de las 212 programadas como meta.
Es importante recordar que la región de MMCC no contempla rezagos 2020.
Es importante recordar que la región de MMCC no contempla rezagos 2020.</t>
  </si>
  <si>
    <t>Para el mes de mayo la región de MMCC realizo 14 conceptos técnicos con visita, el acumulado para el mes de mayo es de 46 conceptos técnicos con visitas, de las 212 programadas como meta.
Es importante recordar que la región de MMCC no contempla rezagos 2020.</t>
  </si>
  <si>
    <t>Para el mes de mayo la región de MMCC realizo 6 conceptos técnicos documentales, el cumulado para el mes de mayo es de 22 conceptos técnicos documentales, de los 86 programados como meta.
Es importante recordar que la región de MMCC no contempla rezagos 2020.</t>
  </si>
  <si>
    <t>Para el mes de mayo la región de MMCC presidio 9 Actas, el acumulado al mes de mayo es de 34 Actas (Avance del 60%), los actos administrativos totales son 57 (conformados por 34 actas, 16 autos y 7 resoluciones). de los 298 Programados.
Es importante recordar que la región de MMCC no contempla rezagos 2020.</t>
  </si>
  <si>
    <t>A corte 31 de mayo del 2021, la Región Orinoquia Amazonas realizó 81 visitas, de los cuales 27 corresponden a visitas presenciales, y 54 corresponden a visitas Guiadas.</t>
  </si>
  <si>
    <t>A corte 31 de mayo del 2021, la Región Orinoquia Amazonas, expidió 54 CT con visita, de los cuales 30 corresponden a CT de visitas guiadas y 24 corresponde a CT de visita presencial.</t>
  </si>
  <si>
    <t>A corte 31 de mayo del 2021, la Región Orinoquia Amazonas, expidió 37 CT documental.</t>
  </si>
  <si>
    <t>A corte 31 de mayo del 2021, la Región Orinoquia Amazonas tuvo un avance de 60% en actas de oralidad.</t>
  </si>
  <si>
    <t>A corte de 31 de mayo de 2021 el grupo (Seguimiento) de Agroquímicos y Proyectos Especiales ha realizado 138 conceptos técnicos, para un total de 677 conceptos técnicos acumulados en el año 2021 de 1584 programados como meta.</t>
  </si>
  <si>
    <t>Durante el mes mayo de 2021 se realizaron 331 visitas, de las cuales 156 fueron presenciales y 175 guiadas</t>
  </si>
  <si>
    <t>Al mes de mayo de 2021, se realizaron 1040 conceptos técnicos.</t>
  </si>
  <si>
    <t>Durante el mes de mayo de 2021 se tuvo un avance del 62% en las oralidades, dado que de los 347 actos administrativos generados por los grupos Alto Magdalena-Cauca, Caribe - Pacifico, Magdalena Medio - Cauca – Catatumbo y Orinoquia – Amazonas, 214 fueron por Oralidad.</t>
  </si>
  <si>
    <t xml:space="preserve">Al mes de mayo de 2021, se realizó seguimiento a 301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</si>
  <si>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mayo se realizó seguimiento a 30 proyectos en construcción de los 151 identificados en esta etapa.</t>
  </si>
  <si>
    <t>A corte del 31 de mayo se han  numerado 151 conceptos técnicos  que incluyen el componente de compensación e inversión del 1% en etapa de seguimiento, sobre 159 conceptos técnicos a gestionar revisión  por profesionales del equipo de compensación e inversión del 1%. Es decir un avance del 95%.</t>
  </si>
  <si>
    <t xml:space="preserve">A corte del 31 de mayo se han numerado el 89% de los conceptos técnicos de seguimiento con participación del equipo de contingencias es decir 156 Conceptos finalizados sobre 175 asignados </t>
  </si>
  <si>
    <t>En el mes de junio se hicieron 12 oralidades, 5 autos de seguimiento y 1 resolución, para un total de 95 actos administrativos acumulados a junio.</t>
  </si>
  <si>
    <t>A corte 30 de junio se han expedido 152 actos administrativos, los cuales 145 corresponden a vigencia actual y 7 a rezagos vigencia 2020.</t>
  </si>
  <si>
    <t>Para el mes de junio la región de MMCC realizo 15 actas 2 autos y 2 resoluciones, el acumulado para el mes de junio es de 76 actos administrativos, (conformados por 49 actas, 18 autos y 9 resoluciones), de las 298 programadas como meta.
Es importante recordar que la región de MMCC no contempla rezagos 2020.</t>
  </si>
  <si>
    <t>A corte 30 de Junio del 2021, la Región Orinoquia Amazonas, expidió 123 actos administrativos que acogen el seguimiento a proyectos licenciados, de los cuales 18 actos administrativos corresponden a rezagos vigencia 2020 y 105 actos administrativos corresponden a vigencia actual.</t>
  </si>
  <si>
    <t>A corte de 30 de junio de 2021 el grupo (Seguimiento) de Agroquímicos y Proyectos Especiales ha expedido 140 actos administrativos, para un total de 789 actos administrativo-acumulados en el año 2021 de 1584 programados como meta.</t>
  </si>
  <si>
    <t>Al mes de junio de 2021 se emitieron 1235 actos administrativos, de los cuales 1201 son vigencia 2021 (895 autos, 270 oralidades y 36 resolución) y 34 son rezagos (24 Autos y 10 Oralidades)</t>
  </si>
  <si>
    <t>A corte de  30 de junio se han evaluado 564 proyectos a los cuales se les ha aplicado el Indice de desempeño Ambiental, es decir el 45% de los proyectos licenciados objeto de seguimiento con Indice de desempeño ambiental</t>
  </si>
  <si>
    <t>A corte de  30 de junio se han evaluado 564 proyectos a los cuales se les ha aplicado el Seguimiento Documental Espacial, es decir el 45% de los proyectos licenciados objeto de seguimiento con Seguimiento Documental Espacial</t>
  </si>
  <si>
    <t>Se han analizado 1785  informes de cumplimiento ambiental verificados preliminarmente, frente a 1878  informes de cumplimiento ambiental radicados por los titulares de los proyectos a corte de 30 de junio</t>
  </si>
  <si>
    <t>A 30 de junio se evaluaron un acumulado 3139,22  hectaréas aprobadas para desarrollar acciones de conservación, preservación y restauración con cargo al 1% y la compensación ambiental en las áreas habilitadas por la estrategia para Compensación y 1%</t>
  </si>
  <si>
    <t>A 30 de junio se han numerado 96 conceptos técnicos de seguimiento, con participación del equipo de valoración económica  sobre 97 conceptos técnicos de seguimiento asignados al equipo de valoración económica, es decir el 99%.</t>
  </si>
  <si>
    <t>A corte de 30 de junio se emitió un acumulado de 16 visitas, 11 conceptos técnicos y 8 actos administrativos que acogen el seguimiento realizado a los expedientes priorizados de contingencias operacionales recurrentes</t>
  </si>
  <si>
    <t>Durante el mes junio de 2021 se realizaron 413 visitas, de las cuales 202 fueron presenciales y 211 guiadas.</t>
  </si>
  <si>
    <t>Durante el mes de junio de 2021, se realizaron 1291 conceptos técnicos, los cuales fueron 980 documentales y 310 con visita</t>
  </si>
  <si>
    <t>Durante el mes de junio de 2021 se tuvo un avance del 63% en las oralidades, dado que de los 446 actos administrativos generados por los grupos Alto Magdalena-Cauca, Caribe - Pacifico, Magdalena Medio - Cauca – Catatumbo y Orinoquia – Amazonas, 281 fueron por Oralidad.</t>
  </si>
  <si>
    <t xml:space="preserve">Al mes de junio de 2021, se realizó seguimiento a 382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</si>
  <si>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junio se realizó seguimiento a 38 proyectos en construcción de los 153 identificados en esta etapa.</t>
  </si>
  <si>
    <t>Para el mes de junio 9 proyectos fueron acogidos por el instrumentos de matriz de obligacion y en 1 por desmantelamiento y abandono, teniendo un avance del 1% en el segundo trimestre.</t>
  </si>
  <si>
    <t xml:space="preserve">En el mes de junio se hicieron 15 visitas, 9 presenciales y 6 guiadas </t>
  </si>
  <si>
    <t>En el mes de junio se hicieron 13 conceptos tecnicos con visita, 8 con visita guiada y 5 con visita presencial.</t>
  </si>
  <si>
    <t>34 Conceptos técnicos de seguimiento documental de proyectos priorizados en la vigencia actual</t>
  </si>
  <si>
    <t>En el mes de junio se hicieron 12 reuniones de control y seguimiento ambiental, en total se han realizado 55 reuniones de control y seguimiento ambiental de 95 actos administrativos, lo que equivale al 58%</t>
  </si>
  <si>
    <t>A 30 de junio de 2021 el grupo de alto magdalena - Cauca, reporta 0% teniendo en cuenta que no se han implementado instrumentos porque no hay proyectos que hayan informado inicio de plan de desmantelamiento y abandono. Se acordó implementar la matriz de obligaciones únicamente para proyectos que apenas empiezan seguimiento.</t>
  </si>
  <si>
    <t>A corte 30 de junio de 2021 la Región realizó 87 visitas de seguimiento presencial y 50 visitas guiadas.
Se indica que para el mes de mayo se había reportado visita del LAM6725-00, en atención a una queja interpuesta por un senador, dado los resultados del seguimiento al no generar requerimientos, se procede a dar respuesta mediante oficio, para lo cual se excluye esta visita del reporte de mayo.</t>
  </si>
  <si>
    <t>A corte 30 de junio de 2021 la Región elaboró 111 CT con visita</t>
  </si>
  <si>
    <t>A corte 30 de junio de 2021 la Región elaboró 48 CT documental de seguimiento    
Se sube BD ajustada conforme lo solicitado.</t>
  </si>
  <si>
    <t>A junio en total se han realizado 107 reuniones de control y seguimiento ambiental de 152 actos administrativos, lo que equivale al 70%</t>
  </si>
  <si>
    <t>Para el mes de junio a 5 conceptos técnicos se les aplicó instrumentos para un avance del 3%</t>
  </si>
  <si>
    <t xml:space="preserve">Para el mes de junio la región de MMCC realizo 23 visitas (11 presenciales y 12 guiadas), el acumulado para el mes de junio es de 101 visitas (31 presenciales, 70 guiadas), de las 212 programadas como meta.
</t>
  </si>
  <si>
    <t>Para el mes de junio la región de MMCC realizo 19 conceptos técnicos con visita, el acumulado para el mes de junio es de 65 conceptos técnicos con visitas, de las 212 programadas como meta.</t>
  </si>
  <si>
    <t>Para el mes de junio la región de MMCC realizo 7 conceptos técnicos documentales, el acumulado para el mes de junio es de 29 conceptos técnicos documentales, de los 86 programados como meta.</t>
  </si>
  <si>
    <t>Para el mes de junio la región de MMCC presidio 15 Actas, el acumulado al mes de mayo es de 49 Actas (Avance del 64%), los actos administrativos totales son 76 (conformados por 49 actas, 18 autos y 9 resoluciones). de los 298 Programados.</t>
  </si>
  <si>
    <t>Para el segundo trimestre la region MMCC no hizo uso del instrumento desmantelamiento y abandono, teniendo en cuenta que las empresas en seguimiento no han reportado el inicio de la etapa.</t>
  </si>
  <si>
    <t>A corte 30 de junio del 2021, la Región Orinoquia Amazonas realizó 96 visitas, de los cuales 32 corresponden a visitas presenciales, y 64 corresponden a visitas Guiadas.
Se informa para este corte lo siguiente frente al indicador de visita:
LAM3341, Se había indicado con anterioridad que dicho Lam se le haría visita de seguimiento presencial del 23 al 25 de marzo del 2021, pero de acuerdo con lo comunicado por el líder que tiene asignado el proyecto, señala que para dicho expediente no se llevó a cabo la visita por que la empresa canceló la visita por temas del COVID.</t>
  </si>
  <si>
    <t>A corte 30 de junio del 2021, la Región Orinoquia Amazonas, expidió 70 CT con visita, de los cuales 41 corresponden a CT de visitas guiadas y 29 corresponde a CT de visita presencial.</t>
  </si>
  <si>
    <t>A corte 30 de junio del 2021, la Región Orinoquia Amazonas, expidió 48 CT documental.</t>
  </si>
  <si>
    <t>A corte 30 de junio del 2021, la Región Orinoquia Amazonas tuvo un avance de 57% en actas de oralidad.</t>
  </si>
  <si>
    <t>Para este primer semestre se avanzó en la aplicación de instrumentos a 5 de los conceptos técnicos finalizados</t>
  </si>
  <si>
    <t>A corte de 30 de junio de 2021 el grupo (Seguimiento) de Agroquímicos y Proyectos Especiales ha realizado 145 conceptos técnicos, para un total de 822 conceptos técnicos acumulados en el año 2021 de 1584 programados como meta.</t>
  </si>
  <si>
    <t>Actualmente este indicador no aplica para el grupo Agroquímicos y Proyectos Especiales dado que a la fecha no se usan los aplicativos de SIPTA.</t>
  </si>
  <si>
    <t>A corte de 30 de junio se han  numerado 182 conceptos técnicos  que incluyen el componente de compensación e inversión del 1% en etaTerminarpa de seguimiento, sobre 191 conceptos técnicos a gestionar revisión  por profesionales del equipo de compensación e inversión del 1%. Es decir un avance del 95%.</t>
  </si>
  <si>
    <t>a corte de 30 de junio se han emitido 197 conceptos técnicos de seguimiento numerados con participación del equipo de contingencias, sobre un total de 217  conceptos técnicos de seguimiento asignados al equipo de contingencias, para un avance del 91%</t>
  </si>
  <si>
    <t>En el mes de marzo las noticias positivas fueron un 53% producto de 60 noticias positivas sobre un total 140.</t>
  </si>
  <si>
    <t>En el mes de abril las noticias positivas fueron un 51% producto de 92 noticias positivas sobre un total 180.</t>
  </si>
  <si>
    <t>Para el mes de mayo se registró un total de 32 noticias, de las cuales 14 fueron positivas, lo que corresponde a un 44%.</t>
  </si>
  <si>
    <t>Para junio se registro un total de 51 noticias de las cuales 32 son positivas, lo que corresponde a un 63%</t>
  </si>
  <si>
    <t>Para el mes de abril se gestionaron 67 notas externas en temas relacionados a: PECIG, Sociedades mineras de Boquerón, Plan Bonito y El Hatillo (Cesar)</t>
  </si>
  <si>
    <t>Para el mes de mayo se gestionaron 10 noticias en los distintos medios de comunicación</t>
  </si>
  <si>
    <t>Para junio se gestionaron 24 noticias en los distintos medios de comunicación.</t>
  </si>
  <si>
    <t>La encuestas a usuarios internos se realizará en el mes de octubre, a partir de este instrumento se obtiene la medición del indicador.</t>
  </si>
  <si>
    <t>Para el mes de abril se realizaron (2) campañas de los siguientes temas: 1. GESPRO 2. Buenas conductas para un buen ambiente laboral</t>
  </si>
  <si>
    <t>Para el mes de mayo se realizaron 2 campañas: 1. Reuniones Efectivas 2. Jóvenes ANLA (Programa de primer empleo)</t>
  </si>
  <si>
    <t>Para junio se realizaron (2) campañas: 1. Somos Autoridad 2.Rendición de cuentas</t>
  </si>
  <si>
    <t>Para el mes de abril se registraron 123 publicaciones en la página web y 302 publicaciones en redes sociales (Facebook, Twitter, LinkedIn y Youtube) </t>
  </si>
  <si>
    <t>Para el mes de mayo se realizaron 62 publicaciones en la página web de la entidad y se reportaron 296 publicaciones en redes sociales.</t>
  </si>
  <si>
    <t>Para junio se realizaron 58 publicaciones en la página web de la entidad y se reportaron 369 publicaciones en redes sociales.</t>
  </si>
  <si>
    <t>Durante este periodo se realizaron 75 publicaciones en los principales canales de comunicación interna de la entidad, como: Carteleras digitales, correo electrónico, Intranet, La Ronda Semanal.</t>
  </si>
  <si>
    <t>Se realizaron la publicación de 155 contenidos en canales internos durante el mes de febrero, principalmente en el correo de institucional. Correo de comunicaciones: 45, Intranet: 100, Videos internos: 5, Fondos de escritorios: 1, Rondas: 4</t>
  </si>
  <si>
    <t>Para el mes de marzo se registraron 38 publicaciones en la intranet, se enviaron 58 correos masivos institucionales, fondos de escritorio: 1, videos internos: 1 y rondas: 5</t>
  </si>
  <si>
    <t>Para el mes de abril se registraron 49 publicaciones en la Intranet, se enviaron 46 correos masivos institucionales, fondos de escritorio: 1, videos internos: 6 y rondas: 5</t>
  </si>
  <si>
    <t>Para el mes de mayo se enviaron 51 correos internos y se realizaron 128 publicaciones en la intranet de la entidad, fondos de escritorio: 1, videos internos: 7 y rondas: 4</t>
  </si>
  <si>
    <t>Para junio se enviaron 54 correos internos y se realizaron 73 publicaciones en la intranet de la entidad, fondos de escritorio: 1, videos internos: 9 y rondas: 4</t>
  </si>
  <si>
    <t>Para el mes de abril se utilizaron 10 canales de comunicación interno y externo con contenidos creados para cada uno de ellos.</t>
  </si>
  <si>
    <t>Para el mes de mayo se utilizaron 10 canales de comunicación interna y externa, con contenidos creados para cada uno de ellos.</t>
  </si>
  <si>
    <t>Para junio se publicaron contenidos en los 10 canales de comunicación interna y externa.</t>
  </si>
  <si>
    <t xml:space="preserve">Gestión del conocimiento y la innovación </t>
  </si>
  <si>
    <t xml:space="preserve">Evaluación de permisos y tramites ambientales </t>
  </si>
  <si>
    <t xml:space="preserve">Evaluación de licenciamiento ambiental </t>
  </si>
  <si>
    <t xml:space="preserve">Actuaciones sancionatorias Ambientales </t>
  </si>
  <si>
    <t xml:space="preserve">Gestión Administrativa </t>
  </si>
  <si>
    <t xml:space="preserve">Participación ciudadana </t>
  </si>
  <si>
    <t xml:space="preserve">Control, Evaluación y Mejora </t>
  </si>
  <si>
    <t xml:space="preserve">Direccionamiento y Planeacción  
Gestión del conocimiento y la innovación </t>
  </si>
  <si>
    <t>SGC</t>
  </si>
  <si>
    <t>Gestión del Conocimiento y la Innovación</t>
  </si>
  <si>
    <t xml:space="preserve">Evaluación de permisos y tramites ambientales 
Seguimiento de permisos y tramites ambientales </t>
  </si>
  <si>
    <t>Instrumentos y Regionalización</t>
  </si>
  <si>
    <t>Seguimiento de licenciamiento ambiental</t>
  </si>
  <si>
    <t xml:space="preserve">Seguimiento de licenciamiento ambiental </t>
  </si>
  <si>
    <t>Gestión Contractual</t>
  </si>
  <si>
    <t>Gestión Financiera</t>
  </si>
  <si>
    <t>Gestión Documental</t>
  </si>
  <si>
    <t>Gestión del Talento Humano</t>
  </si>
  <si>
    <t>Procesos Disciplinarios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</si>
</sst>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quot;$&quot;\ * #,##0_-;\-&quot;$&quot;\ * #,##0_-;_-&quot;$&quot;\ * &quot;-&quot;??_-;_-@_-"/>
    <numFmt numFmtId="165" formatCode="0.0%"/>
  </numFmts>
  <fonts count="4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b/>
      <sz val="11"/>
      <color theme="1"/>
      <name val="Times New Roman"/>
      <family val="1"/>
    </font>
    <font>
      <b/>
      <sz val="12"/>
      <color theme="0"/>
      <name val="Calibri"/>
      <family val="2"/>
      <scheme val="minor"/>
    </font>
    <font>
      <b/>
      <sz val="14"/>
      <color theme="0"/>
      <name val="Calibri"/>
      <family val="2"/>
      <scheme val="minor"/>
    </font>
    <font>
      <b/>
      <sz val="9"/>
      <color indexed="8"/>
      <name val="Calibri"/>
      <family val="2"/>
      <scheme val="minor"/>
    </font>
    <font>
      <b/>
      <sz val="11"/>
      <color indexed="8"/>
      <name val="Calibri"/>
      <family val="2"/>
      <scheme val="minor"/>
    </font>
    <font>
      <sz val="11"/>
      <color rgb="FF000000"/>
      <name val="Calibri"/>
      <family val="2"/>
    </font>
    <font>
      <b/>
      <sz val="14"/>
      <color theme="1"/>
      <name val="Calibri"/>
      <family val="2"/>
      <scheme val="minor"/>
    </font>
    <font>
      <b/>
      <sz val="12"/>
      <color theme="1"/>
      <name val="Arial Narrow"/>
      <family val="2"/>
    </font>
    <font>
      <sz val="9"/>
      <color rgb="FFFF0000"/>
      <name val="Calibri"/>
      <family val="2"/>
      <scheme val="minor"/>
    </font>
    <font>
      <sz val="9"/>
      <color rgb="FF000000"/>
      <name val="Calibri"/>
      <family val="2"/>
    </font>
    <font>
      <sz val="11"/>
      <color rgb="FF000000"/>
      <name val="Calibri"/>
      <family val="2"/>
    </font>
    <font>
      <b/>
      <sz val="11"/>
      <color rgb="FF000000"/>
      <name val="Calibri"/>
      <family val="2"/>
    </font>
    <font>
      <b/>
      <sz val="11"/>
      <color rgb="FFFFFFFF"/>
      <name val="Calibri"/>
      <family val="2"/>
    </font>
    <font>
      <b/>
      <sz val="14"/>
      <color rgb="FFFFFFFF"/>
      <name val="Calibri"/>
      <family val="2"/>
    </font>
    <font>
      <b/>
      <sz val="11"/>
      <color rgb="FF000000"/>
      <name val="Times New Roman"/>
      <family val="1"/>
    </font>
    <font>
      <sz val="9"/>
      <color rgb="FF000000"/>
      <name val="Calibri"/>
      <family val="2"/>
    </font>
    <font>
      <b/>
      <sz val="9"/>
      <color rgb="FF000000"/>
      <name val="Calibri"/>
      <family val="2"/>
    </font>
    <font>
      <b/>
      <sz val="14"/>
      <color rgb="FF000000"/>
      <name val="Calibri"/>
      <family val="2"/>
    </font>
    <font>
      <b/>
      <sz val="12"/>
      <color rgb="FF000000"/>
      <name val="Arial Narrow"/>
      <family val="2"/>
    </font>
    <font>
      <sz val="8"/>
      <color theme="1"/>
      <name val="Calibri"/>
      <family val="2"/>
      <scheme val="minor"/>
    </font>
    <font>
      <b/>
      <sz val="9"/>
      <name val="Calibri"/>
      <family val="2"/>
      <scheme val="minor"/>
    </font>
    <font>
      <sz val="9"/>
      <name val="Calibri"/>
      <family val="2"/>
      <scheme val="minor"/>
    </font>
    <font>
      <sz val="9"/>
      <color rgb="FF000000"/>
      <name val="Calibri"/>
      <family val="2"/>
    </font>
    <font>
      <b/>
      <sz val="11"/>
      <color theme="1"/>
      <name val="Calibri"/>
    </font>
    <font>
      <sz val="11"/>
      <color rgb="FF000000"/>
      <name val="Calibri"/>
    </font>
    <font>
      <sz val="11"/>
      <color rgb="FFFFFFFF"/>
      <name val="Calibri"/>
      <family val="2"/>
      <scheme val="minor"/>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1E1"/>
        <bgColor indexed="64"/>
      </patternFill>
    </fill>
    <fill>
      <patternFill patternType="solid">
        <fgColor theme="4" tint="-0.249977111117893"/>
        <bgColor indexed="64"/>
      </patternFill>
    </fill>
    <fill>
      <patternFill patternType="solid">
        <fgColor theme="0"/>
        <bgColor indexed="64"/>
      </patternFill>
    </fill>
    <fill>
      <patternFill patternType="solid">
        <fgColor rgb="FF305496"/>
        <bgColor indexed="64"/>
      </patternFill>
    </fill>
    <fill>
      <patternFill patternType="solid">
        <fgColor rgb="FFE2EFDA"/>
        <bgColor indexed="64"/>
      </patternFill>
    </fill>
    <fill>
      <patternFill patternType="solid">
        <fgColor rgb="FFFFFFFF"/>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D9E1F2"/>
        <bgColor indexed="64"/>
      </patternFill>
    </fill>
    <fill>
      <patternFill patternType="solid">
        <fgColor rgb="FFFFFFFF"/>
        <bgColor rgb="FF000000"/>
      </patternFill>
    </fill>
    <fill>
      <patternFill patternType="solid">
        <fgColor rgb="FF305496"/>
        <bgColor rgb="FF000000"/>
      </patternFill>
    </fill>
    <fill>
      <patternFill patternType="solid">
        <fgColor rgb="FFD0CECE"/>
        <bgColor rgb="FF000000"/>
      </patternFill>
    </fill>
    <fill>
      <patternFill patternType="solid">
        <fgColor rgb="FFDDEBF7"/>
        <bgColor rgb="FF000000"/>
      </patternFill>
    </fill>
    <fill>
      <patternFill patternType="solid">
        <fgColor rgb="FFFFFF00"/>
        <bgColor indexed="64"/>
      </patternFill>
    </fill>
    <fill>
      <patternFill patternType="solid">
        <fgColor theme="9" tint="0.39997558519241921"/>
        <bgColor indexed="64"/>
      </patternFill>
    </fill>
    <fill>
      <patternFill patternType="solid">
        <fgColor theme="4"/>
        <bgColor indexed="64"/>
      </patternFill>
    </fill>
    <fill>
      <patternFill patternType="solid">
        <fgColor theme="4"/>
        <bgColor rgb="FF000000"/>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0"/>
      </left>
      <right style="thin">
        <color theme="0"/>
      </right>
      <top style="thin">
        <color theme="0"/>
      </top>
      <bottom style="thin">
        <color theme="0"/>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0"/>
      </top>
      <bottom/>
      <diagonal/>
    </border>
    <border>
      <left style="thin">
        <color theme="4" tint="-0.249977111117893"/>
      </left>
      <right style="thin">
        <color theme="4" tint="-0.249977111117893"/>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diagonal/>
    </border>
    <border>
      <left style="thin">
        <color indexed="64"/>
      </left>
      <right style="thin">
        <color indexed="64"/>
      </right>
      <top style="thin">
        <color indexed="64"/>
      </top>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dotted">
        <color auto="1"/>
      </right>
      <top style="thin">
        <color indexed="64"/>
      </top>
      <bottom style="thin">
        <color indexed="64"/>
      </bottom>
      <diagonal/>
    </border>
    <border>
      <left style="dotted">
        <color auto="1"/>
      </left>
      <right style="thin">
        <color auto="1"/>
      </right>
      <top style="thin">
        <color indexed="64"/>
      </top>
      <bottom style="thin">
        <color indexed="64"/>
      </bottom>
      <diagonal/>
    </border>
    <border>
      <left style="thin">
        <color auto="1"/>
      </left>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style="thin">
        <color auto="1"/>
      </left>
      <right style="thin">
        <color auto="1"/>
      </right>
      <top style="dotted">
        <color auto="1"/>
      </top>
      <bottom/>
      <diagonal/>
    </border>
    <border>
      <left style="thin">
        <color auto="1"/>
      </left>
      <right style="thin">
        <color auto="1"/>
      </right>
      <top/>
      <bottom/>
      <diagonal/>
    </border>
    <border>
      <left style="thin">
        <color auto="1"/>
      </left>
      <right style="dotted">
        <color auto="1"/>
      </right>
      <top/>
      <bottom/>
      <diagonal/>
    </border>
    <border>
      <left style="thin">
        <color auto="1"/>
      </left>
      <right style="thin">
        <color auto="1"/>
      </right>
      <top/>
      <bottom style="dotted">
        <color auto="1"/>
      </bottom>
      <diagonal/>
    </border>
    <border>
      <left style="thin">
        <color indexed="64"/>
      </left>
      <right/>
      <top style="thin">
        <color indexed="64"/>
      </top>
      <bottom style="thin">
        <color indexed="64"/>
      </bottom>
      <diagonal/>
    </border>
    <border>
      <left style="thin">
        <color auto="1"/>
      </left>
      <right style="dotted">
        <color auto="1"/>
      </right>
      <top style="thin">
        <color rgb="FF000000"/>
      </top>
      <bottom style="thin">
        <color rgb="FF000000"/>
      </bottom>
      <diagonal/>
    </border>
    <border>
      <left style="dotted">
        <color auto="1"/>
      </left>
      <right style="thin">
        <color auto="1"/>
      </right>
      <top style="thin">
        <color rgb="FF000000"/>
      </top>
      <bottom style="thin">
        <color rgb="FF000000"/>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thin">
        <color auto="1"/>
      </right>
      <top style="dotted">
        <color auto="1"/>
      </top>
      <bottom/>
      <diagonal/>
    </border>
    <border>
      <left style="dotted">
        <color auto="1"/>
      </left>
      <right style="thin">
        <color rgb="FF000000"/>
      </right>
      <top style="dotted">
        <color auto="1"/>
      </top>
      <bottom style="dotted">
        <color auto="1"/>
      </bottom>
      <diagonal/>
    </border>
    <border>
      <left/>
      <right style="dotted">
        <color auto="1"/>
      </right>
      <top style="dotted">
        <color auto="1"/>
      </top>
      <bottom style="dotted">
        <color auto="1"/>
      </bottom>
      <diagonal/>
    </border>
    <border>
      <left style="thin">
        <color auto="1"/>
      </left>
      <right/>
      <top/>
      <bottom/>
      <diagonal/>
    </border>
    <border>
      <left/>
      <right style="thin">
        <color rgb="FF000000"/>
      </right>
      <top/>
      <bottom/>
      <diagonal/>
    </border>
    <border>
      <left/>
      <right style="dotted">
        <color auto="1"/>
      </right>
      <top/>
      <bottom/>
      <diagonal/>
    </border>
    <border>
      <left/>
      <right style="thin">
        <color indexed="64"/>
      </right>
      <top style="dotted">
        <color auto="1"/>
      </top>
      <bottom/>
      <diagonal/>
    </border>
    <border>
      <left/>
      <right style="thin">
        <color indexed="64"/>
      </right>
      <top/>
      <bottom/>
      <diagonal/>
    </border>
    <border>
      <left style="thin">
        <color auto="1"/>
      </left>
      <right/>
      <top style="dotted">
        <color auto="1"/>
      </top>
      <bottom/>
      <diagonal/>
    </border>
    <border>
      <left/>
      <right style="thin">
        <color indexed="64"/>
      </right>
      <top/>
      <bottom style="dotted">
        <color auto="1"/>
      </bottom>
      <diagonal/>
    </border>
    <border>
      <left style="thin">
        <color auto="1"/>
      </left>
      <right style="dotted">
        <color auto="1"/>
      </right>
      <top style="dotted">
        <color auto="1"/>
      </top>
      <bottom/>
      <diagonal/>
    </border>
    <border>
      <left/>
      <right style="thin">
        <color auto="1"/>
      </right>
      <top/>
      <bottom style="thin">
        <color indexed="64"/>
      </bottom>
      <diagonal/>
    </border>
    <border>
      <left style="thin">
        <color theme="9" tint="0.39997558519241921"/>
      </left>
      <right style="thin">
        <color theme="9" tint="0.39997558519241921"/>
      </right>
      <top/>
      <bottom style="thin">
        <color theme="9" tint="0.39997558519241921"/>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305496"/>
      </left>
      <right style="thin">
        <color rgb="FF305496"/>
      </right>
      <top style="thin">
        <color rgb="FF305496"/>
      </top>
      <bottom/>
      <diagonal/>
    </border>
    <border>
      <left style="thin">
        <color rgb="FF305496"/>
      </left>
      <right style="thin">
        <color rgb="FF305496"/>
      </right>
      <top/>
      <bottom/>
      <diagonal/>
    </border>
    <border>
      <left style="thin">
        <color rgb="FF305496"/>
      </left>
      <right style="thin">
        <color rgb="FF305496"/>
      </right>
      <top/>
      <bottom style="thin">
        <color rgb="FF305496"/>
      </bottom>
      <diagonal/>
    </border>
    <border>
      <left/>
      <right/>
      <top style="thin">
        <color rgb="FF305496"/>
      </top>
      <bottom/>
      <diagonal/>
    </border>
    <border>
      <left style="thin">
        <color rgb="FF305496"/>
      </left>
      <right style="thin">
        <color rgb="FF305496"/>
      </right>
      <top style="thin">
        <color rgb="FF305496"/>
      </top>
      <bottom style="thin">
        <color rgb="FF305496"/>
      </bottom>
      <diagonal/>
    </border>
    <border>
      <left/>
      <right style="thin">
        <color rgb="FF305496"/>
      </right>
      <top style="thin">
        <color rgb="FF305496"/>
      </top>
      <bottom style="thin">
        <color rgb="FF305496"/>
      </bottom>
      <diagonal/>
    </border>
    <border>
      <left/>
      <right/>
      <top style="thin">
        <color rgb="FF305496"/>
      </top>
      <bottom style="thin">
        <color rgb="FF305496"/>
      </bottom>
      <diagonal/>
    </border>
    <border>
      <left/>
      <right style="thin">
        <color rgb="FF305496"/>
      </right>
      <top/>
      <bottom style="thin">
        <color rgb="FF305496"/>
      </bottom>
      <diagonal/>
    </border>
    <border>
      <left style="thin">
        <color rgb="FFA9D08E"/>
      </left>
      <right style="thin">
        <color rgb="FFA9D08E"/>
      </right>
      <top/>
      <bottom style="thin">
        <color rgb="FFA9D08E"/>
      </bottom>
      <diagonal/>
    </border>
    <border>
      <left/>
      <right style="thin">
        <color rgb="FFA9D08E"/>
      </right>
      <top/>
      <bottom style="thin">
        <color rgb="FFA9D08E"/>
      </bottom>
      <diagonal/>
    </border>
    <border>
      <left style="thin">
        <color rgb="FF305496"/>
      </left>
      <right style="thin">
        <color rgb="FF305496"/>
      </right>
      <top style="thin">
        <color rgb="FF305496"/>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tted">
        <color auto="1"/>
      </left>
      <right/>
      <top/>
      <bottom style="dotted">
        <color auto="1"/>
      </bottom>
      <diagonal/>
    </border>
    <border>
      <left style="thin">
        <color rgb="FF000000"/>
      </left>
      <right style="dotted">
        <color auto="1"/>
      </right>
      <top style="thin">
        <color rgb="FF000000"/>
      </top>
      <bottom style="dotted">
        <color auto="1"/>
      </bottom>
      <diagonal/>
    </border>
    <border>
      <left style="dotted">
        <color auto="1"/>
      </left>
      <right style="thin">
        <color rgb="FF000000"/>
      </right>
      <top style="thin">
        <color rgb="FF000000"/>
      </top>
      <bottom style="dotted">
        <color auto="1"/>
      </bottom>
      <diagonal/>
    </border>
    <border>
      <left/>
      <right style="dotted">
        <color auto="1"/>
      </right>
      <top/>
      <bottom style="dotted">
        <color auto="1"/>
      </bottom>
      <diagonal/>
    </border>
    <border>
      <left style="thin">
        <color rgb="FF000000"/>
      </left>
      <right style="dotted">
        <color auto="1"/>
      </right>
      <top/>
      <bottom style="dotted">
        <color auto="1"/>
      </bottom>
      <diagonal/>
    </border>
    <border>
      <left style="dotted">
        <color auto="1"/>
      </left>
      <right style="thin">
        <color rgb="FF000000"/>
      </right>
      <top/>
      <bottom style="dotted">
        <color auto="1"/>
      </bottom>
      <diagonal/>
    </border>
    <border>
      <left style="dotted">
        <color auto="1"/>
      </left>
      <right/>
      <top style="dotted">
        <color auto="1"/>
      </top>
      <bottom style="dotted">
        <color auto="1"/>
      </bottom>
      <diagonal/>
    </border>
    <border>
      <left style="thin">
        <color rgb="FF000000"/>
      </left>
      <right style="dotted">
        <color auto="1"/>
      </right>
      <top style="dotted">
        <color auto="1"/>
      </top>
      <bottom style="dotted">
        <color auto="1"/>
      </bottom>
      <diagonal/>
    </border>
    <border>
      <left style="thin">
        <color rgb="FF000000"/>
      </left>
      <right style="dotted">
        <color auto="1"/>
      </right>
      <top/>
      <bottom style="thin">
        <color rgb="FF000000"/>
      </bottom>
      <diagonal/>
    </border>
    <border>
      <left style="dotted">
        <color auto="1"/>
      </left>
      <right style="thin">
        <color rgb="FF000000"/>
      </right>
      <top/>
      <bottom style="thin">
        <color rgb="FF000000"/>
      </bottom>
      <diagonal/>
    </border>
    <border>
      <left style="thin">
        <color rgb="FF000000"/>
      </left>
      <right style="dotted">
        <color auto="1"/>
      </right>
      <top/>
      <bottom style="thin">
        <color indexed="64"/>
      </bottom>
      <diagonal/>
    </border>
    <border>
      <left style="thin">
        <color auto="1"/>
      </left>
      <right style="thin">
        <color rgb="FF000000"/>
      </right>
      <top/>
      <bottom style="thin">
        <color indexed="64"/>
      </bottom>
      <diagonal/>
    </border>
    <border>
      <left style="dotted">
        <color auto="1"/>
      </left>
      <right/>
      <top style="dotted">
        <color auto="1"/>
      </top>
      <bottom/>
      <diagonal/>
    </border>
    <border>
      <left style="dotted">
        <color auto="1"/>
      </left>
      <right style="thin">
        <color rgb="FF000000"/>
      </right>
      <top style="dotted">
        <color auto="1"/>
      </top>
      <bottom/>
      <diagonal/>
    </border>
    <border>
      <left style="thin">
        <color rgb="FF000000"/>
      </left>
      <right style="dotted">
        <color auto="1"/>
      </right>
      <top/>
      <bottom/>
      <diagonal/>
    </border>
    <border>
      <left style="thin">
        <color rgb="FF000000"/>
      </left>
      <right style="dotted">
        <color auto="1"/>
      </right>
      <top style="thin">
        <color indexed="64"/>
      </top>
      <bottom style="thin">
        <color indexed="64"/>
      </bottom>
      <diagonal/>
    </border>
    <border>
      <left style="thin">
        <color auto="1"/>
      </left>
      <right style="thin">
        <color rgb="FF000000"/>
      </right>
      <top style="thin">
        <color indexed="64"/>
      </top>
      <bottom style="thin">
        <color indexed="64"/>
      </bottom>
      <diagonal/>
    </border>
    <border>
      <left/>
      <right style="dotted">
        <color auto="1"/>
      </right>
      <top style="thin">
        <color indexed="64"/>
      </top>
      <bottom style="thin">
        <color indexed="64"/>
      </bottom>
      <diagonal/>
    </border>
    <border>
      <left/>
      <right style="thin">
        <color indexed="64"/>
      </right>
      <top style="dotted">
        <color indexed="64"/>
      </top>
      <bottom style="dotted">
        <color indexed="64"/>
      </bottom>
      <diagonal/>
    </border>
    <border>
      <left style="thin">
        <color rgb="FF000000"/>
      </left>
      <right style="dotted">
        <color auto="1"/>
      </right>
      <top style="dotted">
        <color auto="1"/>
      </top>
      <bottom/>
      <diagonal/>
    </border>
    <border>
      <left/>
      <right style="dotted">
        <color auto="1"/>
      </right>
      <top style="dotted">
        <color auto="1"/>
      </top>
      <bottom/>
      <diagonal/>
    </border>
    <border>
      <left style="thin">
        <color auto="1"/>
      </left>
      <right style="thin">
        <color rgb="FF000000"/>
      </right>
      <top style="dotted">
        <color auto="1"/>
      </top>
      <bottom/>
      <diagonal/>
    </border>
    <border>
      <left style="dotted">
        <color auto="1"/>
      </left>
      <right style="thin">
        <color auto="1"/>
      </right>
      <top/>
      <bottom/>
      <diagonal/>
    </border>
    <border>
      <left style="thin">
        <color auto="1"/>
      </left>
      <right style="thin">
        <color rgb="FF000000"/>
      </right>
      <top style="thin">
        <color indexed="64"/>
      </top>
      <bottom/>
      <diagonal/>
    </border>
    <border>
      <left/>
      <right/>
      <top/>
      <bottom style="thin">
        <color indexed="64"/>
      </bottom>
      <diagonal/>
    </border>
    <border>
      <left style="thin">
        <color rgb="FF000000"/>
      </left>
      <right style="dotted">
        <color auto="1"/>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dotted">
        <color auto="1"/>
      </right>
      <top style="thin">
        <color indexed="64"/>
      </top>
      <bottom style="thin">
        <color rgb="FF000000"/>
      </bottom>
      <diagonal/>
    </border>
    <border>
      <left style="thin">
        <color auto="1"/>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78">
    <xf numFmtId="0" fontId="0" fillId="0" borderId="0" xfId="0"/>
    <xf numFmtId="164" fontId="0" fillId="0" borderId="0" xfId="1" applyNumberFormat="1" applyFont="1"/>
    <xf numFmtId="0" fontId="0" fillId="0" borderId="0" xfId="0" applyAlignment="1"/>
    <xf numFmtId="0" fontId="0" fillId="0" borderId="0" xfId="0" applyAlignment="1">
      <alignment vertical="center"/>
    </xf>
    <xf numFmtId="0" fontId="0" fillId="0" borderId="0" xfId="0" applyAlignment="1">
      <alignment horizontal="center" vertical="center"/>
    </xf>
    <xf numFmtId="0" fontId="18" fillId="35" borderId="0" xfId="0" applyFont="1" applyFill="1" applyAlignment="1">
      <alignment horizontal="left"/>
    </xf>
    <xf numFmtId="0" fontId="16" fillId="0" borderId="0" xfId="0" applyFont="1" applyAlignment="1">
      <alignment horizontal="center" vertical="center"/>
    </xf>
    <xf numFmtId="0" fontId="16" fillId="0" borderId="0" xfId="0" applyFont="1" applyAlignment="1"/>
    <xf numFmtId="0" fontId="16" fillId="0" borderId="0" xfId="0" applyFont="1" applyAlignment="1">
      <alignment horizontal="center"/>
    </xf>
    <xf numFmtId="0" fontId="0" fillId="35" borderId="0" xfId="0" applyFill="1"/>
    <xf numFmtId="0" fontId="20" fillId="35" borderId="0" xfId="0" applyFont="1" applyFill="1" applyAlignment="1">
      <alignment horizontal="left"/>
    </xf>
    <xf numFmtId="0" fontId="20" fillId="33" borderId="0" xfId="0" applyFont="1" applyFill="1" applyAlignment="1">
      <alignment horizontal="left"/>
    </xf>
    <xf numFmtId="0" fontId="0" fillId="0" borderId="0" xfId="0" applyAlignment="1">
      <alignment horizontal="left" vertical="center"/>
    </xf>
    <xf numFmtId="0" fontId="18" fillId="35" borderId="10" xfId="0" applyFont="1" applyFill="1" applyBorder="1" applyAlignment="1">
      <alignment horizontal="left" vertical="center" wrapText="1"/>
    </xf>
    <xf numFmtId="0" fontId="0" fillId="0" borderId="0" xfId="0" applyBorder="1" applyAlignment="1"/>
    <xf numFmtId="0" fontId="0" fillId="0" borderId="0" xfId="0"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vertical="center"/>
    </xf>
    <xf numFmtId="0" fontId="16" fillId="0" borderId="0" xfId="0" applyFont="1" applyBorder="1" applyAlignment="1"/>
    <xf numFmtId="0" fontId="0" fillId="0" borderId="0" xfId="0" applyBorder="1" applyAlignment="1">
      <alignment horizontal="left" vertical="center"/>
    </xf>
    <xf numFmtId="164" fontId="13" fillId="34" borderId="11" xfId="1" applyNumberFormat="1" applyFont="1" applyFill="1" applyBorder="1" applyAlignment="1">
      <alignment horizontal="center" vertical="center" wrapText="1"/>
    </xf>
    <xf numFmtId="164" fontId="18" fillId="35" borderId="12" xfId="1" applyNumberFormat="1" applyFont="1" applyFill="1" applyBorder="1" applyAlignment="1">
      <alignment vertical="center" wrapText="1"/>
    </xf>
    <xf numFmtId="164" fontId="18" fillId="35" borderId="10" xfId="1" applyNumberFormat="1" applyFont="1" applyFill="1" applyBorder="1" applyAlignment="1">
      <alignment vertical="center" wrapText="1"/>
    </xf>
    <xf numFmtId="0" fontId="18" fillId="35" borderId="10" xfId="0" applyFont="1" applyFill="1" applyBorder="1" applyAlignment="1">
      <alignment vertical="center" wrapText="1"/>
    </xf>
    <xf numFmtId="1" fontId="19" fillId="35" borderId="10" xfId="0" applyNumberFormat="1" applyFont="1" applyFill="1" applyBorder="1" applyAlignment="1">
      <alignment horizontal="center" vertical="center" wrapText="1"/>
    </xf>
    <xf numFmtId="10" fontId="19" fillId="35" borderId="10" xfId="0" applyNumberFormat="1" applyFont="1" applyFill="1" applyBorder="1" applyAlignment="1">
      <alignment horizontal="center" vertical="center" wrapText="1"/>
    </xf>
    <xf numFmtId="0" fontId="24" fillId="0" borderId="0" xfId="0" applyFont="1" applyAlignment="1">
      <alignment horizontal="center" vertical="center"/>
    </xf>
    <xf numFmtId="0" fontId="16" fillId="35" borderId="0" xfId="0" applyFont="1" applyFill="1"/>
    <xf numFmtId="0" fontId="13" fillId="36" borderId="23" xfId="0" applyFont="1" applyFill="1" applyBorder="1" applyAlignment="1">
      <alignment horizontal="right" wrapText="1"/>
    </xf>
    <xf numFmtId="0" fontId="13" fillId="36" borderId="24" xfId="0" applyFont="1" applyFill="1" applyBorder="1" applyAlignment="1">
      <alignment horizontal="right" wrapText="1"/>
    </xf>
    <xf numFmtId="0" fontId="0" fillId="35" borderId="0" xfId="0" applyFill="1" applyAlignment="1">
      <alignment horizontal="center"/>
    </xf>
    <xf numFmtId="0" fontId="16" fillId="37" borderId="25" xfId="0" applyFont="1" applyFill="1" applyBorder="1" applyAlignment="1">
      <alignment horizontal="center" vertical="center"/>
    </xf>
    <xf numFmtId="0" fontId="0" fillId="37" borderId="25" xfId="0" applyFill="1" applyBorder="1"/>
    <xf numFmtId="9" fontId="16" fillId="37" borderId="26" xfId="2" applyFont="1" applyFill="1" applyBorder="1" applyAlignment="1">
      <alignment horizontal="right"/>
    </xf>
    <xf numFmtId="9" fontId="16" fillId="37" borderId="27" xfId="2" applyFont="1" applyFill="1" applyBorder="1" applyAlignment="1">
      <alignment horizontal="right"/>
    </xf>
    <xf numFmtId="10" fontId="16" fillId="37" borderId="26" xfId="2" applyNumberFormat="1" applyFont="1" applyFill="1" applyBorder="1" applyAlignment="1">
      <alignment horizontal="right"/>
    </xf>
    <xf numFmtId="10" fontId="16" fillId="37" borderId="27" xfId="2" applyNumberFormat="1" applyFont="1" applyFill="1" applyBorder="1" applyAlignment="1">
      <alignment horizontal="right"/>
    </xf>
    <xf numFmtId="0" fontId="0" fillId="38" borderId="25" xfId="0" applyFill="1" applyBorder="1"/>
    <xf numFmtId="10" fontId="0" fillId="38" borderId="26" xfId="2" applyNumberFormat="1" applyFont="1" applyFill="1" applyBorder="1" applyAlignment="1">
      <alignment horizontal="right"/>
    </xf>
    <xf numFmtId="10" fontId="0" fillId="38" borderId="27" xfId="2" applyNumberFormat="1" applyFont="1" applyFill="1" applyBorder="1" applyAlignment="1">
      <alignment horizontal="right"/>
    </xf>
    <xf numFmtId="10" fontId="0" fillId="38" borderId="30" xfId="2" applyNumberFormat="1" applyFont="1" applyFill="1" applyBorder="1" applyAlignment="1">
      <alignment horizontal="right"/>
    </xf>
    <xf numFmtId="0" fontId="16" fillId="37" borderId="32" xfId="0" applyFont="1" applyFill="1" applyBorder="1"/>
    <xf numFmtId="10" fontId="16" fillId="37" borderId="23" xfId="2" applyNumberFormat="1" applyFont="1" applyFill="1" applyBorder="1" applyAlignment="1">
      <alignment horizontal="right"/>
    </xf>
    <xf numFmtId="10" fontId="16" fillId="37" borderId="33" xfId="2" applyNumberFormat="1" applyFont="1" applyFill="1" applyBorder="1" applyAlignment="1">
      <alignment horizontal="right"/>
    </xf>
    <xf numFmtId="10" fontId="16" fillId="37" borderId="34" xfId="2" applyNumberFormat="1" applyFont="1" applyFill="1" applyBorder="1" applyAlignment="1">
      <alignment horizontal="right"/>
    </xf>
    <xf numFmtId="165" fontId="16" fillId="37" borderId="27" xfId="2" applyNumberFormat="1" applyFont="1" applyFill="1" applyBorder="1" applyAlignment="1">
      <alignment horizontal="right"/>
    </xf>
    <xf numFmtId="0" fontId="16" fillId="37" borderId="35" xfId="0" applyFont="1" applyFill="1" applyBorder="1" applyAlignment="1">
      <alignment horizontal="center" vertical="center"/>
    </xf>
    <xf numFmtId="0" fontId="0" fillId="37" borderId="35" xfId="0" applyFill="1" applyBorder="1"/>
    <xf numFmtId="10" fontId="16" fillId="37" borderId="36" xfId="2" applyNumberFormat="1" applyFont="1" applyFill="1" applyBorder="1" applyAlignment="1">
      <alignment horizontal="right"/>
    </xf>
    <xf numFmtId="10" fontId="16" fillId="37" borderId="37" xfId="2" applyNumberFormat="1" applyFont="1" applyFill="1" applyBorder="1" applyAlignment="1">
      <alignment horizontal="right"/>
    </xf>
    <xf numFmtId="0" fontId="0" fillId="35" borderId="35" xfId="0" applyFill="1" applyBorder="1"/>
    <xf numFmtId="10" fontId="0" fillId="35" borderId="36" xfId="2" applyNumberFormat="1" applyFont="1" applyFill="1" applyBorder="1" applyAlignment="1">
      <alignment horizontal="right"/>
    </xf>
    <xf numFmtId="165" fontId="0" fillId="35" borderId="38" xfId="2" applyNumberFormat="1" applyFont="1" applyFill="1" applyBorder="1" applyAlignment="1">
      <alignment horizontal="right"/>
    </xf>
    <xf numFmtId="10" fontId="0" fillId="35" borderId="37" xfId="2" applyNumberFormat="1" applyFont="1" applyFill="1" applyBorder="1" applyAlignment="1">
      <alignment horizontal="right"/>
    </xf>
    <xf numFmtId="10" fontId="0" fillId="35" borderId="38" xfId="2" applyNumberFormat="1" applyFont="1" applyFill="1" applyBorder="1" applyAlignment="1">
      <alignment horizontal="right"/>
    </xf>
    <xf numFmtId="10" fontId="0" fillId="35" borderId="39" xfId="2" applyNumberFormat="1" applyFont="1" applyFill="1" applyBorder="1" applyAlignment="1">
      <alignment horizontal="right"/>
    </xf>
    <xf numFmtId="10" fontId="0" fillId="35" borderId="40" xfId="2" applyNumberFormat="1" applyFont="1" applyFill="1" applyBorder="1" applyAlignment="1">
      <alignment horizontal="right"/>
    </xf>
    <xf numFmtId="0" fontId="0" fillId="35" borderId="41" xfId="0" applyFill="1" applyBorder="1"/>
    <xf numFmtId="10" fontId="0" fillId="35" borderId="30" xfId="2" applyNumberFormat="1" applyFont="1" applyFill="1" applyBorder="1" applyAlignment="1">
      <alignment horizontal="right"/>
    </xf>
    <xf numFmtId="10" fontId="0" fillId="35" borderId="42" xfId="2" applyNumberFormat="1" applyFont="1" applyFill="1" applyBorder="1" applyAlignment="1">
      <alignment horizontal="right"/>
    </xf>
    <xf numFmtId="10" fontId="0" fillId="35" borderId="43" xfId="2" applyNumberFormat="1" applyFont="1" applyFill="1" applyBorder="1" applyAlignment="1">
      <alignment horizontal="right"/>
    </xf>
    <xf numFmtId="0" fontId="0" fillId="35" borderId="46" xfId="0" applyFill="1" applyBorder="1"/>
    <xf numFmtId="165" fontId="0" fillId="35" borderId="37" xfId="2" applyNumberFormat="1" applyFont="1" applyFill="1" applyBorder="1" applyAlignment="1">
      <alignment horizontal="right"/>
    </xf>
    <xf numFmtId="10" fontId="0" fillId="35" borderId="26" xfId="2" applyNumberFormat="1" applyFont="1" applyFill="1" applyBorder="1" applyAlignment="1">
      <alignment horizontal="right"/>
    </xf>
    <xf numFmtId="10" fontId="0" fillId="35" borderId="48" xfId="2" applyNumberFormat="1" applyFont="1" applyFill="1" applyBorder="1" applyAlignment="1">
      <alignment horizontal="right"/>
    </xf>
    <xf numFmtId="0" fontId="0" fillId="0" borderId="46" xfId="0" applyBorder="1"/>
    <xf numFmtId="9" fontId="0" fillId="35" borderId="48" xfId="2" applyFont="1" applyFill="1" applyBorder="1" applyAlignment="1">
      <alignment horizontal="right"/>
    </xf>
    <xf numFmtId="165" fontId="0" fillId="35" borderId="48" xfId="2" applyNumberFormat="1" applyFont="1" applyFill="1" applyBorder="1" applyAlignment="1">
      <alignment horizontal="right"/>
    </xf>
    <xf numFmtId="9" fontId="0" fillId="35" borderId="38" xfId="2" applyFont="1" applyFill="1" applyBorder="1" applyAlignment="1">
      <alignment horizontal="right"/>
    </xf>
    <xf numFmtId="0" fontId="21" fillId="36" borderId="32" xfId="0" applyFont="1" applyFill="1" applyBorder="1"/>
    <xf numFmtId="10" fontId="21" fillId="36" borderId="23" xfId="0" applyNumberFormat="1" applyFont="1" applyFill="1" applyBorder="1" applyAlignment="1">
      <alignment horizontal="right"/>
    </xf>
    <xf numFmtId="0" fontId="26" fillId="39" borderId="50" xfId="0" applyFont="1" applyFill="1" applyBorder="1" applyAlignment="1">
      <alignment vertical="center" wrapText="1"/>
    </xf>
    <xf numFmtId="10" fontId="27" fillId="39" borderId="50" xfId="0" applyNumberFormat="1" applyFont="1" applyFill="1" applyBorder="1" applyAlignment="1">
      <alignment horizontal="center" vertical="center" wrapText="1"/>
    </xf>
    <xf numFmtId="0" fontId="18" fillId="35" borderId="0" xfId="0" applyFont="1" applyFill="1" applyBorder="1" applyAlignment="1">
      <alignment horizontal="center" vertical="center" wrapText="1"/>
    </xf>
    <xf numFmtId="0" fontId="19" fillId="35" borderId="0" xfId="0" applyFont="1" applyFill="1" applyBorder="1" applyAlignment="1">
      <alignment horizontal="center" vertical="center" wrapText="1"/>
    </xf>
    <xf numFmtId="164" fontId="18" fillId="35" borderId="0" xfId="1" applyNumberFormat="1" applyFont="1" applyFill="1" applyBorder="1" applyAlignment="1">
      <alignment horizontal="center" vertical="center" wrapText="1"/>
    </xf>
    <xf numFmtId="1" fontId="18" fillId="35" borderId="0" xfId="0" applyNumberFormat="1" applyFont="1" applyFill="1" applyBorder="1" applyAlignment="1">
      <alignment horizontal="center" vertical="center" wrapText="1"/>
    </xf>
    <xf numFmtId="9" fontId="19" fillId="35" borderId="0" xfId="0" applyNumberFormat="1" applyFont="1" applyFill="1" applyBorder="1" applyAlignment="1">
      <alignment horizontal="center" vertical="center" wrapText="1"/>
    </xf>
    <xf numFmtId="9" fontId="19" fillId="35" borderId="0" xfId="2" applyFont="1" applyFill="1" applyBorder="1" applyAlignment="1">
      <alignment horizontal="center" vertical="center" wrapText="1"/>
    </xf>
    <xf numFmtId="0" fontId="18" fillId="35" borderId="0" xfId="0" applyFont="1" applyFill="1" applyBorder="1" applyAlignment="1">
      <alignment horizontal="left" vertical="center" wrapText="1"/>
    </xf>
    <xf numFmtId="9" fontId="18" fillId="35" borderId="10" xfId="2" applyFont="1" applyFill="1" applyBorder="1" applyAlignment="1">
      <alignment horizontal="center" vertical="center" wrapText="1"/>
    </xf>
    <xf numFmtId="9" fontId="19" fillId="35" borderId="10" xfId="2" applyFont="1" applyFill="1" applyBorder="1" applyAlignment="1">
      <alignment vertical="center" wrapText="1"/>
    </xf>
    <xf numFmtId="10" fontId="18" fillId="35" borderId="10" xfId="0" applyNumberFormat="1" applyFont="1" applyFill="1" applyBorder="1" applyAlignment="1">
      <alignment horizontal="center" vertical="center" wrapText="1"/>
    </xf>
    <xf numFmtId="10" fontId="19" fillId="35" borderId="10" xfId="2" applyNumberFormat="1" applyFont="1" applyFill="1" applyBorder="1" applyAlignment="1">
      <alignment horizontal="center" vertical="center" wrapText="1"/>
    </xf>
    <xf numFmtId="9" fontId="0" fillId="0" borderId="0" xfId="2" applyFont="1" applyAlignment="1">
      <alignment horizontal="center" vertical="center"/>
    </xf>
    <xf numFmtId="9" fontId="0" fillId="0" borderId="0" xfId="2" applyFont="1" applyBorder="1" applyAlignment="1">
      <alignment horizontal="center" vertical="center"/>
    </xf>
    <xf numFmtId="9" fontId="13" fillId="34" borderId="11" xfId="2" applyFont="1" applyFill="1" applyBorder="1" applyAlignment="1">
      <alignment horizontal="center" vertical="center" wrapText="1"/>
    </xf>
    <xf numFmtId="9" fontId="27" fillId="39" borderId="50" xfId="2" applyFont="1" applyFill="1" applyBorder="1" applyAlignment="1">
      <alignment horizontal="center" vertical="center" wrapText="1"/>
    </xf>
    <xf numFmtId="9" fontId="18" fillId="35" borderId="0" xfId="2" applyFont="1" applyFill="1" applyBorder="1" applyAlignment="1">
      <alignment horizontal="center" vertical="center" wrapText="1"/>
    </xf>
    <xf numFmtId="9" fontId="19" fillId="40" borderId="10" xfId="2" applyFont="1" applyFill="1" applyBorder="1" applyAlignment="1">
      <alignment horizontal="center" vertical="center" wrapText="1"/>
    </xf>
    <xf numFmtId="0" fontId="18" fillId="40" borderId="10" xfId="0" applyFont="1" applyFill="1" applyBorder="1" applyAlignment="1">
      <alignment horizontal="center" vertical="center" wrapText="1"/>
    </xf>
    <xf numFmtId="9" fontId="18" fillId="40" borderId="10" xfId="2" applyFont="1" applyFill="1" applyBorder="1" applyAlignment="1">
      <alignment horizontal="center" vertical="center" wrapText="1"/>
    </xf>
    <xf numFmtId="10" fontId="18" fillId="40" borderId="10" xfId="0" applyNumberFormat="1" applyFont="1" applyFill="1" applyBorder="1" applyAlignment="1">
      <alignment horizontal="center" vertical="center" wrapText="1"/>
    </xf>
    <xf numFmtId="9" fontId="19" fillId="40" borderId="12" xfId="2" applyFont="1" applyFill="1" applyBorder="1" applyAlignment="1">
      <alignment vertical="center" wrapText="1"/>
    </xf>
    <xf numFmtId="10" fontId="0" fillId="0" borderId="0" xfId="2" applyNumberFormat="1" applyFont="1" applyAlignment="1">
      <alignment horizontal="center" vertical="center"/>
    </xf>
    <xf numFmtId="10" fontId="0" fillId="0" borderId="0" xfId="2" applyNumberFormat="1" applyFont="1" applyBorder="1" applyAlignment="1">
      <alignment horizontal="center" vertical="center"/>
    </xf>
    <xf numFmtId="10" fontId="13" fillId="34" borderId="11" xfId="2" applyNumberFormat="1" applyFont="1" applyFill="1" applyBorder="1" applyAlignment="1">
      <alignment horizontal="center" vertical="center" wrapText="1"/>
    </xf>
    <xf numFmtId="10" fontId="27" fillId="39" borderId="50" xfId="2" applyNumberFormat="1" applyFont="1" applyFill="1" applyBorder="1" applyAlignment="1">
      <alignment horizontal="center" vertical="center" wrapText="1"/>
    </xf>
    <xf numFmtId="10" fontId="18" fillId="35" borderId="0" xfId="2" applyNumberFormat="1" applyFont="1" applyFill="1" applyBorder="1" applyAlignment="1">
      <alignment horizontal="center" vertical="center" wrapText="1"/>
    </xf>
    <xf numFmtId="2" fontId="19" fillId="35" borderId="10" xfId="2" applyNumberFormat="1" applyFont="1" applyFill="1" applyBorder="1" applyAlignment="1">
      <alignment horizontal="center" vertical="center" wrapText="1"/>
    </xf>
    <xf numFmtId="10" fontId="18" fillId="35" borderId="10" xfId="2" applyNumberFormat="1" applyFont="1" applyFill="1" applyBorder="1" applyAlignment="1">
      <alignment horizontal="center" vertical="center" wrapText="1"/>
    </xf>
    <xf numFmtId="10" fontId="18" fillId="40" borderId="10" xfId="2" applyNumberFormat="1" applyFont="1" applyFill="1" applyBorder="1" applyAlignment="1">
      <alignment horizontal="center" vertical="center" wrapText="1"/>
    </xf>
    <xf numFmtId="10" fontId="28" fillId="35" borderId="10" xfId="2" applyNumberFormat="1" applyFont="1" applyFill="1" applyBorder="1" applyAlignment="1">
      <alignment horizontal="center" vertical="center" wrapText="1"/>
    </xf>
    <xf numFmtId="0" fontId="19" fillId="35" borderId="10" xfId="2" applyNumberFormat="1" applyFont="1" applyFill="1" applyBorder="1" applyAlignment="1">
      <alignment horizontal="center" vertical="center" wrapText="1"/>
    </xf>
    <xf numFmtId="9" fontId="19" fillId="35" borderId="12" xfId="2" applyFont="1" applyFill="1" applyBorder="1" applyAlignment="1">
      <alignment vertical="center" wrapText="1"/>
    </xf>
    <xf numFmtId="1" fontId="19" fillId="35" borderId="10" xfId="2" applyNumberFormat="1" applyFont="1" applyFill="1" applyBorder="1" applyAlignment="1">
      <alignment horizontal="center" vertical="center" wrapText="1"/>
    </xf>
    <xf numFmtId="165" fontId="19" fillId="35" borderId="10" xfId="2" applyNumberFormat="1" applyFont="1" applyFill="1" applyBorder="1" applyAlignment="1">
      <alignment horizontal="center" vertical="center" wrapText="1"/>
    </xf>
    <xf numFmtId="0" fontId="29" fillId="0" borderId="0" xfId="0" applyFont="1" applyAlignment="1">
      <alignment vertical="center" wrapText="1"/>
    </xf>
    <xf numFmtId="9" fontId="18" fillId="35" borderId="10" xfId="0" applyNumberFormat="1" applyFont="1" applyFill="1" applyBorder="1" applyAlignment="1">
      <alignment horizontal="center" vertical="center" wrapText="1"/>
    </xf>
    <xf numFmtId="10" fontId="0" fillId="35" borderId="0" xfId="0" applyNumberFormat="1" applyFill="1"/>
    <xf numFmtId="9" fontId="18" fillId="35" borderId="10" xfId="2" applyFont="1" applyFill="1" applyBorder="1" applyAlignment="1">
      <alignment vertical="center" wrapText="1"/>
    </xf>
    <xf numFmtId="9" fontId="16" fillId="0" borderId="0" xfId="0" applyNumberFormat="1" applyFont="1" applyAlignment="1">
      <alignment horizontal="center" vertical="center"/>
    </xf>
    <xf numFmtId="0" fontId="35" fillId="42" borderId="0" xfId="0" applyFont="1" applyFill="1" applyAlignment="1">
      <alignment wrapText="1"/>
    </xf>
    <xf numFmtId="0" fontId="30" fillId="0" borderId="0" xfId="0" applyFont="1" applyAlignment="1">
      <alignment wrapText="1"/>
    </xf>
    <xf numFmtId="0" fontId="31" fillId="0" borderId="0" xfId="0" applyFont="1" applyAlignment="1">
      <alignment wrapText="1"/>
    </xf>
    <xf numFmtId="0" fontId="30" fillId="42" borderId="0" xfId="0" applyFont="1" applyFill="1" applyAlignment="1">
      <alignment wrapText="1"/>
    </xf>
    <xf numFmtId="0" fontId="0" fillId="0" borderId="0" xfId="0" applyAlignment="1">
      <alignment wrapText="1"/>
    </xf>
    <xf numFmtId="0" fontId="35" fillId="42" borderId="63" xfId="0" applyFont="1" applyFill="1" applyBorder="1" applyAlignment="1">
      <alignment vertical="center" wrapText="1"/>
    </xf>
    <xf numFmtId="0" fontId="36" fillId="44" borderId="64" xfId="0" applyFont="1" applyFill="1" applyBorder="1" applyAlignment="1">
      <alignment vertical="center" wrapText="1"/>
    </xf>
    <xf numFmtId="0" fontId="35" fillId="44" borderId="64" xfId="0" applyFont="1" applyFill="1" applyBorder="1" applyAlignment="1">
      <alignment vertical="center" wrapText="1"/>
    </xf>
    <xf numFmtId="0" fontId="18" fillId="35" borderId="0" xfId="0" applyFont="1" applyFill="1" applyAlignment="1">
      <alignment horizontal="left" vertical="center"/>
    </xf>
    <xf numFmtId="0" fontId="35" fillId="42" borderId="66" xfId="0" applyFont="1" applyFill="1" applyBorder="1" applyAlignment="1">
      <alignment vertical="center" wrapText="1"/>
    </xf>
    <xf numFmtId="0" fontId="36" fillId="44" borderId="66" xfId="0" applyFont="1" applyFill="1" applyBorder="1" applyAlignment="1">
      <alignment vertical="center" wrapText="1"/>
    </xf>
    <xf numFmtId="0" fontId="35" fillId="44" borderId="66" xfId="0" applyFont="1" applyFill="1" applyBorder="1" applyAlignment="1">
      <alignment vertical="center" wrapText="1"/>
    </xf>
    <xf numFmtId="0" fontId="30" fillId="0" borderId="0" xfId="0" applyFont="1" applyAlignment="1">
      <alignment vertical="center" wrapText="1"/>
    </xf>
    <xf numFmtId="0" fontId="31" fillId="0" borderId="0" xfId="0" applyFont="1" applyAlignment="1">
      <alignment vertical="center" wrapText="1"/>
    </xf>
    <xf numFmtId="0" fontId="30" fillId="42" borderId="0" xfId="0" applyFont="1" applyFill="1" applyAlignment="1">
      <alignment vertical="center" wrapText="1"/>
    </xf>
    <xf numFmtId="0" fontId="35" fillId="42" borderId="69" xfId="0" applyFont="1" applyFill="1" applyBorder="1" applyAlignment="1">
      <alignment vertical="center" wrapText="1"/>
    </xf>
    <xf numFmtId="0" fontId="36" fillId="42" borderId="0" xfId="0" applyFont="1" applyFill="1" applyAlignment="1">
      <alignment vertical="center" wrapText="1"/>
    </xf>
    <xf numFmtId="0" fontId="36" fillId="42" borderId="64" xfId="0" applyFont="1" applyFill="1" applyBorder="1" applyAlignment="1">
      <alignment vertical="center" wrapText="1"/>
    </xf>
    <xf numFmtId="0" fontId="31" fillId="0" borderId="0" xfId="0" applyFont="1" applyAlignment="1">
      <alignment horizontal="center" wrapText="1"/>
    </xf>
    <xf numFmtId="0" fontId="30" fillId="0" borderId="0" xfId="0" applyFont="1" applyAlignment="1">
      <alignment horizontal="center" wrapText="1"/>
    </xf>
    <xf numFmtId="9" fontId="36" fillId="42" borderId="64" xfId="0" applyNumberFormat="1" applyFont="1" applyFill="1" applyBorder="1" applyAlignment="1">
      <alignment horizontal="center" vertical="center" wrapText="1"/>
    </xf>
    <xf numFmtId="0" fontId="35" fillId="42" borderId="64" xfId="0" applyFont="1" applyFill="1" applyBorder="1" applyAlignment="1">
      <alignment horizontal="center" vertical="center" wrapText="1"/>
    </xf>
    <xf numFmtId="9" fontId="36" fillId="42" borderId="66" xfId="0" applyNumberFormat="1" applyFont="1" applyFill="1" applyBorder="1" applyAlignment="1">
      <alignment horizontal="center" vertical="center" wrapText="1"/>
    </xf>
    <xf numFmtId="9" fontId="35" fillId="42" borderId="66" xfId="0" applyNumberFormat="1" applyFont="1" applyFill="1" applyBorder="1" applyAlignment="1">
      <alignment horizontal="center" vertical="center" wrapText="1"/>
    </xf>
    <xf numFmtId="0" fontId="35" fillId="42" borderId="66" xfId="0" applyFont="1" applyFill="1" applyBorder="1" applyAlignment="1">
      <alignment horizontal="center" vertical="center" wrapText="1"/>
    </xf>
    <xf numFmtId="0" fontId="31" fillId="0" borderId="0" xfId="0" applyFont="1" applyAlignment="1">
      <alignment horizontal="center" vertical="center" wrapText="1"/>
    </xf>
    <xf numFmtId="0" fontId="37" fillId="45" borderId="67" xfId="0" applyFont="1" applyFill="1" applyBorder="1" applyAlignment="1">
      <alignment horizontal="center" vertical="center" wrapText="1"/>
    </xf>
    <xf numFmtId="0" fontId="38" fillId="45" borderId="68" xfId="0" applyFont="1" applyFill="1" applyBorder="1" applyAlignment="1">
      <alignment horizontal="center" vertical="center" wrapText="1"/>
    </xf>
    <xf numFmtId="9" fontId="35" fillId="42" borderId="64" xfId="0" applyNumberFormat="1" applyFont="1" applyFill="1" applyBorder="1" applyAlignment="1">
      <alignment horizontal="center" vertical="center" wrapText="1"/>
    </xf>
    <xf numFmtId="0" fontId="35" fillId="42" borderId="64" xfId="0" quotePrefix="1" applyFont="1" applyFill="1" applyBorder="1" applyAlignment="1">
      <alignment horizontal="center" vertical="center" wrapText="1"/>
    </xf>
    <xf numFmtId="0" fontId="35" fillId="42" borderId="66" xfId="0" quotePrefix="1" applyFont="1" applyFill="1" applyBorder="1" applyAlignment="1">
      <alignment horizontal="center" vertical="center" wrapText="1"/>
    </xf>
    <xf numFmtId="0" fontId="36" fillId="42" borderId="0" xfId="0" applyFont="1" applyFill="1" applyAlignment="1">
      <alignment horizontal="center" vertical="center" wrapText="1"/>
    </xf>
    <xf numFmtId="0" fontId="35" fillId="42" borderId="0" xfId="0" applyFont="1" applyFill="1" applyAlignment="1">
      <alignment horizontal="center" vertical="center" wrapText="1"/>
    </xf>
    <xf numFmtId="0" fontId="36" fillId="44" borderId="64" xfId="0" applyFont="1" applyFill="1" applyBorder="1" applyAlignment="1">
      <alignment horizontal="center" vertical="center" wrapText="1"/>
    </xf>
    <xf numFmtId="0" fontId="35" fillId="44" borderId="64" xfId="0" applyFont="1" applyFill="1" applyBorder="1" applyAlignment="1">
      <alignment horizontal="center" vertical="center" wrapText="1"/>
    </xf>
    <xf numFmtId="0" fontId="36" fillId="44" borderId="66" xfId="0" applyFont="1" applyFill="1" applyBorder="1" applyAlignment="1">
      <alignment horizontal="center" vertical="center" wrapText="1"/>
    </xf>
    <xf numFmtId="0" fontId="35" fillId="44" borderId="66" xfId="0" applyFont="1" applyFill="1" applyBorder="1" applyAlignment="1">
      <alignment horizontal="center" vertical="center" wrapText="1"/>
    </xf>
    <xf numFmtId="0" fontId="36" fillId="42" borderId="66" xfId="0" applyFont="1" applyFill="1" applyBorder="1" applyAlignment="1">
      <alignment horizontal="center" vertical="center" wrapText="1"/>
    </xf>
    <xf numFmtId="0" fontId="30" fillId="42" borderId="0" xfId="0" applyFont="1" applyFill="1" applyAlignment="1">
      <alignment horizontal="center" wrapText="1"/>
    </xf>
    <xf numFmtId="0" fontId="32" fillId="43" borderId="54" xfId="0" applyFont="1" applyFill="1" applyBorder="1" applyAlignment="1">
      <alignment horizontal="center" vertical="center" wrapText="1"/>
    </xf>
    <xf numFmtId="0" fontId="34" fillId="42" borderId="0" xfId="0" applyFont="1" applyFill="1" applyAlignment="1">
      <alignment horizontal="center" vertical="center" wrapText="1"/>
    </xf>
    <xf numFmtId="0" fontId="20" fillId="33" borderId="0" xfId="0" applyFont="1" applyFill="1" applyAlignment="1">
      <alignment horizontal="center" vertical="center"/>
    </xf>
    <xf numFmtId="0" fontId="32" fillId="43" borderId="57" xfId="0" applyFont="1" applyFill="1" applyBorder="1" applyAlignment="1">
      <alignment horizontal="center" vertical="center" wrapText="1"/>
    </xf>
    <xf numFmtId="0" fontId="32" fillId="43" borderId="58" xfId="0" applyFont="1" applyFill="1" applyBorder="1" applyAlignment="1">
      <alignment horizontal="center" vertical="center" wrapText="1"/>
    </xf>
    <xf numFmtId="165" fontId="18" fillId="35" borderId="10" xfId="2" applyNumberFormat="1" applyFont="1" applyFill="1" applyBorder="1" applyAlignment="1">
      <alignment horizontal="center" vertical="center" wrapText="1"/>
    </xf>
    <xf numFmtId="9" fontId="39" fillId="35" borderId="10" xfId="2" applyFont="1" applyFill="1" applyBorder="1" applyAlignment="1">
      <alignment horizontal="center" vertical="center" wrapText="1"/>
    </xf>
    <xf numFmtId="0" fontId="16" fillId="0" borderId="0" xfId="0" applyFont="1"/>
    <xf numFmtId="0" fontId="18" fillId="40" borderId="10" xfId="0" applyFont="1" applyFill="1" applyBorder="1" applyAlignment="1">
      <alignment vertical="center" wrapText="1"/>
    </xf>
    <xf numFmtId="1" fontId="19" fillId="40" borderId="10" xfId="0" applyNumberFormat="1" applyFont="1" applyFill="1" applyBorder="1" applyAlignment="1">
      <alignment horizontal="center" vertical="center" wrapText="1"/>
    </xf>
    <xf numFmtId="1" fontId="18" fillId="35" borderId="10" xfId="0" applyNumberFormat="1" applyFont="1" applyFill="1" applyBorder="1" applyAlignment="1">
      <alignment horizontal="center" vertical="center" wrapText="1"/>
    </xf>
    <xf numFmtId="164" fontId="18" fillId="35" borderId="0" xfId="1" applyNumberFormat="1" applyFont="1" applyFill="1" applyBorder="1" applyAlignment="1">
      <alignment vertical="center" wrapText="1"/>
    </xf>
    <xf numFmtId="0" fontId="18" fillId="35" borderId="0" xfId="0" applyFont="1" applyFill="1" applyAlignment="1">
      <alignment horizontal="center" vertical="center" wrapText="1"/>
    </xf>
    <xf numFmtId="0" fontId="19" fillId="35" borderId="0" xfId="0" applyFont="1" applyFill="1" applyAlignment="1">
      <alignment horizontal="center" vertical="center" wrapText="1"/>
    </xf>
    <xf numFmtId="1" fontId="18" fillId="35" borderId="0" xfId="0" applyNumberFormat="1" applyFont="1" applyFill="1" applyAlignment="1">
      <alignment horizontal="center" vertical="center" wrapText="1"/>
    </xf>
    <xf numFmtId="9" fontId="19" fillId="35" borderId="0" xfId="0" applyNumberFormat="1" applyFont="1" applyFill="1" applyAlignment="1">
      <alignment horizontal="center" vertical="center" wrapText="1"/>
    </xf>
    <xf numFmtId="0" fontId="18" fillId="35" borderId="0" xfId="0" applyFont="1" applyFill="1" applyAlignment="1">
      <alignment horizontal="left" vertical="center" wrapText="1"/>
    </xf>
    <xf numFmtId="1" fontId="18" fillId="35" borderId="10" xfId="2" applyNumberFormat="1" applyFont="1" applyFill="1" applyBorder="1" applyAlignment="1">
      <alignment horizontal="center" vertical="center" wrapText="1"/>
    </xf>
    <xf numFmtId="1" fontId="18" fillId="35" borderId="10" xfId="44"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9" fillId="35" borderId="10" xfId="0" applyFont="1" applyFill="1" applyBorder="1" applyAlignment="1">
      <alignment horizontal="center" vertical="center" wrapText="1"/>
    </xf>
    <xf numFmtId="164" fontId="18" fillId="35" borderId="12" xfId="1" applyNumberFormat="1" applyFont="1" applyFill="1" applyBorder="1" applyAlignment="1">
      <alignment horizontal="center" vertical="center" wrapText="1"/>
    </xf>
    <xf numFmtId="9" fontId="18" fillId="35" borderId="12" xfId="2"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0" fontId="32" fillId="43" borderId="55" xfId="0" applyFont="1" applyFill="1" applyBorder="1" applyAlignment="1">
      <alignment horizontal="center" vertical="center" wrapText="1"/>
    </xf>
    <xf numFmtId="0" fontId="35" fillId="42" borderId="64" xfId="0" applyFont="1" applyFill="1" applyBorder="1" applyAlignment="1">
      <alignment vertical="center" wrapText="1"/>
    </xf>
    <xf numFmtId="0" fontId="35" fillId="42" borderId="60" xfId="0" applyFont="1" applyFill="1" applyBorder="1" applyAlignment="1">
      <alignment vertical="center" wrapText="1"/>
    </xf>
    <xf numFmtId="0" fontId="35" fillId="42" borderId="61" xfId="0" applyFont="1" applyFill="1" applyBorder="1" applyAlignment="1">
      <alignment vertical="center" wrapText="1"/>
    </xf>
    <xf numFmtId="0" fontId="35" fillId="42" borderId="0" xfId="0" applyFont="1" applyFill="1" applyAlignment="1">
      <alignment vertical="center" wrapText="1"/>
    </xf>
    <xf numFmtId="9" fontId="19" fillId="35" borderId="10" xfId="2" applyFont="1" applyFill="1" applyBorder="1" applyAlignment="1">
      <alignment horizontal="center" vertical="center" wrapText="1"/>
    </xf>
    <xf numFmtId="10" fontId="28" fillId="46" borderId="10" xfId="2"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9" fillId="35" borderId="10" xfId="0"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0" fontId="13" fillId="34" borderId="11" xfId="0" applyFont="1" applyFill="1" applyBorder="1" applyAlignment="1">
      <alignment horizontal="center" vertical="center" wrapText="1"/>
    </xf>
    <xf numFmtId="9" fontId="19" fillId="35" borderId="10" xfId="2" applyFont="1" applyFill="1" applyBorder="1" applyAlignment="1">
      <alignment horizontal="center" vertical="center" wrapText="1"/>
    </xf>
    <xf numFmtId="10" fontId="40" fillId="0" borderId="10" xfId="2" applyNumberFormat="1" applyFont="1" applyFill="1" applyBorder="1" applyAlignment="1">
      <alignment horizontal="center" vertical="center" wrapText="1"/>
    </xf>
    <xf numFmtId="10" fontId="41" fillId="35" borderId="10" xfId="2" applyNumberFormat="1" applyFont="1" applyFill="1" applyBorder="1" applyAlignment="1">
      <alignment horizontal="center" vertical="center" wrapText="1"/>
    </xf>
    <xf numFmtId="2" fontId="40" fillId="35" borderId="10" xfId="2" applyNumberFormat="1" applyFont="1" applyFill="1" applyBorder="1" applyAlignment="1">
      <alignment horizontal="center" vertical="center" wrapText="1"/>
    </xf>
    <xf numFmtId="10" fontId="41" fillId="0" borderId="10" xfId="2" applyNumberFormat="1" applyFont="1" applyFill="1" applyBorder="1" applyAlignment="1">
      <alignment horizontal="center" vertical="center" wrapText="1"/>
    </xf>
    <xf numFmtId="0" fontId="35" fillId="42" borderId="64" xfId="0" applyFont="1" applyFill="1" applyBorder="1" applyAlignment="1">
      <alignment vertical="center" wrapText="1"/>
    </xf>
    <xf numFmtId="9" fontId="18" fillId="35" borderId="10" xfId="2" applyFont="1" applyFill="1" applyBorder="1" applyAlignment="1">
      <alignment horizontal="left" vertical="center" wrapText="1"/>
    </xf>
    <xf numFmtId="0" fontId="18" fillId="35" borderId="10" xfId="2" applyNumberFormat="1" applyFont="1" applyFill="1" applyBorder="1" applyAlignment="1">
      <alignment horizontal="center" vertical="center" wrapText="1"/>
    </xf>
    <xf numFmtId="2" fontId="18" fillId="35" borderId="10" xfId="2" applyNumberFormat="1" applyFont="1" applyFill="1" applyBorder="1" applyAlignment="1">
      <alignment horizontal="center" vertical="center" wrapText="1"/>
    </xf>
    <xf numFmtId="2" fontId="39" fillId="35" borderId="10" xfId="2" applyNumberFormat="1" applyFont="1" applyFill="1" applyBorder="1" applyAlignment="1">
      <alignment horizontal="center" vertical="center" wrapText="1"/>
    </xf>
    <xf numFmtId="9" fontId="42" fillId="42" borderId="64" xfId="0" applyNumberFormat="1" applyFont="1" applyFill="1" applyBorder="1" applyAlignment="1">
      <alignment horizontal="center" vertical="center" wrapText="1"/>
    </xf>
    <xf numFmtId="9" fontId="42" fillId="42" borderId="66" xfId="0" applyNumberFormat="1" applyFont="1" applyFill="1" applyBorder="1" applyAlignment="1">
      <alignment horizontal="center" vertical="center" wrapText="1"/>
    </xf>
    <xf numFmtId="9" fontId="35" fillId="42" borderId="64" xfId="2" quotePrefix="1" applyFont="1" applyFill="1" applyBorder="1" applyAlignment="1">
      <alignment horizontal="center" vertical="center" wrapText="1"/>
    </xf>
    <xf numFmtId="9" fontId="35" fillId="42" borderId="66" xfId="2" quotePrefix="1" applyFont="1" applyFill="1" applyBorder="1" applyAlignment="1">
      <alignment horizontal="center" vertical="center" wrapText="1"/>
    </xf>
    <xf numFmtId="10" fontId="38" fillId="45" borderId="68" xfId="0" applyNumberFormat="1" applyFont="1" applyFill="1" applyBorder="1" applyAlignment="1">
      <alignment horizontal="center" vertical="center" wrapText="1"/>
    </xf>
    <xf numFmtId="9" fontId="29" fillId="42" borderId="66" xfId="0" applyNumberFormat="1" applyFont="1" applyFill="1" applyBorder="1" applyAlignment="1">
      <alignment horizontal="center" vertical="center" wrapText="1"/>
    </xf>
    <xf numFmtId="10" fontId="38" fillId="45" borderId="68" xfId="2" applyNumberFormat="1" applyFont="1" applyFill="1" applyBorder="1" applyAlignment="1">
      <alignment horizontal="center" vertical="center" wrapText="1"/>
    </xf>
    <xf numFmtId="9" fontId="38" fillId="45" borderId="68" xfId="0" applyNumberFormat="1" applyFont="1" applyFill="1" applyBorder="1" applyAlignment="1">
      <alignment horizontal="center" vertical="center" wrapText="1"/>
    </xf>
    <xf numFmtId="10" fontId="31" fillId="0" borderId="0" xfId="0" applyNumberFormat="1" applyFont="1" applyAlignment="1">
      <alignment vertical="center" wrapText="1"/>
    </xf>
    <xf numFmtId="10" fontId="37" fillId="45" borderId="67" xfId="0"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9" fontId="19" fillId="35" borderId="12" xfId="0" applyNumberFormat="1" applyFont="1" applyFill="1" applyBorder="1" applyAlignment="1">
      <alignment horizontal="center" vertical="center" wrapText="1"/>
    </xf>
    <xf numFmtId="0" fontId="19" fillId="35" borderId="10" xfId="0"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0" fontId="23" fillId="35" borderId="10" xfId="0" applyFont="1" applyFill="1" applyBorder="1" applyAlignment="1">
      <alignment horizontal="center" vertical="center" wrapText="1"/>
    </xf>
    <xf numFmtId="0" fontId="18" fillId="35" borderId="12" xfId="0" applyFont="1" applyFill="1" applyBorder="1" applyAlignment="1">
      <alignment horizontal="left" vertical="center" wrapText="1"/>
    </xf>
    <xf numFmtId="9" fontId="19" fillId="35" borderId="10" xfId="2" applyFont="1" applyFill="1" applyBorder="1" applyAlignment="1">
      <alignment horizontal="center" vertical="center" wrapText="1"/>
    </xf>
    <xf numFmtId="0" fontId="16" fillId="37" borderId="29" xfId="0" applyFont="1" applyFill="1" applyBorder="1" applyAlignment="1">
      <alignment horizontal="center" vertical="center"/>
    </xf>
    <xf numFmtId="9" fontId="18" fillId="35" borderId="12" xfId="2"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9" fillId="35" borderId="10" xfId="0"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0" fontId="13" fillId="36" borderId="20" xfId="0" applyFont="1" applyFill="1" applyBorder="1" applyAlignment="1">
      <alignment horizontal="right" wrapText="1"/>
    </xf>
    <xf numFmtId="0" fontId="13" fillId="36" borderId="21" xfId="0" applyFont="1" applyFill="1" applyBorder="1" applyAlignment="1">
      <alignment horizontal="right" wrapText="1"/>
    </xf>
    <xf numFmtId="10" fontId="16" fillId="37" borderId="73" xfId="2" applyNumberFormat="1" applyFont="1" applyFill="1" applyBorder="1" applyAlignment="1">
      <alignment horizontal="right"/>
    </xf>
    <xf numFmtId="10" fontId="16" fillId="37" borderId="74" xfId="2" applyNumberFormat="1" applyFont="1" applyFill="1" applyBorder="1" applyAlignment="1">
      <alignment horizontal="right"/>
    </xf>
    <xf numFmtId="10" fontId="16" fillId="37" borderId="75" xfId="2" applyNumberFormat="1" applyFont="1" applyFill="1" applyBorder="1" applyAlignment="1">
      <alignment horizontal="right"/>
    </xf>
    <xf numFmtId="10" fontId="16" fillId="37" borderId="76" xfId="2" applyNumberFormat="1" applyFont="1" applyFill="1" applyBorder="1" applyAlignment="1">
      <alignment horizontal="right"/>
    </xf>
    <xf numFmtId="10" fontId="0" fillId="38" borderId="73" xfId="2" applyNumberFormat="1" applyFont="1" applyFill="1" applyBorder="1" applyAlignment="1">
      <alignment horizontal="right"/>
    </xf>
    <xf numFmtId="10" fontId="0" fillId="38" borderId="77" xfId="2" applyNumberFormat="1" applyFont="1" applyFill="1" applyBorder="1" applyAlignment="1">
      <alignment horizontal="right"/>
    </xf>
    <xf numFmtId="10" fontId="0" fillId="38" borderId="78" xfId="2" applyNumberFormat="1" applyFont="1" applyFill="1" applyBorder="1" applyAlignment="1">
      <alignment horizontal="right"/>
    </xf>
    <xf numFmtId="10" fontId="0" fillId="38" borderId="76" xfId="2" applyNumberFormat="1" applyFont="1" applyFill="1" applyBorder="1" applyAlignment="1">
      <alignment horizontal="right"/>
    </xf>
    <xf numFmtId="10" fontId="16" fillId="37" borderId="77" xfId="2" applyNumberFormat="1" applyFont="1" applyFill="1" applyBorder="1" applyAlignment="1">
      <alignment horizontal="right"/>
    </xf>
    <xf numFmtId="10" fontId="16" fillId="37" borderId="78" xfId="2" applyNumberFormat="1" applyFont="1" applyFill="1" applyBorder="1" applyAlignment="1">
      <alignment horizontal="right"/>
    </xf>
    <xf numFmtId="165" fontId="16" fillId="37" borderId="73" xfId="2" applyNumberFormat="1" applyFont="1" applyFill="1" applyBorder="1" applyAlignment="1">
      <alignment horizontal="right"/>
    </xf>
    <xf numFmtId="10" fontId="43" fillId="37" borderId="36" xfId="2" applyNumberFormat="1" applyFont="1" applyFill="1" applyBorder="1" applyAlignment="1">
      <alignment horizontal="right"/>
    </xf>
    <xf numFmtId="10" fontId="43" fillId="37" borderId="37" xfId="2" applyNumberFormat="1" applyFont="1" applyFill="1" applyBorder="1" applyAlignment="1">
      <alignment horizontal="right"/>
    </xf>
    <xf numFmtId="10" fontId="43" fillId="37" borderId="79" xfId="2" applyNumberFormat="1" applyFont="1" applyFill="1" applyBorder="1" applyAlignment="1">
      <alignment horizontal="right"/>
    </xf>
    <xf numFmtId="10" fontId="43" fillId="37" borderId="80" xfId="2" applyNumberFormat="1" applyFont="1" applyFill="1" applyBorder="1" applyAlignment="1">
      <alignment horizontal="right"/>
    </xf>
    <xf numFmtId="10" fontId="43" fillId="37" borderId="39" xfId="2" applyNumberFormat="1" applyFont="1" applyFill="1" applyBorder="1" applyAlignment="1">
      <alignment horizontal="right"/>
    </xf>
    <xf numFmtId="10" fontId="16" fillId="37" borderId="40" xfId="2" applyNumberFormat="1" applyFont="1" applyFill="1" applyBorder="1" applyAlignment="1">
      <alignment horizontal="right"/>
    </xf>
    <xf numFmtId="10" fontId="16" fillId="37" borderId="79" xfId="2" applyNumberFormat="1" applyFont="1" applyFill="1" applyBorder="1" applyAlignment="1">
      <alignment horizontal="right"/>
    </xf>
    <xf numFmtId="10" fontId="0" fillId="35" borderId="79" xfId="2" applyNumberFormat="1" applyFont="1" applyFill="1" applyBorder="1" applyAlignment="1">
      <alignment horizontal="right"/>
    </xf>
    <xf numFmtId="10" fontId="0" fillId="35" borderId="80" xfId="2" applyNumberFormat="1" applyFont="1" applyFill="1" applyBorder="1" applyAlignment="1">
      <alignment horizontal="right"/>
    </xf>
    <xf numFmtId="10" fontId="0" fillId="38" borderId="81" xfId="2" applyNumberFormat="1" applyFont="1" applyFill="1" applyBorder="1" applyAlignment="1">
      <alignment horizontal="right"/>
    </xf>
    <xf numFmtId="10" fontId="0" fillId="38" borderId="82" xfId="2" applyNumberFormat="1" applyFont="1" applyFill="1" applyBorder="1" applyAlignment="1">
      <alignment horizontal="right"/>
    </xf>
    <xf numFmtId="10" fontId="16" fillId="37" borderId="32" xfId="2" applyNumberFormat="1" applyFont="1" applyFill="1" applyBorder="1" applyAlignment="1">
      <alignment horizontal="right"/>
    </xf>
    <xf numFmtId="10" fontId="16" fillId="37" borderId="83" xfId="2" applyNumberFormat="1" applyFont="1" applyFill="1" applyBorder="1" applyAlignment="1">
      <alignment horizontal="right"/>
    </xf>
    <xf numFmtId="10" fontId="16" fillId="37" borderId="84" xfId="2" applyNumberFormat="1" applyFont="1" applyFill="1" applyBorder="1" applyAlignment="1">
      <alignment horizontal="right"/>
    </xf>
    <xf numFmtId="10" fontId="31" fillId="37" borderId="23" xfId="0" applyNumberFormat="1" applyFont="1" applyFill="1" applyBorder="1"/>
    <xf numFmtId="165" fontId="0" fillId="35" borderId="85" xfId="2" applyNumberFormat="1" applyFont="1" applyFill="1" applyBorder="1" applyAlignment="1">
      <alignment horizontal="right"/>
    </xf>
    <xf numFmtId="165" fontId="0" fillId="35" borderId="86" xfId="2" applyNumberFormat="1" applyFont="1" applyFill="1" applyBorder="1" applyAlignment="1">
      <alignment horizontal="right"/>
    </xf>
    <xf numFmtId="10" fontId="0" fillId="35" borderId="86" xfId="2" applyNumberFormat="1" applyFont="1" applyFill="1" applyBorder="1" applyAlignment="1">
      <alignment horizontal="right"/>
    </xf>
    <xf numFmtId="10" fontId="0" fillId="35" borderId="85" xfId="2" applyNumberFormat="1" applyFont="1" applyFill="1" applyBorder="1" applyAlignment="1">
      <alignment horizontal="right"/>
    </xf>
    <xf numFmtId="10" fontId="0" fillId="35" borderId="87" xfId="2" applyNumberFormat="1" applyFont="1" applyFill="1" applyBorder="1" applyAlignment="1">
      <alignment horizontal="right"/>
    </xf>
    <xf numFmtId="10" fontId="0" fillId="38" borderId="87" xfId="2" applyNumberFormat="1" applyFont="1" applyFill="1" applyBorder="1" applyAlignment="1">
      <alignment horizontal="right"/>
    </xf>
    <xf numFmtId="10" fontId="0" fillId="35" borderId="0" xfId="2" applyNumberFormat="1" applyFont="1" applyFill="1" applyBorder="1" applyAlignment="1">
      <alignment horizontal="right"/>
    </xf>
    <xf numFmtId="10" fontId="16" fillId="37" borderId="88" xfId="2" applyNumberFormat="1" applyFont="1" applyFill="1" applyBorder="1" applyAlignment="1">
      <alignment horizontal="right"/>
    </xf>
    <xf numFmtId="10" fontId="16" fillId="37" borderId="89" xfId="2" applyNumberFormat="1" applyFont="1" applyFill="1" applyBorder="1" applyAlignment="1">
      <alignment horizontal="right"/>
    </xf>
    <xf numFmtId="10" fontId="16" fillId="37" borderId="90" xfId="2" applyNumberFormat="1" applyFont="1" applyFill="1" applyBorder="1" applyAlignment="1">
      <alignment horizontal="right"/>
    </xf>
    <xf numFmtId="10" fontId="0" fillId="38" borderId="0" xfId="2" applyNumberFormat="1" applyFont="1" applyFill="1" applyBorder="1" applyAlignment="1">
      <alignment horizontal="right"/>
    </xf>
    <xf numFmtId="10" fontId="0" fillId="38" borderId="42" xfId="2" applyNumberFormat="1" applyFont="1" applyFill="1" applyBorder="1" applyAlignment="1">
      <alignment horizontal="right"/>
    </xf>
    <xf numFmtId="10" fontId="16" fillId="37" borderId="30" xfId="2" applyNumberFormat="1" applyFont="1" applyFill="1" applyBorder="1" applyAlignment="1">
      <alignment horizontal="right"/>
    </xf>
    <xf numFmtId="10" fontId="16" fillId="37" borderId="0" xfId="2" applyNumberFormat="1" applyFont="1" applyFill="1" applyBorder="1" applyAlignment="1">
      <alignment horizontal="right"/>
    </xf>
    <xf numFmtId="10" fontId="25" fillId="42" borderId="36" xfId="0" applyNumberFormat="1" applyFont="1" applyFill="1" applyBorder="1"/>
    <xf numFmtId="10" fontId="25" fillId="42" borderId="91" xfId="0" applyNumberFormat="1" applyFont="1" applyFill="1" applyBorder="1"/>
    <xf numFmtId="165" fontId="0" fillId="35" borderId="79" xfId="2" applyNumberFormat="1" applyFont="1" applyFill="1" applyBorder="1" applyAlignment="1">
      <alignment horizontal="right"/>
    </xf>
    <xf numFmtId="165" fontId="0" fillId="35" borderId="39" xfId="2" applyNumberFormat="1" applyFont="1" applyFill="1" applyBorder="1" applyAlignment="1">
      <alignment horizontal="right"/>
    </xf>
    <xf numFmtId="10" fontId="25" fillId="42" borderId="26" xfId="0" applyNumberFormat="1" applyFont="1" applyFill="1" applyBorder="1"/>
    <xf numFmtId="0" fontId="25" fillId="42" borderId="47" xfId="0" applyFont="1" applyFill="1" applyBorder="1" applyAlignment="1">
      <alignment horizontal="right"/>
    </xf>
    <xf numFmtId="10" fontId="44" fillId="42" borderId="36" xfId="0" applyNumberFormat="1" applyFont="1" applyFill="1" applyBorder="1"/>
    <xf numFmtId="10" fontId="44" fillId="42" borderId="91" xfId="0" applyNumberFormat="1" applyFont="1" applyFill="1" applyBorder="1" applyAlignment="1">
      <alignment horizontal="right"/>
    </xf>
    <xf numFmtId="10" fontId="0" fillId="35" borderId="77" xfId="2" applyNumberFormat="1" applyFont="1" applyFill="1" applyBorder="1" applyAlignment="1">
      <alignment horizontal="right"/>
    </xf>
    <xf numFmtId="10" fontId="0" fillId="35" borderId="76" xfId="2" applyNumberFormat="1" applyFont="1" applyFill="1" applyBorder="1" applyAlignment="1">
      <alignment horizontal="right"/>
    </xf>
    <xf numFmtId="10" fontId="0" fillId="35" borderId="92" xfId="2" applyNumberFormat="1" applyFont="1" applyFill="1" applyBorder="1" applyAlignment="1">
      <alignment horizontal="right"/>
    </xf>
    <xf numFmtId="10" fontId="0" fillId="35" borderId="93" xfId="2" applyNumberFormat="1" applyFont="1" applyFill="1" applyBorder="1" applyAlignment="1">
      <alignment horizontal="right"/>
    </xf>
    <xf numFmtId="10" fontId="16" fillId="47" borderId="23" xfId="2" applyNumberFormat="1" applyFont="1" applyFill="1" applyBorder="1" applyAlignment="1">
      <alignment horizontal="right"/>
    </xf>
    <xf numFmtId="165" fontId="0" fillId="35" borderId="46" xfId="2" applyNumberFormat="1" applyFont="1" applyFill="1" applyBorder="1" applyAlignment="1">
      <alignment horizontal="right"/>
    </xf>
    <xf numFmtId="165" fontId="0" fillId="35" borderId="92" xfId="2" applyNumberFormat="1" applyFont="1" applyFill="1" applyBorder="1" applyAlignment="1">
      <alignment horizontal="right"/>
    </xf>
    <xf numFmtId="165" fontId="0" fillId="35" borderId="94" xfId="2" applyNumberFormat="1" applyFont="1" applyFill="1" applyBorder="1" applyAlignment="1">
      <alignment horizontal="right"/>
    </xf>
    <xf numFmtId="10" fontId="0" fillId="35" borderId="94" xfId="2" applyNumberFormat="1" applyFont="1" applyFill="1" applyBorder="1" applyAlignment="1">
      <alignment horizontal="right"/>
    </xf>
    <xf numFmtId="10" fontId="0" fillId="35" borderId="95" xfId="2" applyNumberFormat="1" applyFont="1" applyFill="1" applyBorder="1" applyAlignment="1">
      <alignment horizontal="right"/>
    </xf>
    <xf numFmtId="9" fontId="0" fillId="35" borderId="85" xfId="2" applyFont="1" applyFill="1" applyBorder="1" applyAlignment="1">
      <alignment horizontal="right"/>
    </xf>
    <xf numFmtId="9" fontId="0" fillId="35" borderId="86" xfId="2" applyFont="1" applyFill="1" applyBorder="1" applyAlignment="1">
      <alignment horizontal="right"/>
    </xf>
    <xf numFmtId="10" fontId="16" fillId="37" borderId="96" xfId="2" applyNumberFormat="1" applyFont="1" applyFill="1" applyBorder="1" applyAlignment="1">
      <alignment horizontal="right"/>
    </xf>
    <xf numFmtId="0" fontId="16" fillId="37" borderId="97" xfId="0" applyFont="1" applyFill="1" applyBorder="1" applyAlignment="1">
      <alignment horizontal="center" vertical="center"/>
    </xf>
    <xf numFmtId="10" fontId="16" fillId="37" borderId="98" xfId="2" applyNumberFormat="1" applyFont="1" applyFill="1" applyBorder="1" applyAlignment="1">
      <alignment horizontal="right"/>
    </xf>
    <xf numFmtId="10" fontId="16" fillId="37" borderId="99" xfId="2" applyNumberFormat="1" applyFont="1" applyFill="1" applyBorder="1" applyAlignment="1">
      <alignment horizontal="right"/>
    </xf>
    <xf numFmtId="10" fontId="16" fillId="37" borderId="100" xfId="2" applyNumberFormat="1" applyFont="1" applyFill="1" applyBorder="1" applyAlignment="1">
      <alignment horizontal="right"/>
    </xf>
    <xf numFmtId="10" fontId="21" fillId="36" borderId="32" xfId="0" applyNumberFormat="1" applyFont="1" applyFill="1" applyBorder="1" applyAlignment="1">
      <alignment horizontal="right"/>
    </xf>
    <xf numFmtId="10" fontId="21" fillId="36" borderId="101" xfId="0" applyNumberFormat="1" applyFont="1" applyFill="1" applyBorder="1" applyAlignment="1">
      <alignment horizontal="right"/>
    </xf>
    <xf numFmtId="10" fontId="21" fillId="36" borderId="102" xfId="0" applyNumberFormat="1" applyFont="1" applyFill="1" applyBorder="1" applyAlignment="1">
      <alignment horizontal="right"/>
    </xf>
    <xf numFmtId="10" fontId="21" fillId="36" borderId="99" xfId="0" applyNumberFormat="1" applyFont="1" applyFill="1" applyBorder="1" applyAlignment="1">
      <alignment horizontal="right"/>
    </xf>
    <xf numFmtId="10" fontId="21" fillId="36" borderId="103" xfId="0" applyNumberFormat="1" applyFont="1" applyFill="1" applyBorder="1" applyAlignment="1">
      <alignment horizontal="right"/>
    </xf>
    <xf numFmtId="10" fontId="21" fillId="36" borderId="90" xfId="0" applyNumberFormat="1" applyFont="1" applyFill="1" applyBorder="1" applyAlignment="1">
      <alignment horizontal="right"/>
    </xf>
    <xf numFmtId="10" fontId="45" fillId="35" borderId="0" xfId="0" applyNumberFormat="1" applyFont="1" applyFill="1"/>
    <xf numFmtId="9" fontId="0" fillId="35" borderId="0" xfId="0" applyNumberFormat="1" applyFill="1"/>
    <xf numFmtId="0" fontId="13" fillId="34" borderId="11" xfId="0" applyFont="1" applyFill="1" applyBorder="1" applyAlignment="1">
      <alignment horizontal="center" vertical="center" wrapText="1"/>
    </xf>
    <xf numFmtId="0" fontId="32" fillId="43" borderId="55" xfId="0" applyFont="1" applyFill="1" applyBorder="1" applyAlignment="1">
      <alignment horizontal="center" vertical="center" wrapText="1"/>
    </xf>
    <xf numFmtId="165" fontId="18" fillId="35" borderId="10" xfId="0" applyNumberFormat="1" applyFont="1" applyFill="1" applyBorder="1" applyAlignment="1">
      <alignment horizontal="center" vertical="center" wrapText="1"/>
    </xf>
    <xf numFmtId="0" fontId="13" fillId="48" borderId="11" xfId="0" applyFont="1" applyFill="1" applyBorder="1" applyAlignment="1">
      <alignment horizontal="center" vertical="center" wrapText="1"/>
    </xf>
    <xf numFmtId="9" fontId="13" fillId="48" borderId="11" xfId="2" applyFont="1" applyFill="1" applyBorder="1" applyAlignment="1">
      <alignment horizontal="center" vertical="center" wrapText="1"/>
    </xf>
    <xf numFmtId="10" fontId="13" fillId="48" borderId="11" xfId="2" applyNumberFormat="1" applyFont="1" applyFill="1" applyBorder="1" applyAlignment="1">
      <alignment horizontal="center" vertical="center" wrapText="1"/>
    </xf>
    <xf numFmtId="0" fontId="32" fillId="49" borderId="58" xfId="0" applyFont="1" applyFill="1" applyBorder="1" applyAlignment="1">
      <alignment horizontal="center" vertical="center" wrapText="1"/>
    </xf>
    <xf numFmtId="9" fontId="19" fillId="48" borderId="12" xfId="2" applyFont="1" applyFill="1" applyBorder="1" applyAlignment="1">
      <alignment vertical="center" wrapText="1"/>
    </xf>
    <xf numFmtId="0" fontId="13" fillId="34" borderId="11" xfId="0" applyFont="1" applyFill="1" applyBorder="1" applyAlignment="1">
      <alignment horizontal="center" vertical="center" wrapText="1"/>
    </xf>
    <xf numFmtId="0" fontId="29" fillId="42" borderId="64" xfId="0" applyFont="1" applyFill="1" applyBorder="1" applyAlignment="1">
      <alignment vertical="center" wrapText="1"/>
    </xf>
    <xf numFmtId="0" fontId="25" fillId="0" borderId="107" xfId="0" applyFont="1" applyBorder="1" applyAlignment="1">
      <alignment horizontal="center" wrapText="1"/>
    </xf>
    <xf numFmtId="0" fontId="25" fillId="0" borderId="0" xfId="0" applyFont="1" applyAlignment="1">
      <alignment horizontal="center" wrapText="1"/>
    </xf>
    <xf numFmtId="0" fontId="25" fillId="0" borderId="108" xfId="0" applyFont="1" applyBorder="1" applyAlignment="1">
      <alignment horizontal="center" wrapText="1"/>
    </xf>
    <xf numFmtId="0" fontId="25" fillId="0" borderId="109" xfId="0" applyFont="1" applyBorder="1" applyAlignment="1">
      <alignment horizontal="center" wrapText="1"/>
    </xf>
    <xf numFmtId="0" fontId="25" fillId="0" borderId="110" xfId="0" applyFont="1" applyBorder="1" applyAlignment="1">
      <alignment horizontal="center" wrapText="1"/>
    </xf>
    <xf numFmtId="0" fontId="25" fillId="0" borderId="111" xfId="0" applyFont="1" applyBorder="1" applyAlignment="1">
      <alignment horizontal="center" wrapText="1"/>
    </xf>
    <xf numFmtId="0" fontId="16" fillId="37" borderId="28" xfId="0" applyFont="1" applyFill="1" applyBorder="1" applyAlignment="1">
      <alignment horizontal="center" vertical="center"/>
    </xf>
    <xf numFmtId="0" fontId="16" fillId="37" borderId="29" xfId="0" applyFont="1" applyFill="1" applyBorder="1" applyAlignment="1">
      <alignment horizontal="center" vertical="center"/>
    </xf>
    <xf numFmtId="0" fontId="16" fillId="37" borderId="31" xfId="0" applyFont="1" applyFill="1" applyBorder="1" applyAlignment="1">
      <alignment horizontal="center" vertical="center"/>
    </xf>
    <xf numFmtId="0" fontId="16" fillId="37" borderId="44" xfId="0" applyFont="1" applyFill="1" applyBorder="1" applyAlignment="1">
      <alignment horizontal="center" vertical="center"/>
    </xf>
    <xf numFmtId="0" fontId="16" fillId="37" borderId="45" xfId="0" applyFont="1" applyFill="1" applyBorder="1" applyAlignment="1">
      <alignment horizontal="center" vertical="center"/>
    </xf>
    <xf numFmtId="0" fontId="16" fillId="37" borderId="49" xfId="0" applyFont="1" applyFill="1" applyBorder="1" applyAlignment="1">
      <alignment horizontal="center" vertical="center"/>
    </xf>
    <xf numFmtId="0" fontId="25" fillId="0" borderId="104" xfId="0" applyFont="1" applyBorder="1" applyAlignment="1">
      <alignment horizontal="center" wrapText="1"/>
    </xf>
    <xf numFmtId="0" fontId="25" fillId="0" borderId="105" xfId="0" applyFont="1" applyBorder="1" applyAlignment="1">
      <alignment horizontal="center" wrapText="1"/>
    </xf>
    <xf numFmtId="0" fontId="25" fillId="0" borderId="106" xfId="0" applyFont="1" applyBorder="1" applyAlignment="1">
      <alignment horizontal="center" wrapText="1"/>
    </xf>
    <xf numFmtId="0" fontId="13" fillId="36" borderId="20" xfId="0" applyFont="1" applyFill="1" applyBorder="1" applyAlignment="1">
      <alignment horizontal="center"/>
    </xf>
    <xf numFmtId="0" fontId="13" fillId="36" borderId="21" xfId="0" applyFont="1" applyFill="1" applyBorder="1" applyAlignment="1">
      <alignment horizontal="center"/>
    </xf>
    <xf numFmtId="0" fontId="16" fillId="37" borderId="47" xfId="0" applyFont="1" applyFill="1" applyBorder="1" applyAlignment="1">
      <alignment horizontal="center" vertical="center"/>
    </xf>
    <xf numFmtId="0" fontId="13" fillId="36" borderId="19" xfId="0" applyFont="1" applyFill="1" applyBorder="1" applyAlignment="1">
      <alignment horizontal="center" vertical="center"/>
    </xf>
    <xf numFmtId="0" fontId="13" fillId="36" borderId="22" xfId="0" applyFont="1" applyFill="1" applyBorder="1" applyAlignment="1">
      <alignment horizontal="center" vertical="center"/>
    </xf>
    <xf numFmtId="0" fontId="13" fillId="34" borderId="15" xfId="0" applyFont="1" applyFill="1" applyBorder="1" applyAlignment="1">
      <alignment horizontal="center" vertical="center" wrapText="1"/>
    </xf>
    <xf numFmtId="0" fontId="13" fillId="34" borderId="17" xfId="0"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22" fillId="34" borderId="15" xfId="0" applyFont="1" applyFill="1" applyBorder="1" applyAlignment="1">
      <alignment horizontal="center" vertical="center" wrapText="1"/>
    </xf>
    <xf numFmtId="0" fontId="22" fillId="34" borderId="16" xfId="0" applyFont="1" applyFill="1" applyBorder="1" applyAlignment="1">
      <alignment horizontal="center" vertical="center" wrapText="1"/>
    </xf>
    <xf numFmtId="0" fontId="22" fillId="34" borderId="17" xfId="0" applyFont="1" applyFill="1" applyBorder="1" applyAlignment="1">
      <alignment horizontal="center" vertical="center" wrapText="1"/>
    </xf>
    <xf numFmtId="9" fontId="19" fillId="35" borderId="18" xfId="2" applyFont="1" applyFill="1" applyBorder="1" applyAlignment="1">
      <alignment horizontal="center" vertical="center" wrapText="1"/>
    </xf>
    <xf numFmtId="9" fontId="19" fillId="35" borderId="12" xfId="2" applyFont="1" applyFill="1" applyBorder="1" applyAlignment="1">
      <alignment horizontal="center" vertical="center" wrapText="1"/>
    </xf>
    <xf numFmtId="0" fontId="23" fillId="35" borderId="10" xfId="0" applyFont="1" applyFill="1" applyBorder="1" applyAlignment="1">
      <alignment horizontal="center" vertical="center" wrapText="1"/>
    </xf>
    <xf numFmtId="164" fontId="18" fillId="35" borderId="18" xfId="1" applyNumberFormat="1" applyFont="1" applyFill="1" applyBorder="1" applyAlignment="1">
      <alignment horizontal="center" vertical="center" wrapText="1"/>
    </xf>
    <xf numFmtId="164" fontId="18" fillId="35" borderId="12" xfId="1" applyNumberFormat="1" applyFont="1" applyFill="1" applyBorder="1" applyAlignment="1">
      <alignment horizontal="center" vertical="center" wrapText="1"/>
    </xf>
    <xf numFmtId="0" fontId="18" fillId="35" borderId="18" xfId="0" applyFont="1" applyFill="1" applyBorder="1" applyAlignment="1">
      <alignment horizontal="center" vertical="center" wrapText="1"/>
    </xf>
    <xf numFmtId="0" fontId="18" fillId="35" borderId="12" xfId="0" applyFont="1" applyFill="1" applyBorder="1" applyAlignment="1">
      <alignment horizontal="center" vertical="center" wrapText="1"/>
    </xf>
    <xf numFmtId="9" fontId="19" fillId="35" borderId="18" xfId="0" applyNumberFormat="1" applyFont="1" applyFill="1" applyBorder="1" applyAlignment="1">
      <alignment horizontal="center" vertical="center" wrapText="1"/>
    </xf>
    <xf numFmtId="9" fontId="19" fillId="35" borderId="12" xfId="0" applyNumberFormat="1"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8" fillId="35" borderId="18" xfId="0" applyFont="1" applyFill="1" applyBorder="1" applyAlignment="1">
      <alignment horizontal="left" vertical="center" wrapText="1"/>
    </xf>
    <xf numFmtId="0" fontId="18" fillId="35" borderId="12" xfId="0" applyFont="1" applyFill="1" applyBorder="1" applyAlignment="1">
      <alignment horizontal="left" vertical="center" wrapText="1"/>
    </xf>
    <xf numFmtId="9" fontId="18" fillId="35" borderId="18" xfId="2" applyFont="1" applyFill="1" applyBorder="1" applyAlignment="1">
      <alignment horizontal="center" vertical="center" wrapText="1"/>
    </xf>
    <xf numFmtId="9" fontId="18" fillId="35" borderId="14" xfId="2" applyFont="1" applyFill="1" applyBorder="1" applyAlignment="1">
      <alignment horizontal="center" vertical="center" wrapText="1"/>
    </xf>
    <xf numFmtId="9" fontId="18" fillId="35" borderId="12" xfId="2" applyFont="1" applyFill="1" applyBorder="1" applyAlignment="1">
      <alignment horizontal="center" vertical="center" wrapText="1"/>
    </xf>
    <xf numFmtId="10" fontId="18" fillId="35" borderId="18" xfId="2" applyNumberFormat="1" applyFont="1" applyFill="1" applyBorder="1" applyAlignment="1">
      <alignment horizontal="center" vertical="center" wrapText="1"/>
    </xf>
    <xf numFmtId="10" fontId="18" fillId="35" borderId="14" xfId="2" applyNumberFormat="1" applyFont="1" applyFill="1" applyBorder="1" applyAlignment="1">
      <alignment horizontal="center" vertical="center" wrapText="1"/>
    </xf>
    <xf numFmtId="10" fontId="18" fillId="35" borderId="12" xfId="2" applyNumberFormat="1" applyFont="1" applyFill="1" applyBorder="1" applyAlignment="1">
      <alignment horizontal="center" vertical="center" wrapText="1"/>
    </xf>
    <xf numFmtId="0" fontId="22" fillId="48" borderId="70" xfId="0" applyFont="1" applyFill="1" applyBorder="1" applyAlignment="1">
      <alignment horizontal="center" vertical="center" wrapText="1"/>
    </xf>
    <xf numFmtId="0" fontId="22" fillId="48" borderId="71" xfId="0" applyFont="1" applyFill="1" applyBorder="1" applyAlignment="1">
      <alignment horizontal="center" vertical="center" wrapText="1"/>
    </xf>
    <xf numFmtId="0" fontId="22" fillId="48" borderId="72" xfId="0" applyFont="1" applyFill="1" applyBorder="1" applyAlignment="1">
      <alignment horizontal="center" vertical="center" wrapText="1"/>
    </xf>
    <xf numFmtId="0" fontId="19" fillId="35" borderId="18" xfId="0" applyFont="1" applyFill="1" applyBorder="1" applyAlignment="1">
      <alignment horizontal="center" vertical="center" wrapText="1"/>
    </xf>
    <xf numFmtId="0" fontId="19" fillId="35" borderId="14" xfId="0" applyFont="1" applyFill="1" applyBorder="1" applyAlignment="1">
      <alignment horizontal="center" vertical="center" wrapText="1"/>
    </xf>
    <xf numFmtId="0" fontId="19" fillId="35" borderId="12" xfId="0" applyFont="1" applyFill="1" applyBorder="1" applyAlignment="1">
      <alignment horizontal="center" vertical="center" wrapText="1"/>
    </xf>
    <xf numFmtId="0" fontId="18" fillId="35" borderId="14" xfId="0" applyFont="1" applyFill="1" applyBorder="1" applyAlignment="1">
      <alignment horizontal="center" vertical="center" wrapText="1"/>
    </xf>
    <xf numFmtId="0" fontId="22" fillId="48" borderId="15" xfId="0" applyFont="1" applyFill="1" applyBorder="1" applyAlignment="1">
      <alignment horizontal="center" vertical="center" wrapText="1"/>
    </xf>
    <xf numFmtId="0" fontId="22" fillId="48" borderId="16" xfId="0" applyFont="1" applyFill="1" applyBorder="1" applyAlignment="1">
      <alignment horizontal="center" vertical="center" wrapText="1"/>
    </xf>
    <xf numFmtId="0" fontId="22" fillId="48" borderId="17" xfId="0" applyFont="1" applyFill="1" applyBorder="1" applyAlignment="1">
      <alignment horizontal="center" vertical="center" wrapText="1"/>
    </xf>
    <xf numFmtId="9" fontId="19" fillId="35" borderId="14" xfId="0" applyNumberFormat="1" applyFont="1" applyFill="1" applyBorder="1" applyAlignment="1">
      <alignment horizontal="center" vertical="center" wrapText="1"/>
    </xf>
    <xf numFmtId="0" fontId="19" fillId="35" borderId="10" xfId="0" applyFont="1" applyFill="1" applyBorder="1" applyAlignment="1">
      <alignment horizontal="center" vertical="center" wrapText="1"/>
    </xf>
    <xf numFmtId="164" fontId="18" fillId="35" borderId="14" xfId="1" applyNumberFormat="1" applyFont="1" applyFill="1" applyBorder="1" applyAlignment="1">
      <alignment horizontal="center" vertical="center" wrapText="1"/>
    </xf>
    <xf numFmtId="0" fontId="13" fillId="48" borderId="11" xfId="0" applyFont="1" applyFill="1" applyBorder="1" applyAlignment="1">
      <alignment horizontal="center" vertical="center" wrapText="1"/>
    </xf>
    <xf numFmtId="9" fontId="19" fillId="35" borderId="14" xfId="2" applyFont="1" applyFill="1" applyBorder="1" applyAlignment="1">
      <alignment horizontal="center" vertical="center" wrapText="1"/>
    </xf>
    <xf numFmtId="10" fontId="19" fillId="35" borderId="18" xfId="2" applyNumberFormat="1" applyFont="1" applyFill="1" applyBorder="1" applyAlignment="1">
      <alignment horizontal="center" vertical="center" wrapText="1"/>
    </xf>
    <xf numFmtId="10" fontId="19" fillId="35" borderId="14" xfId="2" applyNumberFormat="1" applyFont="1" applyFill="1" applyBorder="1" applyAlignment="1">
      <alignment horizontal="center" vertical="center" wrapText="1"/>
    </xf>
    <xf numFmtId="10" fontId="19" fillId="35" borderId="12" xfId="2" applyNumberFormat="1" applyFont="1" applyFill="1" applyBorder="1" applyAlignment="1">
      <alignment horizontal="center" vertical="center" wrapText="1"/>
    </xf>
    <xf numFmtId="9" fontId="19" fillId="35" borderId="18" xfId="2" applyNumberFormat="1" applyFont="1" applyFill="1" applyBorder="1" applyAlignment="1">
      <alignment horizontal="center" vertical="center" wrapText="1"/>
    </xf>
    <xf numFmtId="9" fontId="19" fillId="35" borderId="14" xfId="2" applyNumberFormat="1" applyFont="1" applyFill="1" applyBorder="1" applyAlignment="1">
      <alignment horizontal="center" vertical="center" wrapText="1"/>
    </xf>
    <xf numFmtId="9" fontId="19" fillId="35" borderId="12" xfId="2" applyNumberFormat="1" applyFont="1" applyFill="1" applyBorder="1" applyAlignment="1">
      <alignment horizontal="center" vertical="center" wrapText="1"/>
    </xf>
    <xf numFmtId="9" fontId="19" fillId="40" borderId="18" xfId="2" applyFont="1" applyFill="1" applyBorder="1" applyAlignment="1">
      <alignment horizontal="center" vertical="center" wrapText="1"/>
    </xf>
    <xf numFmtId="9" fontId="19" fillId="40" borderId="14" xfId="2" applyFont="1" applyFill="1" applyBorder="1" applyAlignment="1">
      <alignment horizontal="center" vertical="center" wrapText="1"/>
    </xf>
    <xf numFmtId="9" fontId="19" fillId="40" borderId="12" xfId="2" applyFont="1" applyFill="1" applyBorder="1" applyAlignment="1">
      <alignment horizontal="center" vertical="center" wrapText="1"/>
    </xf>
    <xf numFmtId="0" fontId="0" fillId="0" borderId="0" xfId="0" applyAlignment="1">
      <alignment horizontal="center" wrapText="1"/>
    </xf>
    <xf numFmtId="9" fontId="18" fillId="35" borderId="18" xfId="0" applyNumberFormat="1" applyFont="1" applyFill="1" applyBorder="1" applyAlignment="1">
      <alignment horizontal="center" vertical="center" wrapText="1"/>
    </xf>
    <xf numFmtId="9" fontId="18" fillId="35" borderId="14" xfId="0" applyNumberFormat="1" applyFont="1" applyFill="1" applyBorder="1" applyAlignment="1">
      <alignment horizontal="center" vertical="center" wrapText="1"/>
    </xf>
    <xf numFmtId="9" fontId="18" fillId="35" borderId="12" xfId="0" applyNumberFormat="1" applyFont="1" applyFill="1" applyBorder="1" applyAlignment="1">
      <alignment horizontal="center" vertical="center" wrapText="1"/>
    </xf>
    <xf numFmtId="9" fontId="18" fillId="40" borderId="18" xfId="0" applyNumberFormat="1" applyFont="1" applyFill="1" applyBorder="1" applyAlignment="1">
      <alignment horizontal="center" vertical="center" wrapText="1"/>
    </xf>
    <xf numFmtId="9" fontId="18" fillId="40" borderId="14" xfId="0" applyNumberFormat="1" applyFont="1" applyFill="1" applyBorder="1" applyAlignment="1">
      <alignment horizontal="center" vertical="center" wrapText="1"/>
    </xf>
    <xf numFmtId="9" fontId="18" fillId="40" borderId="12" xfId="0" applyNumberFormat="1" applyFont="1" applyFill="1" applyBorder="1" applyAlignment="1">
      <alignment horizontal="center" vertical="center" wrapText="1"/>
    </xf>
    <xf numFmtId="1" fontId="18" fillId="35" borderId="18" xfId="0" applyNumberFormat="1"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1" fontId="19" fillId="35" borderId="18" xfId="0" applyNumberFormat="1" applyFont="1" applyFill="1" applyBorder="1" applyAlignment="1">
      <alignment horizontal="center" vertical="center" wrapText="1"/>
    </xf>
    <xf numFmtId="1" fontId="19" fillId="35" borderId="12" xfId="0" applyNumberFormat="1"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40" borderId="18" xfId="0" applyNumberFormat="1" applyFont="1" applyFill="1" applyBorder="1" applyAlignment="1">
      <alignment horizontal="center" vertical="center" wrapText="1"/>
    </xf>
    <xf numFmtId="9" fontId="19" fillId="40" borderId="14" xfId="0" applyNumberFormat="1" applyFont="1" applyFill="1" applyBorder="1" applyAlignment="1">
      <alignment horizontal="center" vertical="center" wrapText="1"/>
    </xf>
    <xf numFmtId="9" fontId="19" fillId="40" borderId="12" xfId="0" applyNumberFormat="1" applyFont="1" applyFill="1" applyBorder="1" applyAlignment="1">
      <alignment horizontal="center" vertical="center" wrapText="1"/>
    </xf>
    <xf numFmtId="1" fontId="18" fillId="40" borderId="18" xfId="0" applyNumberFormat="1" applyFont="1" applyFill="1" applyBorder="1" applyAlignment="1">
      <alignment horizontal="center" vertical="center" wrapText="1"/>
    </xf>
    <xf numFmtId="1" fontId="18" fillId="40" borderId="12" xfId="0" applyNumberFormat="1" applyFont="1" applyFill="1" applyBorder="1" applyAlignment="1">
      <alignment horizontal="center" vertical="center" wrapText="1"/>
    </xf>
    <xf numFmtId="1" fontId="19" fillId="40" borderId="18" xfId="0" applyNumberFormat="1" applyFont="1" applyFill="1" applyBorder="1" applyAlignment="1">
      <alignment horizontal="center" vertical="center" wrapText="1"/>
    </xf>
    <xf numFmtId="1" fontId="19" fillId="40" borderId="12" xfId="0" applyNumberFormat="1" applyFont="1" applyFill="1" applyBorder="1" applyAlignment="1">
      <alignment horizontal="center" vertical="center" wrapText="1"/>
    </xf>
    <xf numFmtId="0" fontId="18" fillId="40" borderId="18" xfId="0" applyFont="1" applyFill="1" applyBorder="1" applyAlignment="1">
      <alignment horizontal="center" vertical="center" wrapText="1"/>
    </xf>
    <xf numFmtId="0" fontId="18" fillId="40" borderId="14" xfId="0" applyFont="1" applyFill="1" applyBorder="1" applyAlignment="1">
      <alignment horizontal="center" vertical="center" wrapText="1"/>
    </xf>
    <xf numFmtId="0" fontId="18" fillId="40" borderId="12" xfId="0" applyFont="1" applyFill="1" applyBorder="1" applyAlignment="1">
      <alignment horizontal="center" vertical="center" wrapText="1"/>
    </xf>
    <xf numFmtId="1" fontId="19" fillId="40" borderId="14" xfId="0" applyNumberFormat="1" applyFont="1" applyFill="1" applyBorder="1" applyAlignment="1">
      <alignment horizontal="center" vertical="center" wrapText="1"/>
    </xf>
    <xf numFmtId="0" fontId="23" fillId="35" borderId="18" xfId="0" applyFont="1" applyFill="1" applyBorder="1" applyAlignment="1">
      <alignment horizontal="center" vertical="center" wrapText="1"/>
    </xf>
    <xf numFmtId="0" fontId="23" fillId="35" borderId="14" xfId="0" applyFont="1" applyFill="1" applyBorder="1" applyAlignment="1">
      <alignment horizontal="center" vertical="center" wrapText="1"/>
    </xf>
    <xf numFmtId="0" fontId="23" fillId="35" borderId="12" xfId="0" applyFont="1" applyFill="1" applyBorder="1" applyAlignment="1">
      <alignment horizontal="center" vertical="center" wrapText="1"/>
    </xf>
    <xf numFmtId="9" fontId="19" fillId="35" borderId="51" xfId="2" applyFont="1" applyFill="1" applyBorder="1" applyAlignment="1">
      <alignment horizontal="center" vertical="center" wrapText="1"/>
    </xf>
    <xf numFmtId="9" fontId="19" fillId="35" borderId="52" xfId="2" applyFont="1" applyFill="1" applyBorder="1" applyAlignment="1">
      <alignment horizontal="center" vertical="center" wrapText="1"/>
    </xf>
    <xf numFmtId="9" fontId="19" fillId="35" borderId="53" xfId="2" applyFont="1" applyFill="1" applyBorder="1" applyAlignment="1">
      <alignment horizontal="center" vertical="center" wrapText="1"/>
    </xf>
    <xf numFmtId="2" fontId="18" fillId="35" borderId="18" xfId="2" applyNumberFormat="1" applyFont="1" applyFill="1" applyBorder="1" applyAlignment="1">
      <alignment horizontal="center" vertical="center" wrapText="1"/>
    </xf>
    <xf numFmtId="2" fontId="18" fillId="35" borderId="14" xfId="2" applyNumberFormat="1" applyFont="1" applyFill="1" applyBorder="1" applyAlignment="1">
      <alignment horizontal="center" vertical="center" wrapText="1"/>
    </xf>
    <xf numFmtId="2" fontId="18" fillId="35" borderId="12" xfId="2" applyNumberFormat="1" applyFont="1" applyFill="1" applyBorder="1" applyAlignment="1">
      <alignment horizontal="center" vertical="center" wrapText="1"/>
    </xf>
    <xf numFmtId="0" fontId="18" fillId="35" borderId="18" xfId="2" applyNumberFormat="1" applyFont="1" applyFill="1" applyBorder="1" applyAlignment="1">
      <alignment horizontal="center" vertical="center" wrapText="1"/>
    </xf>
    <xf numFmtId="0" fontId="18" fillId="35" borderId="12" xfId="2" applyNumberFormat="1" applyFont="1" applyFill="1" applyBorder="1" applyAlignment="1">
      <alignment horizontal="center" vertical="center" wrapText="1"/>
    </xf>
    <xf numFmtId="165" fontId="18" fillId="35" borderId="18" xfId="2" applyNumberFormat="1" applyFont="1" applyFill="1" applyBorder="1" applyAlignment="1">
      <alignment horizontal="center" vertical="center" wrapText="1"/>
    </xf>
    <xf numFmtId="165" fontId="18" fillId="35" borderId="14" xfId="2" applyNumberFormat="1" applyFont="1" applyFill="1" applyBorder="1" applyAlignment="1">
      <alignment horizontal="center" vertical="center" wrapText="1"/>
    </xf>
    <xf numFmtId="165" fontId="18" fillId="35" borderId="12" xfId="2" applyNumberFormat="1" applyFont="1" applyFill="1" applyBorder="1" applyAlignment="1">
      <alignment horizontal="center" vertical="center" wrapText="1"/>
    </xf>
    <xf numFmtId="0" fontId="19" fillId="35" borderId="18" xfId="2" applyNumberFormat="1" applyFont="1" applyFill="1" applyBorder="1" applyAlignment="1">
      <alignment horizontal="center" vertical="center" wrapText="1"/>
    </xf>
    <xf numFmtId="0" fontId="19" fillId="35" borderId="14" xfId="2" applyNumberFormat="1" applyFont="1" applyFill="1" applyBorder="1" applyAlignment="1">
      <alignment horizontal="center" vertical="center" wrapText="1"/>
    </xf>
    <xf numFmtId="0" fontId="19" fillId="35" borderId="12" xfId="2" applyNumberFormat="1" applyFont="1" applyFill="1" applyBorder="1" applyAlignment="1">
      <alignment horizontal="center" vertical="center" wrapText="1"/>
    </xf>
    <xf numFmtId="1" fontId="19" fillId="35" borderId="18" xfId="2" applyNumberFormat="1" applyFont="1" applyFill="1" applyBorder="1" applyAlignment="1">
      <alignment horizontal="center" vertical="center" wrapText="1"/>
    </xf>
    <xf numFmtId="1" fontId="19" fillId="35" borderId="12" xfId="2" applyNumberFormat="1" applyFont="1" applyFill="1" applyBorder="1" applyAlignment="1">
      <alignment horizontal="center" vertical="center" wrapText="1"/>
    </xf>
    <xf numFmtId="1" fontId="19" fillId="35" borderId="14" xfId="0" applyNumberFormat="1" applyFont="1" applyFill="1" applyBorder="1" applyAlignment="1">
      <alignment horizontal="center" vertical="center" wrapText="1"/>
    </xf>
    <xf numFmtId="165" fontId="19" fillId="35" borderId="18" xfId="2" applyNumberFormat="1" applyFont="1" applyFill="1" applyBorder="1" applyAlignment="1">
      <alignment horizontal="center" vertical="center" wrapText="1"/>
    </xf>
    <xf numFmtId="165" fontId="19" fillId="35" borderId="12" xfId="2" applyNumberFormat="1" applyFont="1" applyFill="1" applyBorder="1" applyAlignment="1">
      <alignment horizontal="center" vertical="center" wrapText="1"/>
    </xf>
    <xf numFmtId="165" fontId="19" fillId="35" borderId="14" xfId="2" applyNumberFormat="1" applyFont="1" applyFill="1" applyBorder="1" applyAlignment="1">
      <alignment horizontal="center" vertical="center" wrapText="1"/>
    </xf>
    <xf numFmtId="0" fontId="18" fillId="41" borderId="10" xfId="0" applyFont="1" applyFill="1" applyBorder="1" applyAlignment="1">
      <alignment horizontal="center" vertical="center" wrapText="1"/>
    </xf>
    <xf numFmtId="2" fontId="19" fillId="35" borderId="18" xfId="2" applyNumberFormat="1" applyFont="1" applyFill="1" applyBorder="1" applyAlignment="1">
      <alignment horizontal="center" vertical="center" wrapText="1"/>
    </xf>
    <xf numFmtId="2" fontId="19" fillId="35" borderId="14" xfId="2" applyNumberFormat="1" applyFont="1" applyFill="1" applyBorder="1" applyAlignment="1">
      <alignment horizontal="center" vertical="center" wrapText="1"/>
    </xf>
    <xf numFmtId="2" fontId="19" fillId="35" borderId="12" xfId="2" applyNumberFormat="1" applyFont="1" applyFill="1" applyBorder="1" applyAlignment="1">
      <alignment horizontal="center" vertical="center" wrapText="1"/>
    </xf>
    <xf numFmtId="164" fontId="19" fillId="35" borderId="18" xfId="1" applyNumberFormat="1" applyFont="1" applyFill="1" applyBorder="1" applyAlignment="1">
      <alignment horizontal="center" vertical="center" wrapText="1"/>
    </xf>
    <xf numFmtId="164" fontId="19" fillId="35" borderId="14" xfId="1" applyNumberFormat="1" applyFont="1" applyFill="1" applyBorder="1" applyAlignment="1">
      <alignment horizontal="center" vertical="center" wrapText="1"/>
    </xf>
    <xf numFmtId="164" fontId="19" fillId="35" borderId="12" xfId="1" applyNumberFormat="1" applyFont="1" applyFill="1" applyBorder="1" applyAlignment="1">
      <alignment horizontal="center" vertical="center" wrapText="1"/>
    </xf>
    <xf numFmtId="1" fontId="18" fillId="35" borderId="18" xfId="2" applyNumberFormat="1" applyFont="1" applyFill="1" applyBorder="1" applyAlignment="1">
      <alignment horizontal="center" vertical="center" wrapText="1"/>
    </xf>
    <xf numFmtId="1" fontId="18" fillId="35" borderId="14" xfId="2" applyNumberFormat="1" applyFont="1" applyFill="1" applyBorder="1" applyAlignment="1">
      <alignment horizontal="center" vertical="center" wrapText="1"/>
    </xf>
    <xf numFmtId="1" fontId="18" fillId="35" borderId="12" xfId="2" applyNumberFormat="1" applyFont="1" applyFill="1" applyBorder="1" applyAlignment="1">
      <alignment horizontal="center" vertical="center" wrapText="1"/>
    </xf>
    <xf numFmtId="1" fontId="19" fillId="35" borderId="14" xfId="2" applyNumberFormat="1" applyFont="1" applyFill="1" applyBorder="1" applyAlignment="1">
      <alignment horizontal="center" vertical="center" wrapText="1"/>
    </xf>
    <xf numFmtId="0" fontId="32" fillId="43" borderId="56" xfId="0" applyFont="1" applyFill="1" applyBorder="1" applyAlignment="1">
      <alignment horizontal="center" vertical="center" wrapText="1"/>
    </xf>
    <xf numFmtId="0" fontId="32" fillId="43" borderId="55" xfId="0" applyFont="1" applyFill="1" applyBorder="1" applyAlignment="1">
      <alignment horizontal="center" vertical="center" wrapText="1"/>
    </xf>
    <xf numFmtId="0" fontId="33" fillId="43" borderId="56" xfId="0" applyFont="1" applyFill="1" applyBorder="1" applyAlignment="1">
      <alignment horizontal="center" vertical="center" wrapText="1"/>
    </xf>
    <xf numFmtId="0" fontId="33" fillId="43" borderId="55" xfId="0" applyFont="1" applyFill="1" applyBorder="1" applyAlignment="1">
      <alignment horizontal="center" vertical="center" wrapText="1"/>
    </xf>
    <xf numFmtId="0" fontId="32" fillId="49" borderId="56" xfId="0" applyFont="1" applyFill="1" applyBorder="1" applyAlignment="1">
      <alignment horizontal="center" vertical="center" wrapText="1"/>
    </xf>
    <xf numFmtId="0" fontId="32" fillId="49" borderId="55" xfId="0" applyFont="1" applyFill="1" applyBorder="1" applyAlignment="1">
      <alignment horizontal="center" vertical="center" wrapText="1"/>
    </xf>
    <xf numFmtId="0" fontId="33" fillId="49" borderId="56" xfId="0" applyFont="1" applyFill="1" applyBorder="1" applyAlignment="1">
      <alignment horizontal="center" vertical="center" wrapText="1"/>
    </xf>
    <xf numFmtId="0" fontId="33" fillId="49" borderId="55" xfId="0" applyFont="1" applyFill="1" applyBorder="1" applyAlignment="1">
      <alignment horizontal="center" vertical="center" wrapText="1"/>
    </xf>
    <xf numFmtId="0" fontId="35" fillId="42" borderId="65" xfId="0" applyFont="1" applyFill="1" applyBorder="1" applyAlignment="1">
      <alignment vertical="center" wrapText="1"/>
    </xf>
    <xf numFmtId="0" fontId="35" fillId="42" borderId="64" xfId="0" applyFont="1" applyFill="1" applyBorder="1" applyAlignment="1">
      <alignment vertical="center" wrapText="1"/>
    </xf>
    <xf numFmtId="0" fontId="35" fillId="42" borderId="60" xfId="0" applyFont="1" applyFill="1" applyBorder="1" applyAlignment="1">
      <alignment vertical="center" wrapText="1"/>
    </xf>
    <xf numFmtId="0" fontId="35" fillId="42" borderId="61" xfId="0" applyFont="1" applyFill="1" applyBorder="1" applyAlignment="1">
      <alignment vertical="center" wrapText="1"/>
    </xf>
    <xf numFmtId="0" fontId="36" fillId="42" borderId="60" xfId="0" quotePrefix="1" applyFont="1" applyFill="1" applyBorder="1" applyAlignment="1">
      <alignment horizontal="center" vertical="center" wrapText="1"/>
    </xf>
    <xf numFmtId="0" fontId="36" fillId="42" borderId="61" xfId="0" applyFont="1" applyFill="1" applyBorder="1" applyAlignment="1">
      <alignment horizontal="center" vertical="center" wrapText="1"/>
    </xf>
    <xf numFmtId="9" fontId="35" fillId="42" borderId="59" xfId="0" applyNumberFormat="1" applyFont="1" applyFill="1" applyBorder="1" applyAlignment="1">
      <alignment horizontal="center" vertical="center" wrapText="1"/>
    </xf>
    <xf numFmtId="0" fontId="35" fillId="42" borderId="61" xfId="0" applyFont="1" applyFill="1" applyBorder="1" applyAlignment="1">
      <alignment horizontal="center" vertical="center" wrapText="1"/>
    </xf>
    <xf numFmtId="0" fontId="35" fillId="42" borderId="59" xfId="0" quotePrefix="1" applyFont="1" applyFill="1" applyBorder="1" applyAlignment="1">
      <alignment horizontal="center" vertical="center" wrapText="1"/>
    </xf>
    <xf numFmtId="0" fontId="35" fillId="42" borderId="59" xfId="0" applyFont="1" applyFill="1" applyBorder="1" applyAlignment="1">
      <alignment vertical="center" wrapText="1"/>
    </xf>
    <xf numFmtId="9" fontId="35" fillId="42" borderId="60" xfId="0" applyNumberFormat="1" applyFont="1" applyFill="1" applyBorder="1" applyAlignment="1">
      <alignment horizontal="center" vertical="center" wrapText="1"/>
    </xf>
    <xf numFmtId="0" fontId="36" fillId="42" borderId="59" xfId="0" applyFont="1" applyFill="1" applyBorder="1" applyAlignment="1">
      <alignment vertical="center" wrapText="1"/>
    </xf>
    <xf numFmtId="0" fontId="36" fillId="42" borderId="60" xfId="0" applyFont="1" applyFill="1" applyBorder="1" applyAlignment="1">
      <alignment vertical="center" wrapText="1"/>
    </xf>
    <xf numFmtId="0" fontId="36" fillId="42" borderId="61" xfId="0" applyFont="1" applyFill="1" applyBorder="1" applyAlignment="1">
      <alignment vertical="center" wrapText="1"/>
    </xf>
    <xf numFmtId="0" fontId="36" fillId="42" borderId="60" xfId="0" applyFont="1" applyFill="1" applyBorder="1" applyAlignment="1">
      <alignment horizontal="center" vertical="center" wrapText="1"/>
    </xf>
    <xf numFmtId="0" fontId="29" fillId="42" borderId="59" xfId="0" applyFont="1" applyFill="1" applyBorder="1" applyAlignment="1">
      <alignment vertical="center" wrapText="1"/>
    </xf>
    <xf numFmtId="9" fontId="36" fillId="42" borderId="60" xfId="0" applyNumberFormat="1" applyFont="1" applyFill="1" applyBorder="1" applyAlignment="1">
      <alignment horizontal="center" vertical="center" wrapText="1"/>
    </xf>
    <xf numFmtId="0" fontId="35" fillId="42" borderId="62" xfId="0" applyFont="1" applyFill="1" applyBorder="1" applyAlignment="1">
      <alignment vertical="center" wrapText="1"/>
    </xf>
    <xf numFmtId="0" fontId="35" fillId="42" borderId="0" xfId="0" applyFont="1" applyFill="1" applyAlignment="1">
      <alignment vertical="center" wrapText="1"/>
    </xf>
    <xf numFmtId="0" fontId="36" fillId="42" borderId="59" xfId="0" applyFont="1" applyFill="1" applyBorder="1" applyAlignment="1">
      <alignment horizontal="center" vertical="center" wrapText="1"/>
    </xf>
    <xf numFmtId="164" fontId="18" fillId="35" borderId="13" xfId="1" applyNumberFormat="1" applyFont="1" applyFill="1" applyBorder="1" applyAlignment="1">
      <alignment horizontal="center" vertical="center" wrapText="1"/>
    </xf>
    <xf numFmtId="0" fontId="18" fillId="35" borderId="13" xfId="0" applyFont="1" applyFill="1" applyBorder="1" applyAlignment="1">
      <alignment horizontal="center" vertical="center" wrapText="1"/>
    </xf>
    <xf numFmtId="0" fontId="23" fillId="35" borderId="13" xfId="0" applyFont="1" applyFill="1" applyBorder="1" applyAlignment="1">
      <alignment horizontal="center" vertical="center" wrapText="1"/>
    </xf>
    <xf numFmtId="9" fontId="19" fillId="35" borderId="10" xfId="2" applyFont="1" applyFill="1" applyBorder="1" applyAlignment="1">
      <alignment horizontal="center" vertical="center" wrapText="1"/>
    </xf>
    <xf numFmtId="9" fontId="18" fillId="35" borderId="13" xfId="2" applyFont="1" applyFill="1" applyBorder="1" applyAlignment="1">
      <alignment horizontal="center" vertical="center" wrapText="1"/>
    </xf>
    <xf numFmtId="0" fontId="19" fillId="35" borderId="13" xfId="0" applyFont="1" applyFill="1" applyBorder="1" applyAlignment="1">
      <alignment horizontal="center" wrapText="1"/>
    </xf>
    <xf numFmtId="0" fontId="19" fillId="35" borderId="12" xfId="0" applyFont="1" applyFill="1" applyBorder="1" applyAlignment="1">
      <alignment horizontal="center" wrapText="1"/>
    </xf>
    <xf numFmtId="9" fontId="19" fillId="35" borderId="13" xfId="2" applyFont="1" applyFill="1" applyBorder="1" applyAlignment="1">
      <alignment horizontal="center" vertical="center" wrapText="1"/>
    </xf>
  </cellXfs>
  <cellStyles count="45">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44" builtinId="3"/>
    <cellStyle name="Moneda" xfId="1" builtinId="4"/>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30</xdr:col>
      <xdr:colOff>9525</xdr:colOff>
      <xdr:row>5</xdr:row>
      <xdr:rowOff>9525</xdr:rowOff>
    </xdr:to>
    <xdr:sp macro="" textlink="">
      <xdr:nvSpPr>
        <xdr:cNvPr id="2" name="CuadroTexto 1">
          <a:extLst>
            <a:ext uri="{FF2B5EF4-FFF2-40B4-BE49-F238E27FC236}">
              <a16:creationId xmlns:a16="http://schemas.microsoft.com/office/drawing/2014/main" id="{A8F81CDD-A7EF-40B4-8081-36FF6973B653}"/>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FE6BA3A7-00CA-444F-8BD0-5E2C0B358355}"/>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4A2AD30B-59AB-43BD-8F43-8C37E50BE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BAC49946-3707-4530-99C7-3D86D9D4306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30</xdr:col>
      <xdr:colOff>1438275</xdr:colOff>
      <xdr:row>0</xdr:row>
      <xdr:rowOff>0</xdr:rowOff>
    </xdr:from>
    <xdr:to>
      <xdr:col>31</xdr:col>
      <xdr:colOff>2949313</xdr:colOff>
      <xdr:row>4</xdr:row>
      <xdr:rowOff>114801</xdr:rowOff>
    </xdr:to>
    <xdr:grpSp>
      <xdr:nvGrpSpPr>
        <xdr:cNvPr id="6" name="Grupo 5">
          <a:extLst>
            <a:ext uri="{FF2B5EF4-FFF2-40B4-BE49-F238E27FC236}">
              <a16:creationId xmlns:a16="http://schemas.microsoft.com/office/drawing/2014/main" id="{56CFCC20-2D57-408D-9A69-E94687B256AD}"/>
            </a:ext>
          </a:extLst>
        </xdr:cNvPr>
        <xdr:cNvGrpSpPr/>
      </xdr:nvGrpSpPr>
      <xdr:grpSpPr>
        <a:xfrm>
          <a:off x="48444150" y="0"/>
          <a:ext cx="3523194" cy="876801"/>
          <a:chOff x="228600" y="47625"/>
          <a:chExt cx="2680608" cy="981075"/>
        </a:xfrm>
      </xdr:grpSpPr>
      <xdr:pic>
        <xdr:nvPicPr>
          <xdr:cNvPr id="7" name="Picture 5">
            <a:extLst>
              <a:ext uri="{FF2B5EF4-FFF2-40B4-BE49-F238E27FC236}">
                <a16:creationId xmlns:a16="http://schemas.microsoft.com/office/drawing/2014/main" id="{F37182B6-59BE-43C0-9D6E-33DF4EEF37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3C4E2DF-A3B4-485F-B566-F9754336742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0</xdr:row>
      <xdr:rowOff>28575</xdr:rowOff>
    </xdr:from>
    <xdr:to>
      <xdr:col>51</xdr:col>
      <xdr:colOff>9525</xdr:colOff>
      <xdr:row>5</xdr:row>
      <xdr:rowOff>9525</xdr:rowOff>
    </xdr:to>
    <xdr:sp macro="" textlink="">
      <xdr:nvSpPr>
        <xdr:cNvPr id="2" name="CuadroTexto 1">
          <a:extLst>
            <a:ext uri="{FF2B5EF4-FFF2-40B4-BE49-F238E27FC236}">
              <a16:creationId xmlns:a16="http://schemas.microsoft.com/office/drawing/2014/main" id="{2926C854-D7CC-4654-AAE2-E236A5CBFB4F}"/>
            </a:ext>
          </a:extLst>
        </xdr:cNvPr>
        <xdr:cNvSpPr txBox="1"/>
      </xdr:nvSpPr>
      <xdr:spPr>
        <a:xfrm>
          <a:off x="57150" y="28575"/>
          <a:ext cx="782478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3C2DB956-1F66-4F6B-9250-D4D70F20392E}"/>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31AB751F-2BF9-49D6-A67C-C652DC2E8A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79F2CB5C-FAA8-4ED7-8801-B5F3A13222F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51</xdr:col>
      <xdr:colOff>1438275</xdr:colOff>
      <xdr:row>0</xdr:row>
      <xdr:rowOff>0</xdr:rowOff>
    </xdr:from>
    <xdr:to>
      <xdr:col>52</xdr:col>
      <xdr:colOff>2949313</xdr:colOff>
      <xdr:row>4</xdr:row>
      <xdr:rowOff>114801</xdr:rowOff>
    </xdr:to>
    <xdr:grpSp>
      <xdr:nvGrpSpPr>
        <xdr:cNvPr id="6" name="Grupo 5">
          <a:extLst>
            <a:ext uri="{FF2B5EF4-FFF2-40B4-BE49-F238E27FC236}">
              <a16:creationId xmlns:a16="http://schemas.microsoft.com/office/drawing/2014/main" id="{58780D46-9A0A-46E7-A75F-48A8B346204A}"/>
            </a:ext>
          </a:extLst>
        </xdr:cNvPr>
        <xdr:cNvGrpSpPr/>
      </xdr:nvGrpSpPr>
      <xdr:grpSpPr>
        <a:xfrm>
          <a:off x="78816994" y="0"/>
          <a:ext cx="3523194" cy="876801"/>
          <a:chOff x="228600" y="47625"/>
          <a:chExt cx="2680608" cy="981075"/>
        </a:xfrm>
      </xdr:grpSpPr>
      <xdr:pic>
        <xdr:nvPicPr>
          <xdr:cNvPr id="7" name="Picture 5">
            <a:extLst>
              <a:ext uri="{FF2B5EF4-FFF2-40B4-BE49-F238E27FC236}">
                <a16:creationId xmlns:a16="http://schemas.microsoft.com/office/drawing/2014/main" id="{A7F2AA38-DA14-42A3-9CDF-F0529D0F33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102384D0-D861-42DC-A9E1-ED3D4F9359C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51</xdr:col>
      <xdr:colOff>9525</xdr:colOff>
      <xdr:row>5</xdr:row>
      <xdr:rowOff>9525</xdr:rowOff>
    </xdr:to>
    <xdr:sp macro="" textlink="">
      <xdr:nvSpPr>
        <xdr:cNvPr id="2" name="CuadroTexto 1">
          <a:extLst>
            <a:ext uri="{FF2B5EF4-FFF2-40B4-BE49-F238E27FC236}">
              <a16:creationId xmlns:a16="http://schemas.microsoft.com/office/drawing/2014/main" id="{4C96D289-C58C-42F1-A7B6-2B10B1A4AE20}"/>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EC234122-68EE-470E-94CB-4269DA9EA05F}"/>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21C14732-4DDA-43DB-A42E-B17CA85E5C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BDFDEA2F-2082-4F4A-92A2-2F4CDD83443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51</xdr:col>
      <xdr:colOff>1438275</xdr:colOff>
      <xdr:row>0</xdr:row>
      <xdr:rowOff>0</xdr:rowOff>
    </xdr:from>
    <xdr:to>
      <xdr:col>52</xdr:col>
      <xdr:colOff>2949313</xdr:colOff>
      <xdr:row>4</xdr:row>
      <xdr:rowOff>114801</xdr:rowOff>
    </xdr:to>
    <xdr:grpSp>
      <xdr:nvGrpSpPr>
        <xdr:cNvPr id="6" name="Grupo 5">
          <a:extLst>
            <a:ext uri="{FF2B5EF4-FFF2-40B4-BE49-F238E27FC236}">
              <a16:creationId xmlns:a16="http://schemas.microsoft.com/office/drawing/2014/main" id="{B2473C8F-5EE0-4C03-B4DE-A698D42EE99B}"/>
            </a:ext>
          </a:extLst>
        </xdr:cNvPr>
        <xdr:cNvGrpSpPr/>
      </xdr:nvGrpSpPr>
      <xdr:grpSpPr>
        <a:xfrm>
          <a:off x="79745681" y="0"/>
          <a:ext cx="3523195" cy="876801"/>
          <a:chOff x="228600" y="47625"/>
          <a:chExt cx="2680608" cy="981075"/>
        </a:xfrm>
      </xdr:grpSpPr>
      <xdr:pic>
        <xdr:nvPicPr>
          <xdr:cNvPr id="7" name="Picture 5">
            <a:extLst>
              <a:ext uri="{FF2B5EF4-FFF2-40B4-BE49-F238E27FC236}">
                <a16:creationId xmlns:a16="http://schemas.microsoft.com/office/drawing/2014/main" id="{4430588D-D2D0-4E3B-A00A-F077ADC6C7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A0357488-1774-4F30-910C-93B431C3900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44</xdr:col>
      <xdr:colOff>0</xdr:colOff>
      <xdr:row>5</xdr:row>
      <xdr:rowOff>9525</xdr:rowOff>
    </xdr:to>
    <xdr:sp macro="" textlink="">
      <xdr:nvSpPr>
        <xdr:cNvPr id="2" name="CuadroTexto 1">
          <a:extLst>
            <a:ext uri="{FF2B5EF4-FFF2-40B4-BE49-F238E27FC236}">
              <a16:creationId xmlns:a16="http://schemas.microsoft.com/office/drawing/2014/main" id="{9A43F964-6F16-4B1D-8997-F9019F3645F2}"/>
            </a:ext>
          </a:extLst>
        </xdr:cNvPr>
        <xdr:cNvSpPr txBox="1"/>
      </xdr:nvSpPr>
      <xdr:spPr>
        <a:xfrm>
          <a:off x="57150" y="28575"/>
          <a:ext cx="697801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714374</xdr:colOff>
      <xdr:row>4</xdr:row>
      <xdr:rowOff>333375</xdr:rowOff>
    </xdr:to>
    <xdr:grpSp>
      <xdr:nvGrpSpPr>
        <xdr:cNvPr id="3" name="Grupo 2">
          <a:extLst>
            <a:ext uri="{FF2B5EF4-FFF2-40B4-BE49-F238E27FC236}">
              <a16:creationId xmlns:a16="http://schemas.microsoft.com/office/drawing/2014/main" id="{64051060-1523-49CA-A4B3-D5F4F8854658}"/>
            </a:ext>
          </a:extLst>
        </xdr:cNvPr>
        <xdr:cNvGrpSpPr/>
      </xdr:nvGrpSpPr>
      <xdr:grpSpPr>
        <a:xfrm>
          <a:off x="38100" y="28575"/>
          <a:ext cx="3700462" cy="1066800"/>
          <a:chOff x="228600" y="47625"/>
          <a:chExt cx="2680608" cy="981075"/>
        </a:xfrm>
      </xdr:grpSpPr>
      <xdr:pic>
        <xdr:nvPicPr>
          <xdr:cNvPr id="4" name="Picture 5">
            <a:extLst>
              <a:ext uri="{FF2B5EF4-FFF2-40B4-BE49-F238E27FC236}">
                <a16:creationId xmlns:a16="http://schemas.microsoft.com/office/drawing/2014/main" id="{F01DEC41-B403-4B4A-AAD9-0AAB83CBAD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2B3EBD98-3270-465F-9370-95377B49485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50</xdr:col>
      <xdr:colOff>509588</xdr:colOff>
      <xdr:row>0</xdr:row>
      <xdr:rowOff>130969</xdr:rowOff>
    </xdr:from>
    <xdr:to>
      <xdr:col>53</xdr:col>
      <xdr:colOff>0</xdr:colOff>
      <xdr:row>5</xdr:row>
      <xdr:rowOff>55270</xdr:rowOff>
    </xdr:to>
    <xdr:grpSp>
      <xdr:nvGrpSpPr>
        <xdr:cNvPr id="9" name="Grupo 8">
          <a:extLst>
            <a:ext uri="{FF2B5EF4-FFF2-40B4-BE49-F238E27FC236}">
              <a16:creationId xmlns:a16="http://schemas.microsoft.com/office/drawing/2014/main" id="{2A0B3457-39DF-4C6F-90FA-2861A331E683}"/>
            </a:ext>
          </a:extLst>
        </xdr:cNvPr>
        <xdr:cNvGrpSpPr/>
      </xdr:nvGrpSpPr>
      <xdr:grpSpPr>
        <a:xfrm>
          <a:off x="76959619" y="130969"/>
          <a:ext cx="3252787" cy="1067301"/>
          <a:chOff x="228600" y="47625"/>
          <a:chExt cx="2680608" cy="981075"/>
        </a:xfrm>
      </xdr:grpSpPr>
      <xdr:pic>
        <xdr:nvPicPr>
          <xdr:cNvPr id="10" name="Picture 5">
            <a:extLst>
              <a:ext uri="{FF2B5EF4-FFF2-40B4-BE49-F238E27FC236}">
                <a16:creationId xmlns:a16="http://schemas.microsoft.com/office/drawing/2014/main" id="{A6FC3AFA-3FE6-4F99-831B-4798BCB2FA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1" name="5 CuadroTexto">
            <a:extLst>
              <a:ext uri="{FF2B5EF4-FFF2-40B4-BE49-F238E27FC236}">
                <a16:creationId xmlns:a16="http://schemas.microsoft.com/office/drawing/2014/main" id="{0CE2D4D1-D82C-41EC-9CFC-C102A26F034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51</xdr:col>
      <xdr:colOff>9525</xdr:colOff>
      <xdr:row>5</xdr:row>
      <xdr:rowOff>9525</xdr:rowOff>
    </xdr:to>
    <xdr:sp macro="" textlink="">
      <xdr:nvSpPr>
        <xdr:cNvPr id="2" name="CuadroTexto 1">
          <a:extLst>
            <a:ext uri="{FF2B5EF4-FFF2-40B4-BE49-F238E27FC236}">
              <a16:creationId xmlns:a16="http://schemas.microsoft.com/office/drawing/2014/main" id="{407AFBAC-6D86-47FF-AB88-AAC64DF7BB35}"/>
            </a:ext>
          </a:extLst>
        </xdr:cNvPr>
        <xdr:cNvSpPr txBox="1"/>
      </xdr:nvSpPr>
      <xdr:spPr>
        <a:xfrm>
          <a:off x="57150" y="28575"/>
          <a:ext cx="329279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ABB3F6A3-EFB5-41C2-AA94-7371985ECBAE}"/>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F4A495BC-280D-4E67-91F9-BEC3216CBA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EEA4D37E-A294-40E6-82F7-26A638A3974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51</xdr:col>
      <xdr:colOff>1438275</xdr:colOff>
      <xdr:row>0</xdr:row>
      <xdr:rowOff>0</xdr:rowOff>
    </xdr:from>
    <xdr:to>
      <xdr:col>52</xdr:col>
      <xdr:colOff>2949313</xdr:colOff>
      <xdr:row>4</xdr:row>
      <xdr:rowOff>114801</xdr:rowOff>
    </xdr:to>
    <xdr:grpSp>
      <xdr:nvGrpSpPr>
        <xdr:cNvPr id="6" name="Grupo 5">
          <a:extLst>
            <a:ext uri="{FF2B5EF4-FFF2-40B4-BE49-F238E27FC236}">
              <a16:creationId xmlns:a16="http://schemas.microsoft.com/office/drawing/2014/main" id="{FF6AD133-5002-48D4-87D4-164420B88087}"/>
            </a:ext>
          </a:extLst>
        </xdr:cNvPr>
        <xdr:cNvGrpSpPr/>
      </xdr:nvGrpSpPr>
      <xdr:grpSpPr>
        <a:xfrm>
          <a:off x="98414681" y="0"/>
          <a:ext cx="3523195" cy="876801"/>
          <a:chOff x="228600" y="47625"/>
          <a:chExt cx="2680608" cy="981075"/>
        </a:xfrm>
      </xdr:grpSpPr>
      <xdr:pic>
        <xdr:nvPicPr>
          <xdr:cNvPr id="7" name="Picture 5">
            <a:extLst>
              <a:ext uri="{FF2B5EF4-FFF2-40B4-BE49-F238E27FC236}">
                <a16:creationId xmlns:a16="http://schemas.microsoft.com/office/drawing/2014/main" id="{15E5553F-D0EF-4C32-996A-9BC736C813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C619231-31EA-42DA-92BA-1B69273C707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28575</xdr:rowOff>
    </xdr:from>
    <xdr:to>
      <xdr:col>51</xdr:col>
      <xdr:colOff>9525</xdr:colOff>
      <xdr:row>5</xdr:row>
      <xdr:rowOff>9525</xdr:rowOff>
    </xdr:to>
    <xdr:sp macro="" textlink="">
      <xdr:nvSpPr>
        <xdr:cNvPr id="2" name="CuadroTexto 1">
          <a:extLst>
            <a:ext uri="{FF2B5EF4-FFF2-40B4-BE49-F238E27FC236}">
              <a16:creationId xmlns:a16="http://schemas.microsoft.com/office/drawing/2014/main" id="{542D3503-9E18-4D5A-B73D-3BB31E28D597}"/>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28BFA8F1-EB5A-4A3A-A9E6-615323DFB9AC}"/>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9143C4D6-86E4-4C8A-A732-7BD58E725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97F1867D-2655-4907-A264-3E873EDEA175}"/>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51</xdr:col>
      <xdr:colOff>1438275</xdr:colOff>
      <xdr:row>0</xdr:row>
      <xdr:rowOff>0</xdr:rowOff>
    </xdr:from>
    <xdr:to>
      <xdr:col>52</xdr:col>
      <xdr:colOff>2949313</xdr:colOff>
      <xdr:row>4</xdr:row>
      <xdr:rowOff>114801</xdr:rowOff>
    </xdr:to>
    <xdr:grpSp>
      <xdr:nvGrpSpPr>
        <xdr:cNvPr id="6" name="Grupo 5">
          <a:extLst>
            <a:ext uri="{FF2B5EF4-FFF2-40B4-BE49-F238E27FC236}">
              <a16:creationId xmlns:a16="http://schemas.microsoft.com/office/drawing/2014/main" id="{A7E1249D-E0CD-4678-9660-3C3E05FED2A4}"/>
            </a:ext>
          </a:extLst>
        </xdr:cNvPr>
        <xdr:cNvGrpSpPr/>
      </xdr:nvGrpSpPr>
      <xdr:grpSpPr>
        <a:xfrm>
          <a:off x="78816994" y="0"/>
          <a:ext cx="3523194" cy="876801"/>
          <a:chOff x="228600" y="47625"/>
          <a:chExt cx="2680608" cy="981075"/>
        </a:xfrm>
      </xdr:grpSpPr>
      <xdr:pic>
        <xdr:nvPicPr>
          <xdr:cNvPr id="7" name="Picture 5">
            <a:extLst>
              <a:ext uri="{FF2B5EF4-FFF2-40B4-BE49-F238E27FC236}">
                <a16:creationId xmlns:a16="http://schemas.microsoft.com/office/drawing/2014/main" id="{A7A6FDE4-0B3C-43B0-B04C-5362D460D7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F2C587A3-B276-4B29-A344-1B923426585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28575</xdr:rowOff>
    </xdr:from>
    <xdr:to>
      <xdr:col>51</xdr:col>
      <xdr:colOff>9525</xdr:colOff>
      <xdr:row>5</xdr:row>
      <xdr:rowOff>9525</xdr:rowOff>
    </xdr:to>
    <xdr:sp macro="" textlink="">
      <xdr:nvSpPr>
        <xdr:cNvPr id="2" name="CuadroTexto 1">
          <a:extLst>
            <a:ext uri="{FF2B5EF4-FFF2-40B4-BE49-F238E27FC236}">
              <a16:creationId xmlns:a16="http://schemas.microsoft.com/office/drawing/2014/main" id="{63678F3E-615E-4EBA-A9DB-467DED1102F6}"/>
            </a:ext>
          </a:extLst>
        </xdr:cNvPr>
        <xdr:cNvSpPr txBox="1"/>
      </xdr:nvSpPr>
      <xdr:spPr>
        <a:xfrm>
          <a:off x="57150" y="28575"/>
          <a:ext cx="782288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A46659E5-9210-4242-BF96-BF05CB975BF3}"/>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84D10BAB-602E-4B1B-B1D1-53D46C74C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1562A5C2-5DBF-49A6-A87A-6AE575B55AD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51</xdr:col>
      <xdr:colOff>1438275</xdr:colOff>
      <xdr:row>0</xdr:row>
      <xdr:rowOff>0</xdr:rowOff>
    </xdr:from>
    <xdr:to>
      <xdr:col>52</xdr:col>
      <xdr:colOff>2949313</xdr:colOff>
      <xdr:row>4</xdr:row>
      <xdr:rowOff>114801</xdr:rowOff>
    </xdr:to>
    <xdr:grpSp>
      <xdr:nvGrpSpPr>
        <xdr:cNvPr id="6" name="Grupo 5">
          <a:extLst>
            <a:ext uri="{FF2B5EF4-FFF2-40B4-BE49-F238E27FC236}">
              <a16:creationId xmlns:a16="http://schemas.microsoft.com/office/drawing/2014/main" id="{CACD4283-F5B7-42EF-A072-F5AF87842D3E}"/>
            </a:ext>
          </a:extLst>
        </xdr:cNvPr>
        <xdr:cNvGrpSpPr/>
      </xdr:nvGrpSpPr>
      <xdr:grpSpPr>
        <a:xfrm>
          <a:off x="78793181" y="0"/>
          <a:ext cx="3523195" cy="876801"/>
          <a:chOff x="228600" y="47625"/>
          <a:chExt cx="2680608" cy="981075"/>
        </a:xfrm>
      </xdr:grpSpPr>
      <xdr:pic>
        <xdr:nvPicPr>
          <xdr:cNvPr id="7" name="Picture 5">
            <a:extLst>
              <a:ext uri="{FF2B5EF4-FFF2-40B4-BE49-F238E27FC236}">
                <a16:creationId xmlns:a16="http://schemas.microsoft.com/office/drawing/2014/main" id="{98A026A6-2699-4081-9C6A-4B83427C5E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116915CA-4ADC-4514-A7EE-8580596A1DE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28575</xdr:rowOff>
    </xdr:from>
    <xdr:to>
      <xdr:col>51</xdr:col>
      <xdr:colOff>9525</xdr:colOff>
      <xdr:row>5</xdr:row>
      <xdr:rowOff>9525</xdr:rowOff>
    </xdr:to>
    <xdr:sp macro="" textlink="">
      <xdr:nvSpPr>
        <xdr:cNvPr id="2" name="CuadroTexto 1">
          <a:extLst>
            <a:ext uri="{FF2B5EF4-FFF2-40B4-BE49-F238E27FC236}">
              <a16:creationId xmlns:a16="http://schemas.microsoft.com/office/drawing/2014/main" id="{4205A23A-4CF3-4D71-B01F-66C675468406}"/>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BBBC736D-504D-4204-A957-97B7FD310F81}"/>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0D08B531-8F2D-4022-925D-F1ECEAA8C4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2B7995B6-8FDA-411D-B421-BD8B88D31C7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51</xdr:col>
      <xdr:colOff>1438275</xdr:colOff>
      <xdr:row>0</xdr:row>
      <xdr:rowOff>0</xdr:rowOff>
    </xdr:from>
    <xdr:to>
      <xdr:col>52</xdr:col>
      <xdr:colOff>2949313</xdr:colOff>
      <xdr:row>4</xdr:row>
      <xdr:rowOff>114801</xdr:rowOff>
    </xdr:to>
    <xdr:grpSp>
      <xdr:nvGrpSpPr>
        <xdr:cNvPr id="6" name="Grupo 5">
          <a:extLst>
            <a:ext uri="{FF2B5EF4-FFF2-40B4-BE49-F238E27FC236}">
              <a16:creationId xmlns:a16="http://schemas.microsoft.com/office/drawing/2014/main" id="{89C1BF7E-EE1A-45A3-AF35-BBF70B4E3225}"/>
            </a:ext>
          </a:extLst>
        </xdr:cNvPr>
        <xdr:cNvGrpSpPr/>
      </xdr:nvGrpSpPr>
      <xdr:grpSpPr>
        <a:xfrm>
          <a:off x="89568338" y="0"/>
          <a:ext cx="3523194" cy="876801"/>
          <a:chOff x="228600" y="47625"/>
          <a:chExt cx="2680608" cy="981075"/>
        </a:xfrm>
      </xdr:grpSpPr>
      <xdr:pic>
        <xdr:nvPicPr>
          <xdr:cNvPr id="7" name="Picture 5">
            <a:extLst>
              <a:ext uri="{FF2B5EF4-FFF2-40B4-BE49-F238E27FC236}">
                <a16:creationId xmlns:a16="http://schemas.microsoft.com/office/drawing/2014/main" id="{248E2379-07F2-47A0-A1E9-BD8B2927A6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7136C94-D767-49F6-A54E-16F8FE1AB4D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0</xdr:row>
      <xdr:rowOff>28575</xdr:rowOff>
    </xdr:from>
    <xdr:to>
      <xdr:col>51</xdr:col>
      <xdr:colOff>9525</xdr:colOff>
      <xdr:row>5</xdr:row>
      <xdr:rowOff>9525</xdr:rowOff>
    </xdr:to>
    <xdr:sp macro="" textlink="">
      <xdr:nvSpPr>
        <xdr:cNvPr id="2" name="CuadroTexto 1">
          <a:extLst>
            <a:ext uri="{FF2B5EF4-FFF2-40B4-BE49-F238E27FC236}">
              <a16:creationId xmlns:a16="http://schemas.microsoft.com/office/drawing/2014/main" id="{5CC6EE5A-B014-4CF8-9310-DC13F50142BA}"/>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B82AF4DF-31DB-4B99-B518-1742009D4547}"/>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171F0E70-3DC9-436C-AFB7-ABE5736EEC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C1888141-547B-4CA7-AB82-C648F6464155}"/>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51</xdr:col>
      <xdr:colOff>1438275</xdr:colOff>
      <xdr:row>0</xdr:row>
      <xdr:rowOff>0</xdr:rowOff>
    </xdr:from>
    <xdr:to>
      <xdr:col>52</xdr:col>
      <xdr:colOff>2949313</xdr:colOff>
      <xdr:row>4</xdr:row>
      <xdr:rowOff>114801</xdr:rowOff>
    </xdr:to>
    <xdr:grpSp>
      <xdr:nvGrpSpPr>
        <xdr:cNvPr id="6" name="Grupo 5">
          <a:extLst>
            <a:ext uri="{FF2B5EF4-FFF2-40B4-BE49-F238E27FC236}">
              <a16:creationId xmlns:a16="http://schemas.microsoft.com/office/drawing/2014/main" id="{0B56CD6E-D541-49E1-98DA-52EEFE29D2A0}"/>
            </a:ext>
          </a:extLst>
        </xdr:cNvPr>
        <xdr:cNvGrpSpPr/>
      </xdr:nvGrpSpPr>
      <xdr:grpSpPr>
        <a:xfrm>
          <a:off x="78816994" y="0"/>
          <a:ext cx="3523194" cy="876801"/>
          <a:chOff x="228600" y="47625"/>
          <a:chExt cx="2680608" cy="981075"/>
        </a:xfrm>
      </xdr:grpSpPr>
      <xdr:pic>
        <xdr:nvPicPr>
          <xdr:cNvPr id="7" name="Picture 5">
            <a:extLst>
              <a:ext uri="{FF2B5EF4-FFF2-40B4-BE49-F238E27FC236}">
                <a16:creationId xmlns:a16="http://schemas.microsoft.com/office/drawing/2014/main" id="{373BB114-B070-4B88-B1A2-EACFBA1558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E4699CA5-0019-43C2-A730-D970E355B03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28575</xdr:rowOff>
    </xdr:from>
    <xdr:to>
      <xdr:col>51</xdr:col>
      <xdr:colOff>9525</xdr:colOff>
      <xdr:row>5</xdr:row>
      <xdr:rowOff>9525</xdr:rowOff>
    </xdr:to>
    <xdr:sp macro="" textlink="">
      <xdr:nvSpPr>
        <xdr:cNvPr id="2" name="CuadroTexto 1">
          <a:extLst>
            <a:ext uri="{FF2B5EF4-FFF2-40B4-BE49-F238E27FC236}">
              <a16:creationId xmlns:a16="http://schemas.microsoft.com/office/drawing/2014/main" id="{0986CEC7-81AF-426D-85E2-427038C4093B}"/>
            </a:ext>
          </a:extLst>
        </xdr:cNvPr>
        <xdr:cNvSpPr txBox="1"/>
      </xdr:nvSpPr>
      <xdr:spPr>
        <a:xfrm>
          <a:off x="57150" y="28575"/>
          <a:ext cx="573595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552EB427-7364-48BE-9C90-AB23C460CA2F}"/>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8CC3F22B-0A83-41D2-BFEE-9ED44D1A35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43B5C647-D912-4633-9085-F8E2FB801C0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51</xdr:col>
      <xdr:colOff>1438275</xdr:colOff>
      <xdr:row>0</xdr:row>
      <xdr:rowOff>0</xdr:rowOff>
    </xdr:from>
    <xdr:to>
      <xdr:col>52</xdr:col>
      <xdr:colOff>2949313</xdr:colOff>
      <xdr:row>4</xdr:row>
      <xdr:rowOff>114801</xdr:rowOff>
    </xdr:to>
    <xdr:grpSp>
      <xdr:nvGrpSpPr>
        <xdr:cNvPr id="6" name="Grupo 5">
          <a:extLst>
            <a:ext uri="{FF2B5EF4-FFF2-40B4-BE49-F238E27FC236}">
              <a16:creationId xmlns:a16="http://schemas.microsoft.com/office/drawing/2014/main" id="{2EEEE300-1EA9-4234-99EF-6AE5986C3DD9}"/>
            </a:ext>
          </a:extLst>
        </xdr:cNvPr>
        <xdr:cNvGrpSpPr/>
      </xdr:nvGrpSpPr>
      <xdr:grpSpPr>
        <a:xfrm>
          <a:off x="83496150" y="0"/>
          <a:ext cx="3523194" cy="876801"/>
          <a:chOff x="228600" y="47625"/>
          <a:chExt cx="2680608" cy="981075"/>
        </a:xfrm>
      </xdr:grpSpPr>
      <xdr:pic>
        <xdr:nvPicPr>
          <xdr:cNvPr id="7" name="Picture 5">
            <a:extLst>
              <a:ext uri="{FF2B5EF4-FFF2-40B4-BE49-F238E27FC236}">
                <a16:creationId xmlns:a16="http://schemas.microsoft.com/office/drawing/2014/main" id="{17D16EFF-BAB8-4E77-BE74-4BCEEAEC6A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E42A4472-B62B-4775-8AA5-A6F37B12F1C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0</xdr:row>
      <xdr:rowOff>28575</xdr:rowOff>
    </xdr:from>
    <xdr:to>
      <xdr:col>51</xdr:col>
      <xdr:colOff>9525</xdr:colOff>
      <xdr:row>5</xdr:row>
      <xdr:rowOff>9525</xdr:rowOff>
    </xdr:to>
    <xdr:sp macro="" textlink="">
      <xdr:nvSpPr>
        <xdr:cNvPr id="2" name="CuadroTexto 1">
          <a:extLst>
            <a:ext uri="{FF2B5EF4-FFF2-40B4-BE49-F238E27FC236}">
              <a16:creationId xmlns:a16="http://schemas.microsoft.com/office/drawing/2014/main" id="{463913D8-B0A4-4A5D-A2F7-BA0DF377F73A}"/>
            </a:ext>
          </a:extLst>
        </xdr:cNvPr>
        <xdr:cNvSpPr txBox="1"/>
      </xdr:nvSpPr>
      <xdr:spPr>
        <a:xfrm>
          <a:off x="57150" y="28575"/>
          <a:ext cx="782478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1AC76D22-3740-4668-89A5-3BCDF4846EBA}"/>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776B7915-E0BC-4855-8F28-58641FFB6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77DC9576-257F-4277-9C8F-26F9FACCCFB2}"/>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51</xdr:col>
      <xdr:colOff>1438275</xdr:colOff>
      <xdr:row>0</xdr:row>
      <xdr:rowOff>0</xdr:rowOff>
    </xdr:from>
    <xdr:to>
      <xdr:col>52</xdr:col>
      <xdr:colOff>2949313</xdr:colOff>
      <xdr:row>4</xdr:row>
      <xdr:rowOff>114801</xdr:rowOff>
    </xdr:to>
    <xdr:grpSp>
      <xdr:nvGrpSpPr>
        <xdr:cNvPr id="6" name="Grupo 5">
          <a:extLst>
            <a:ext uri="{FF2B5EF4-FFF2-40B4-BE49-F238E27FC236}">
              <a16:creationId xmlns:a16="http://schemas.microsoft.com/office/drawing/2014/main" id="{43F8EDF6-ECC7-4CAE-8139-26789853C82E}"/>
            </a:ext>
          </a:extLst>
        </xdr:cNvPr>
        <xdr:cNvGrpSpPr/>
      </xdr:nvGrpSpPr>
      <xdr:grpSpPr>
        <a:xfrm>
          <a:off x="78816994" y="0"/>
          <a:ext cx="3523194" cy="876801"/>
          <a:chOff x="228600" y="47625"/>
          <a:chExt cx="2680608" cy="981075"/>
        </a:xfrm>
      </xdr:grpSpPr>
      <xdr:pic>
        <xdr:nvPicPr>
          <xdr:cNvPr id="7" name="Picture 5">
            <a:extLst>
              <a:ext uri="{FF2B5EF4-FFF2-40B4-BE49-F238E27FC236}">
                <a16:creationId xmlns:a16="http://schemas.microsoft.com/office/drawing/2014/main" id="{EC62ABB6-B4A0-42BF-836F-D961D0C41E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EA97F0AE-540B-4C50-9F3E-A19F5B6FB8F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28575</xdr:rowOff>
    </xdr:from>
    <xdr:to>
      <xdr:col>51</xdr:col>
      <xdr:colOff>9525</xdr:colOff>
      <xdr:row>5</xdr:row>
      <xdr:rowOff>9525</xdr:rowOff>
    </xdr:to>
    <xdr:sp macro="" textlink="">
      <xdr:nvSpPr>
        <xdr:cNvPr id="2" name="CuadroTexto 1">
          <a:extLst>
            <a:ext uri="{FF2B5EF4-FFF2-40B4-BE49-F238E27FC236}">
              <a16:creationId xmlns:a16="http://schemas.microsoft.com/office/drawing/2014/main" id="{2F3DC2C7-CEBB-46D2-8038-F80BBE7F9D3C}"/>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0</xdr:colOff>
      <xdr:row>0</xdr:row>
      <xdr:rowOff>66675</xdr:rowOff>
    </xdr:from>
    <xdr:to>
      <xdr:col>1</xdr:col>
      <xdr:colOff>491863</xdr:colOff>
      <xdr:row>4</xdr:row>
      <xdr:rowOff>181476</xdr:rowOff>
    </xdr:to>
    <xdr:grpSp>
      <xdr:nvGrpSpPr>
        <xdr:cNvPr id="9" name="Grupo 2">
          <a:extLst>
            <a:ext uri="{FF2B5EF4-FFF2-40B4-BE49-F238E27FC236}">
              <a16:creationId xmlns:a16="http://schemas.microsoft.com/office/drawing/2014/main" id="{6CB230CE-58D0-4ED3-AE44-DC2EE8FA25DF}"/>
            </a:ext>
            <a:ext uri="{147F2762-F138-4A5C-976F-8EAC2B608ADB}">
              <a16:predDERef xmlns:a16="http://schemas.microsoft.com/office/drawing/2014/main" pred="{2F3DC2C7-CEBB-46D2-8038-F80BBE7F9D3C}"/>
            </a:ext>
          </a:extLst>
        </xdr:cNvPr>
        <xdr:cNvGrpSpPr/>
      </xdr:nvGrpSpPr>
      <xdr:grpSpPr>
        <a:xfrm>
          <a:off x="0" y="66675"/>
          <a:ext cx="3516051" cy="876801"/>
          <a:chOff x="228600" y="47625"/>
          <a:chExt cx="2680608" cy="981075"/>
        </a:xfrm>
      </xdr:grpSpPr>
      <xdr:pic>
        <xdr:nvPicPr>
          <xdr:cNvPr id="10" name="Picture 5">
            <a:extLst>
              <a:ext uri="{FF2B5EF4-FFF2-40B4-BE49-F238E27FC236}">
                <a16:creationId xmlns:a16="http://schemas.microsoft.com/office/drawing/2014/main" id="{BF9B5ABB-8A26-44CB-A6B8-F9786DC01D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1" name="5 CuadroTexto">
            <a:extLst>
              <a:ext uri="{FF2B5EF4-FFF2-40B4-BE49-F238E27FC236}">
                <a16:creationId xmlns:a16="http://schemas.microsoft.com/office/drawing/2014/main" id="{672F302D-C3A5-43D8-B796-EB90CA689ED2}"/>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51</xdr:col>
      <xdr:colOff>1438275</xdr:colOff>
      <xdr:row>0</xdr:row>
      <xdr:rowOff>0</xdr:rowOff>
    </xdr:from>
    <xdr:to>
      <xdr:col>52</xdr:col>
      <xdr:colOff>2949313</xdr:colOff>
      <xdr:row>4</xdr:row>
      <xdr:rowOff>114801</xdr:rowOff>
    </xdr:to>
    <xdr:grpSp>
      <xdr:nvGrpSpPr>
        <xdr:cNvPr id="6" name="Grupo 5">
          <a:extLst>
            <a:ext uri="{FF2B5EF4-FFF2-40B4-BE49-F238E27FC236}">
              <a16:creationId xmlns:a16="http://schemas.microsoft.com/office/drawing/2014/main" id="{12EE3225-5FD8-4604-AD9E-06B4E0F50EC3}"/>
            </a:ext>
          </a:extLst>
        </xdr:cNvPr>
        <xdr:cNvGrpSpPr/>
      </xdr:nvGrpSpPr>
      <xdr:grpSpPr>
        <a:xfrm>
          <a:off x="95271431" y="0"/>
          <a:ext cx="3523195" cy="876801"/>
          <a:chOff x="228600" y="47625"/>
          <a:chExt cx="2680608" cy="981075"/>
        </a:xfrm>
      </xdr:grpSpPr>
      <xdr:pic>
        <xdr:nvPicPr>
          <xdr:cNvPr id="7" name="Picture 5">
            <a:extLst>
              <a:ext uri="{FF2B5EF4-FFF2-40B4-BE49-F238E27FC236}">
                <a16:creationId xmlns:a16="http://schemas.microsoft.com/office/drawing/2014/main" id="{3B6B8B01-FD03-4224-AA4A-3C67BD874A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9DB84CC9-43CA-4DC7-83B2-33325893FCC3}"/>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rive\ANLA\PT%20Control%20Seguimientos%2029-Dic-17.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7\Seguimiento%202017\Balance%202016\PT%20Control%20T&#233;rminos%20DICIEMBRE%202016%20FINAL%2011012017.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Balance%202016\PT%20Control%20T&#233;rminos%20DICIEMBRE%202016%20FINAL%2011012017.xlsm"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20SUBDIRECCION%20DE%20EYS/2016/CONTROL%20TERMINOS%20SIGOV/ENERGIA-MINERIA/2016-09-30/SIGOV%202016%20V5%2030Sep2016%20_Martha%20rev%20SES%200510201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anla-my.sharepoint.com/0%20SUBDIRECCION%20DE%20EYS/2016/CONTROL%20TERMINOS%20SIGOV/ENERGIA-MINERIA/2016-09-30/SIGOV%202016%20V5%2030Sep2016%20_Martha%20rev%20SES%200510201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7\Seguimiento%202017\MAYO\SES%20-%20ANEXOS\Copia%20de%20Control%20T&#233;rminos%20mayo%202017%20Evaluaci&#243;n_EVALUACI&#211;N_defintiivo_V10jun.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MAYO\SES%20-%20ANEXOS\Copia%20de%20Control%20T&#233;rminos%20mayo%202017%20Evaluaci&#243;n_EVALUACI&#211;N_defintiivo_V10jun.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7\Seguimiento%202017\ABRIL\SES\Copia%20de%20Control%20T&#233;rminos%20Abril_2017%20REV2_EVALUACI&#211;N_DefJaz.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ABRIL\SES\Copia%20de%20Control%20T&#233;rminos%20Abril_2017%20REV2_EVALUACI&#211;N_DefJaz.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T&#233;rminos%20ENERO%202017%201901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8\Seguimiento%202018\Cierre%202017\Control%20de%20SEGUIMIENTO%202017_defintivo_RevLore_22ene.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anla-my.sharepoint.com/Users/larcila/AppData/Local/Microsoft/Windows/INetCache/Content.Outlook/XHN05ZOW/PT%20Control%20T&#233;rminos%20ENERO%202017%201901201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8\Seguimiento%202018\Cierre%202017\Control%20de%20SEGUIMIENTO%202017_defintivo_RevLore_22en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Seguimientos%202016%20ENERO%202017%20A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nla-my.sharepoint.com/Users/larcila/AppData/Local/Microsoft/Windows/INetCache/Content.Outlook/XHN05ZOW/PT%20Control%20Seguimientos%202016%20ENERO%202017%20A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nla-my.sharepoint.com/0%20SUBDIRECCION%20DE%20EYS/2017/CONTROL%20DE%20TERMINOS/0%20DICIEMBRE%2031%202016/Control%20de%20Terminos%20SIGOV%202016%20V5%20con%20corte%20al%2010-11-20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20SUBDIRECCION%20DE%20EYS/2017/CONTROL%20DE%20TERMINOS/0%20DICIEMBRE%2031%202016/Control%20de%20Terminos%20SIGOV%202016%20V5%20con%20corte%20al%2010-11-20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nambiente4\SGC-SILA\Indicadores\Informes%20Evaluaci&#242;n\IND.%20PERMISOS\Indicadores%202008\Octubre%2008-0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inambiente4\SGC-SILA\Indicadores\Informes%20Evaluaci&#242;n\IND.%20PERMISOS\Indicadores%202008\Octubre%2008-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ent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PATRICIA CARDENAS" id="{CCBE259B-ECD8-4EE2-9619-C872CC2E80EA}" userId="186cf62bd83452ee" providerId="Windows Live"/>
  <person displayName="Laura Patricia Cardenas Villanueva (ANLA)" id="{DA690209-2339-41A0-A505-D62F0559B173}" userId="Laura Patricia Cardenas Villanueva (ANL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41" dT="2021-07-22T19:51:54.99" personId="{CCBE259B-ECD8-4EE2-9619-C872CC2E80EA}" id="{A84D3D11-819E-4D86-9D55-3AFC9604E4F1}">
    <text>Tipo de medicion y meta paso de 138 a 85% a partir de mayo, por lo que en JUNIO se ve normalizacion porcentual sobre el resultado.</text>
  </threadedComment>
  <threadedComment ref="T42" dT="2021-05-14T15:38:34.77" personId="{DA690209-2339-41A0-A505-D62F0559B173}" id="{503B01A2-6A68-40DE-ADE9-D99EE53799AE}">
    <text>Esta mal el 4,15, debe ser 4%/24%= 16, 67%</text>
  </threadedComment>
  <threadedComment ref="T42" dT="2021-05-14T15:43:37.20" personId="{DA690209-2339-41A0-A505-D62F0559B173}" id="{2E635216-FC60-4007-A4A5-CFA0ABDC325F}" parentId="{503B01A2-6A68-40DE-ADE9-D99EE53799AE}">
    <text>Formula mala: =(T42/$M42)*(8,3%*3)</text>
  </threadedComment>
  <threadedComment ref="AC42" dT="2021-05-14T15:38:34.77" personId="{DA690209-2339-41A0-A505-D62F0559B173}" id="{B2A12A56-353F-4873-9848-9A7635A549A1}">
    <text>Esta mal el 4,15, debe ser 4%/24%= 16, 67%</text>
  </threadedComment>
  <threadedComment ref="AC42" dT="2021-05-14T15:43:37.20" personId="{DA690209-2339-41A0-A505-D62F0559B173}" id="{5F238CAD-9643-4BE2-9C13-5B84A525BDA0}" parentId="{B2A12A56-353F-4873-9848-9A7635A549A1}">
    <text>Formula mala: =(T42/$M42)*(8,3%*3)</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84C73-1C8F-4356-8750-D53F76998495}">
  <sheetPr>
    <tabColor theme="4"/>
  </sheetPr>
  <dimension ref="A1:AH117"/>
  <sheetViews>
    <sheetView workbookViewId="0">
      <selection activeCell="G18" sqref="G18"/>
    </sheetView>
  </sheetViews>
  <sheetFormatPr baseColWidth="10" defaultColWidth="11.42578125" defaultRowHeight="15" x14ac:dyDescent="0.25"/>
  <cols>
    <col min="1" max="1" width="19.140625" style="9" bestFit="1" customWidth="1"/>
    <col min="2" max="2" width="37.85546875" style="9" customWidth="1"/>
    <col min="3" max="6" width="11.42578125" style="9" hidden="1" customWidth="1"/>
    <col min="7" max="14" width="11.42578125" style="9" customWidth="1"/>
    <col min="15" max="16" width="11.42578125" style="9" hidden="1" customWidth="1"/>
    <col min="17" max="17" width="15.7109375" style="9" hidden="1" customWidth="1"/>
    <col min="18" max="18" width="11.42578125" style="9" hidden="1" customWidth="1"/>
    <col min="19" max="19" width="15.7109375" style="9" hidden="1" customWidth="1"/>
    <col min="20" max="24" width="11.42578125" style="9" hidden="1" customWidth="1"/>
    <col min="25" max="25" width="12.5703125" style="9" hidden="1" customWidth="1"/>
    <col min="26" max="26" width="11.42578125" style="9" hidden="1" customWidth="1"/>
    <col min="27" max="27" width="0.85546875" style="9" hidden="1" customWidth="1"/>
    <col min="28" max="28" width="0" style="9" hidden="1" customWidth="1"/>
    <col min="29" max="16384" width="11.42578125" style="9"/>
  </cols>
  <sheetData>
    <row r="1" spans="1:34" s="27" customFormat="1" x14ac:dyDescent="0.25">
      <c r="A1" s="333" t="s">
        <v>0</v>
      </c>
      <c r="B1" s="333" t="s">
        <v>1</v>
      </c>
      <c r="C1" s="330" t="s">
        <v>2</v>
      </c>
      <c r="D1" s="331"/>
      <c r="E1" s="330" t="s">
        <v>3</v>
      </c>
      <c r="F1" s="331"/>
      <c r="G1" s="330" t="s">
        <v>4</v>
      </c>
      <c r="H1" s="331"/>
      <c r="I1" s="330" t="s">
        <v>1081</v>
      </c>
      <c r="J1" s="331"/>
      <c r="K1" s="330" t="s">
        <v>1082</v>
      </c>
      <c r="L1" s="331"/>
      <c r="M1" s="330" t="s">
        <v>1083</v>
      </c>
      <c r="N1" s="331"/>
      <c r="O1" s="330" t="s">
        <v>1433</v>
      </c>
      <c r="P1" s="331"/>
      <c r="Q1" s="330" t="s">
        <v>1434</v>
      </c>
      <c r="R1" s="331"/>
      <c r="S1" s="330" t="s">
        <v>1435</v>
      </c>
      <c r="T1" s="331"/>
      <c r="U1" s="330" t="s">
        <v>1436</v>
      </c>
      <c r="V1" s="331"/>
      <c r="W1" s="330" t="s">
        <v>1437</v>
      </c>
      <c r="X1" s="331"/>
      <c r="Y1" s="330" t="s">
        <v>1438</v>
      </c>
      <c r="Z1" s="331"/>
    </row>
    <row r="2" spans="1:34" s="30" customFormat="1" ht="30" x14ac:dyDescent="0.25">
      <c r="A2" s="334"/>
      <c r="B2" s="334"/>
      <c r="C2" s="28" t="s">
        <v>5</v>
      </c>
      <c r="D2" s="29" t="s">
        <v>6</v>
      </c>
      <c r="E2" s="28" t="s">
        <v>5</v>
      </c>
      <c r="F2" s="29" t="s">
        <v>6</v>
      </c>
      <c r="G2" s="28" t="s">
        <v>5</v>
      </c>
      <c r="H2" s="29" t="s">
        <v>6</v>
      </c>
      <c r="I2" s="28" t="s">
        <v>5</v>
      </c>
      <c r="J2" s="29" t="s">
        <v>6</v>
      </c>
      <c r="K2" s="230" t="s">
        <v>5</v>
      </c>
      <c r="L2" s="231" t="s">
        <v>6</v>
      </c>
      <c r="M2" s="28" t="s">
        <v>5</v>
      </c>
      <c r="N2" s="29" t="s">
        <v>6</v>
      </c>
      <c r="O2" s="28" t="s">
        <v>5</v>
      </c>
      <c r="P2" s="29" t="s">
        <v>6</v>
      </c>
      <c r="Q2" s="28" t="s">
        <v>5</v>
      </c>
      <c r="R2" s="29" t="s">
        <v>6</v>
      </c>
      <c r="S2" s="28" t="s">
        <v>5</v>
      </c>
      <c r="T2" s="29" t="s">
        <v>6</v>
      </c>
      <c r="U2" s="28" t="s">
        <v>5</v>
      </c>
      <c r="V2" s="29" t="s">
        <v>6</v>
      </c>
      <c r="W2" s="28" t="s">
        <v>5</v>
      </c>
      <c r="X2" s="29" t="s">
        <v>6</v>
      </c>
      <c r="Y2" s="28" t="s">
        <v>5</v>
      </c>
      <c r="Z2" s="29" t="s">
        <v>6</v>
      </c>
    </row>
    <row r="3" spans="1:34" x14ac:dyDescent="0.25">
      <c r="A3" s="31" t="s">
        <v>7</v>
      </c>
      <c r="B3" s="32"/>
      <c r="C3" s="33">
        <v>0.02</v>
      </c>
      <c r="D3" s="34">
        <v>0.02</v>
      </c>
      <c r="E3" s="35">
        <v>0.09</v>
      </c>
      <c r="F3" s="36">
        <v>0.08</v>
      </c>
      <c r="G3" s="35">
        <v>0.20899999999999999</v>
      </c>
      <c r="H3" s="36">
        <v>0.13100000000000001</v>
      </c>
      <c r="I3" s="35">
        <v>0.28000000000000003</v>
      </c>
      <c r="J3" s="232">
        <v>0.19800000000000001</v>
      </c>
      <c r="K3" s="233">
        <v>0.34399999999999997</v>
      </c>
      <c r="L3" s="234">
        <v>0.374</v>
      </c>
      <c r="M3" s="235">
        <v>0.47299999999999998</v>
      </c>
      <c r="N3" s="36">
        <v>0.60099999999999998</v>
      </c>
      <c r="O3" s="35"/>
      <c r="P3" s="34"/>
      <c r="Q3" s="35"/>
      <c r="R3" s="34"/>
      <c r="S3" s="33"/>
      <c r="T3" s="34"/>
      <c r="U3" s="33"/>
      <c r="V3" s="34"/>
      <c r="W3" s="33"/>
      <c r="X3" s="34"/>
      <c r="Y3" s="33"/>
      <c r="Z3" s="34"/>
    </row>
    <row r="4" spans="1:34" x14ac:dyDescent="0.25">
      <c r="A4" s="321" t="s">
        <v>8</v>
      </c>
      <c r="B4" s="37" t="s">
        <v>9</v>
      </c>
      <c r="C4" s="38">
        <v>8.4000000000000005E-2</v>
      </c>
      <c r="D4" s="39">
        <v>8.8599999999999998E-2</v>
      </c>
      <c r="E4" s="38">
        <v>0.18260000000000001</v>
      </c>
      <c r="F4" s="39">
        <v>0.18729999999999999</v>
      </c>
      <c r="G4" s="38">
        <v>0.26590000000000003</v>
      </c>
      <c r="H4" s="39">
        <v>0.26690000000000003</v>
      </c>
      <c r="I4" s="38">
        <v>0.37830000000000003</v>
      </c>
      <c r="J4" s="236">
        <v>0.39689999999999998</v>
      </c>
      <c r="K4" s="237">
        <v>0.4894</v>
      </c>
      <c r="L4" s="238">
        <v>0.53210000000000002</v>
      </c>
      <c r="M4" s="237">
        <v>0.60470000000000002</v>
      </c>
      <c r="N4" s="237">
        <v>0.69159999999999999</v>
      </c>
      <c r="O4" s="35"/>
      <c r="P4" s="36"/>
      <c r="Q4" s="35"/>
      <c r="R4" s="36"/>
      <c r="S4" s="35"/>
      <c r="T4" s="36"/>
      <c r="U4" s="35"/>
      <c r="V4" s="36"/>
      <c r="W4" s="35"/>
      <c r="X4" s="36"/>
      <c r="Y4" s="35"/>
      <c r="Z4" s="36"/>
    </row>
    <row r="5" spans="1:34" x14ac:dyDescent="0.25">
      <c r="A5" s="322"/>
      <c r="B5" s="37" t="s">
        <v>10</v>
      </c>
      <c r="C5" s="38">
        <v>9.8000000000000004E-2</v>
      </c>
      <c r="D5" s="39" t="s">
        <v>11</v>
      </c>
      <c r="E5" s="38">
        <v>0.1961</v>
      </c>
      <c r="F5" s="39" t="s">
        <v>11</v>
      </c>
      <c r="G5" s="38">
        <v>0.29409999999999997</v>
      </c>
      <c r="H5" s="39" t="s">
        <v>11</v>
      </c>
      <c r="I5" s="38">
        <v>0.39219999999999999</v>
      </c>
      <c r="J5" s="236" t="s">
        <v>11</v>
      </c>
      <c r="K5" s="237">
        <v>0.49020000000000002</v>
      </c>
      <c r="L5" s="238" t="s">
        <v>11</v>
      </c>
      <c r="M5" s="239">
        <v>0.58819999999999995</v>
      </c>
      <c r="N5" s="39" t="s">
        <v>11</v>
      </c>
      <c r="O5" s="35"/>
      <c r="P5" s="36"/>
      <c r="Q5" s="35"/>
      <c r="R5" s="36"/>
      <c r="S5" s="35"/>
      <c r="T5" s="36"/>
      <c r="U5" s="35"/>
      <c r="V5" s="36"/>
      <c r="W5" s="35"/>
      <c r="X5" s="36"/>
      <c r="Y5" s="35"/>
      <c r="Z5" s="36"/>
    </row>
    <row r="6" spans="1:34" x14ac:dyDescent="0.25">
      <c r="A6" s="322"/>
      <c r="B6" s="37" t="s">
        <v>12</v>
      </c>
      <c r="C6" s="38">
        <v>0.05</v>
      </c>
      <c r="D6" s="39">
        <v>0.08</v>
      </c>
      <c r="E6" s="38">
        <v>0.13</v>
      </c>
      <c r="F6" s="39">
        <v>0.155</v>
      </c>
      <c r="G6" s="38">
        <v>0.19</v>
      </c>
      <c r="H6" s="39">
        <v>0.22500000000000001</v>
      </c>
      <c r="I6" s="38">
        <v>0.22</v>
      </c>
      <c r="J6" s="236">
        <v>0.33500000000000002</v>
      </c>
      <c r="K6" s="237">
        <v>0.33</v>
      </c>
      <c r="L6" s="238">
        <v>0.56999999999999995</v>
      </c>
      <c r="M6" s="239">
        <v>0.42</v>
      </c>
      <c r="N6" s="239">
        <v>0.87</v>
      </c>
      <c r="O6" s="35"/>
      <c r="P6" s="36"/>
      <c r="Q6" s="35"/>
      <c r="R6" s="36"/>
      <c r="S6" s="35"/>
      <c r="T6" s="36"/>
      <c r="U6" s="35"/>
      <c r="V6" s="36"/>
      <c r="W6" s="35"/>
      <c r="X6" s="36"/>
      <c r="Y6" s="35"/>
      <c r="Z6" s="36"/>
    </row>
    <row r="7" spans="1:34" x14ac:dyDescent="0.25">
      <c r="A7" s="322"/>
      <c r="B7" s="37" t="s">
        <v>13</v>
      </c>
      <c r="C7" s="38">
        <v>7.2499999999999995E-2</v>
      </c>
      <c r="D7" s="39" t="s">
        <v>11</v>
      </c>
      <c r="E7" s="40">
        <v>0.1467</v>
      </c>
      <c r="F7" s="39" t="s">
        <v>11</v>
      </c>
      <c r="G7" s="38">
        <v>0.22</v>
      </c>
      <c r="H7" s="39" t="s">
        <v>11</v>
      </c>
      <c r="I7" s="38">
        <v>0.29830000000000001</v>
      </c>
      <c r="J7" s="236" t="s">
        <v>11</v>
      </c>
      <c r="K7" s="237">
        <v>0.37580000000000002</v>
      </c>
      <c r="L7" s="238" t="s">
        <v>11</v>
      </c>
      <c r="M7" s="239">
        <v>0.47710000000000002</v>
      </c>
      <c r="N7" s="39" t="s">
        <v>11</v>
      </c>
      <c r="O7" s="35"/>
      <c r="P7" s="36"/>
      <c r="Q7" s="35"/>
      <c r="R7" s="36"/>
      <c r="S7" s="35"/>
      <c r="T7" s="36"/>
      <c r="U7" s="35"/>
      <c r="V7" s="36"/>
      <c r="W7" s="35"/>
      <c r="X7" s="36"/>
      <c r="Y7" s="35"/>
      <c r="Z7" s="36"/>
    </row>
    <row r="8" spans="1:34" x14ac:dyDescent="0.25">
      <c r="A8" s="323"/>
      <c r="B8" s="41" t="s">
        <v>14</v>
      </c>
      <c r="C8" s="42">
        <v>7.6100000000000001E-2</v>
      </c>
      <c r="D8" s="42">
        <v>8.43E-2</v>
      </c>
      <c r="E8" s="43">
        <v>0.1638</v>
      </c>
      <c r="F8" s="44">
        <v>0.17119999999999999</v>
      </c>
      <c r="G8" s="43">
        <v>0.2429</v>
      </c>
      <c r="H8" s="44">
        <v>0.24590000000000001</v>
      </c>
      <c r="I8" s="35">
        <v>0.32219999999999999</v>
      </c>
      <c r="J8" s="232">
        <v>0.36599999999999999</v>
      </c>
      <c r="K8" s="240">
        <v>0.42130000000000001</v>
      </c>
      <c r="L8" s="241">
        <v>0.55110000000000003</v>
      </c>
      <c r="M8" s="235">
        <v>0.52249999999999996</v>
      </c>
      <c r="N8" s="36">
        <v>0.78080000000000005</v>
      </c>
      <c r="O8" s="35"/>
      <c r="P8" s="36"/>
      <c r="Q8" s="35"/>
      <c r="R8" s="36"/>
      <c r="S8" s="35"/>
      <c r="T8" s="36"/>
      <c r="U8" s="35"/>
      <c r="V8" s="36"/>
      <c r="W8" s="35"/>
      <c r="X8" s="36"/>
      <c r="Y8" s="35"/>
      <c r="Z8" s="36"/>
      <c r="AB8" s="109"/>
    </row>
    <row r="9" spans="1:34" x14ac:dyDescent="0.25">
      <c r="A9" s="219" t="s">
        <v>15</v>
      </c>
      <c r="B9" s="32"/>
      <c r="C9" s="35">
        <v>8.3299999999999999E-2</v>
      </c>
      <c r="D9" s="45">
        <v>0</v>
      </c>
      <c r="E9" s="35">
        <v>0.16669999999999999</v>
      </c>
      <c r="F9" s="45">
        <v>0.2</v>
      </c>
      <c r="G9" s="35">
        <v>0.25</v>
      </c>
      <c r="H9" s="36">
        <v>0.4</v>
      </c>
      <c r="I9" s="35">
        <v>0.30559999999999998</v>
      </c>
      <c r="J9" s="242">
        <v>0.5</v>
      </c>
      <c r="K9" s="240">
        <v>0.36109999999999998</v>
      </c>
      <c r="L9" s="241">
        <v>0.6</v>
      </c>
      <c r="M9" s="235">
        <v>0.5</v>
      </c>
      <c r="N9" s="36">
        <v>0.8</v>
      </c>
      <c r="O9" s="35"/>
      <c r="P9" s="36"/>
      <c r="Q9" s="35"/>
      <c r="R9" s="36"/>
      <c r="S9" s="35"/>
      <c r="T9" s="36"/>
      <c r="U9" s="35"/>
      <c r="V9" s="36"/>
      <c r="W9" s="35"/>
      <c r="X9" s="36"/>
      <c r="Y9" s="35"/>
      <c r="Z9" s="36"/>
    </row>
    <row r="10" spans="1:34" x14ac:dyDescent="0.25">
      <c r="A10" s="46" t="s">
        <v>16</v>
      </c>
      <c r="B10" s="47"/>
      <c r="C10" s="243">
        <v>7.5999999999999998E-2</v>
      </c>
      <c r="D10" s="244">
        <v>9.1700000000000004E-2</v>
      </c>
      <c r="E10" s="243">
        <v>0.18279999999999999</v>
      </c>
      <c r="F10" s="244">
        <v>0.18110000000000001</v>
      </c>
      <c r="G10" s="243">
        <v>0.2044</v>
      </c>
      <c r="H10" s="244">
        <v>0.27779999999999999</v>
      </c>
      <c r="I10" s="243">
        <v>0.36099999999999999</v>
      </c>
      <c r="J10" s="245">
        <v>0.3896</v>
      </c>
      <c r="K10" s="246">
        <v>0.46039999999999998</v>
      </c>
      <c r="L10" s="247">
        <v>0.45829999999999999</v>
      </c>
      <c r="M10" s="248">
        <v>0.56020000000000003</v>
      </c>
      <c r="N10" s="49">
        <v>0.53759999999999997</v>
      </c>
      <c r="O10" s="48"/>
      <c r="P10" s="49"/>
      <c r="Q10" s="48"/>
      <c r="R10" s="49"/>
      <c r="S10" s="48"/>
      <c r="T10" s="49"/>
      <c r="U10" s="48"/>
      <c r="V10" s="49"/>
      <c r="W10" s="35"/>
      <c r="X10" s="36"/>
      <c r="Y10" s="35"/>
      <c r="Z10" s="36"/>
    </row>
    <row r="11" spans="1:34" x14ac:dyDescent="0.25">
      <c r="A11" s="46" t="s">
        <v>17</v>
      </c>
      <c r="B11" s="47"/>
      <c r="C11" s="48">
        <v>6.8199999999999997E-2</v>
      </c>
      <c r="D11" s="49">
        <v>7.5600000000000001E-2</v>
      </c>
      <c r="E11" s="48">
        <v>0.1288</v>
      </c>
      <c r="F11" s="49">
        <v>0.14219999999999999</v>
      </c>
      <c r="G11" s="48">
        <v>0.2321</v>
      </c>
      <c r="H11" s="49">
        <v>0.24310000000000001</v>
      </c>
      <c r="I11" s="48">
        <v>0.30690000000000001</v>
      </c>
      <c r="J11" s="249">
        <v>0.30980000000000002</v>
      </c>
      <c r="K11" s="240">
        <v>0.43430000000000002</v>
      </c>
      <c r="L11" s="241">
        <v>0.39029999999999998</v>
      </c>
      <c r="M11" s="235">
        <v>0.52969999999999995</v>
      </c>
      <c r="N11" s="36">
        <v>0.50619999999999998</v>
      </c>
      <c r="O11" s="35"/>
      <c r="P11" s="36"/>
      <c r="Q11" s="35"/>
      <c r="R11" s="36"/>
      <c r="S11" s="35"/>
      <c r="T11" s="36"/>
      <c r="U11" s="35"/>
      <c r="V11" s="36"/>
      <c r="W11" s="35"/>
      <c r="X11" s="36"/>
      <c r="Y11" s="35"/>
      <c r="Z11" s="36"/>
    </row>
    <row r="12" spans="1:34" x14ac:dyDescent="0.25">
      <c r="A12" s="321" t="s">
        <v>18</v>
      </c>
      <c r="B12" s="50" t="s">
        <v>18</v>
      </c>
      <c r="C12" s="51" t="s">
        <v>11</v>
      </c>
      <c r="D12" s="52" t="s">
        <v>11</v>
      </c>
      <c r="E12" s="51" t="s">
        <v>11</v>
      </c>
      <c r="F12" s="52" t="s">
        <v>11</v>
      </c>
      <c r="G12" s="51" t="s">
        <v>11</v>
      </c>
      <c r="H12" s="53" t="s">
        <v>11</v>
      </c>
      <c r="I12" s="51" t="s">
        <v>11</v>
      </c>
      <c r="J12" s="250" t="s">
        <v>11</v>
      </c>
      <c r="K12" s="251" t="s">
        <v>11</v>
      </c>
      <c r="L12" s="55" t="s">
        <v>11</v>
      </c>
      <c r="M12" s="251" t="s">
        <v>11</v>
      </c>
      <c r="N12" s="55" t="s">
        <v>11</v>
      </c>
      <c r="O12" s="35"/>
      <c r="P12" s="36"/>
      <c r="Q12" s="35"/>
      <c r="R12" s="36"/>
      <c r="S12" s="35"/>
      <c r="T12" s="36"/>
      <c r="U12" s="35"/>
      <c r="V12" s="36"/>
      <c r="W12" s="35"/>
      <c r="X12" s="36"/>
      <c r="Y12" s="35"/>
      <c r="Z12" s="36"/>
    </row>
    <row r="13" spans="1:34" x14ac:dyDescent="0.25">
      <c r="A13" s="322"/>
      <c r="B13" s="50" t="s">
        <v>19</v>
      </c>
      <c r="C13" s="51">
        <v>0</v>
      </c>
      <c r="D13" s="53">
        <v>0</v>
      </c>
      <c r="E13" s="51">
        <v>0.16600000000000001</v>
      </c>
      <c r="F13" s="53">
        <v>8.3000000000000004E-2</v>
      </c>
      <c r="G13" s="51">
        <v>0.249</v>
      </c>
      <c r="H13" s="53">
        <v>0.28449999999999998</v>
      </c>
      <c r="I13" s="38">
        <v>0.33200000000000002</v>
      </c>
      <c r="J13" s="236">
        <v>0.32600000000000001</v>
      </c>
      <c r="K13" s="237">
        <v>0.41499999999999998</v>
      </c>
      <c r="L13" s="238">
        <v>0.36749999999999999</v>
      </c>
      <c r="M13" s="237">
        <v>0.498</v>
      </c>
      <c r="N13" s="238">
        <v>0.51900000000000002</v>
      </c>
      <c r="O13" s="35"/>
      <c r="P13" s="36"/>
      <c r="Q13" s="35"/>
      <c r="R13" s="36"/>
      <c r="S13" s="35"/>
      <c r="T13" s="36"/>
      <c r="U13" s="35"/>
      <c r="V13" s="36"/>
      <c r="W13" s="35"/>
      <c r="X13" s="36"/>
      <c r="Y13" s="35"/>
      <c r="Z13" s="36"/>
    </row>
    <row r="14" spans="1:34" x14ac:dyDescent="0.25">
      <c r="A14" s="322"/>
      <c r="B14" s="50" t="s">
        <v>20</v>
      </c>
      <c r="C14" s="51">
        <v>1.67E-2</v>
      </c>
      <c r="D14" s="53">
        <v>2.3900000000000001E-2</v>
      </c>
      <c r="E14" s="38">
        <v>9.8500000000000004E-2</v>
      </c>
      <c r="F14" s="39">
        <v>9.8299999999999998E-2</v>
      </c>
      <c r="G14" s="38">
        <v>0.15429999999999999</v>
      </c>
      <c r="H14" s="39">
        <v>0.27050000000000002</v>
      </c>
      <c r="I14" s="38">
        <v>0.18959999999999999</v>
      </c>
      <c r="J14" s="236">
        <v>0.28939999999999999</v>
      </c>
      <c r="K14" s="252">
        <v>0.2697</v>
      </c>
      <c r="L14" s="253">
        <v>0.3826</v>
      </c>
      <c r="M14" s="252">
        <v>0.313</v>
      </c>
      <c r="N14" s="253">
        <v>0.46650000000000003</v>
      </c>
      <c r="O14" s="35"/>
      <c r="P14" s="36"/>
      <c r="Q14" s="35"/>
      <c r="R14" s="36"/>
      <c r="S14" s="35"/>
      <c r="T14" s="36"/>
      <c r="U14" s="35"/>
      <c r="V14" s="36"/>
      <c r="W14" s="35"/>
      <c r="X14" s="36"/>
      <c r="Y14" s="35"/>
      <c r="Z14" s="36"/>
    </row>
    <row r="15" spans="1:34" s="27" customFormat="1" x14ac:dyDescent="0.25">
      <c r="A15" s="323"/>
      <c r="B15" s="41" t="s">
        <v>21</v>
      </c>
      <c r="C15" s="42">
        <f>+AVERAGE(C13:C14)</f>
        <v>8.3499999999999998E-3</v>
      </c>
      <c r="D15" s="42">
        <f>+AVERAGE(D13:D14)</f>
        <v>1.1950000000000001E-2</v>
      </c>
      <c r="E15" s="42">
        <v>0.13220000000000001</v>
      </c>
      <c r="F15" s="42">
        <f>+AVERAGE(F13:F14)</f>
        <v>9.0650000000000008E-2</v>
      </c>
      <c r="G15" s="42">
        <v>0.2016</v>
      </c>
      <c r="H15" s="42">
        <v>0.27750000000000002</v>
      </c>
      <c r="I15" s="42">
        <v>0.26079999999999998</v>
      </c>
      <c r="J15" s="254">
        <v>0.30769999999999997</v>
      </c>
      <c r="K15" s="255">
        <v>0.34239999999999998</v>
      </c>
      <c r="L15" s="256">
        <v>0.375</v>
      </c>
      <c r="M15" s="255">
        <v>0.40550000000000003</v>
      </c>
      <c r="N15" s="256">
        <v>0.49280000000000002</v>
      </c>
      <c r="O15" s="42"/>
      <c r="P15" s="42"/>
      <c r="Q15" s="257"/>
      <c r="R15" s="257"/>
      <c r="S15" s="257"/>
      <c r="T15" s="257"/>
      <c r="U15" s="257"/>
      <c r="V15" s="257"/>
      <c r="W15" s="257"/>
      <c r="X15" s="257"/>
      <c r="Y15" s="257"/>
      <c r="Z15" s="257"/>
    </row>
    <row r="16" spans="1:34" x14ac:dyDescent="0.25">
      <c r="A16" s="321" t="s">
        <v>22</v>
      </c>
      <c r="B16" s="50" t="s">
        <v>23</v>
      </c>
      <c r="C16" s="51">
        <v>8.3299999999999999E-2</v>
      </c>
      <c r="D16" s="52" t="s">
        <v>11</v>
      </c>
      <c r="E16" s="51">
        <v>0.16669999999999999</v>
      </c>
      <c r="F16" s="52" t="s">
        <v>11</v>
      </c>
      <c r="G16" s="51">
        <v>0.36330000000000001</v>
      </c>
      <c r="H16" s="52" t="s">
        <v>11</v>
      </c>
      <c r="I16" s="51">
        <v>0.33333000000000002</v>
      </c>
      <c r="J16" s="258" t="s">
        <v>11</v>
      </c>
      <c r="K16" s="251">
        <v>0.41670000000000001</v>
      </c>
      <c r="L16" s="259" t="s">
        <v>11</v>
      </c>
      <c r="M16" s="56">
        <v>0.47332999999999997</v>
      </c>
      <c r="N16" s="259" t="s">
        <v>11</v>
      </c>
      <c r="O16" s="51"/>
      <c r="P16" s="52"/>
      <c r="Q16" s="51"/>
      <c r="R16" s="52"/>
      <c r="S16" s="51"/>
      <c r="T16" s="52"/>
      <c r="U16" s="51"/>
      <c r="V16" s="52"/>
      <c r="W16" s="51"/>
      <c r="X16" s="52"/>
      <c r="Y16" s="51"/>
      <c r="Z16" s="52"/>
      <c r="AA16" s="9">
        <v>30.42</v>
      </c>
      <c r="AH16" s="9" t="s">
        <v>1439</v>
      </c>
    </row>
    <row r="17" spans="1:27" x14ac:dyDescent="0.25">
      <c r="A17" s="322"/>
      <c r="B17" s="50" t="s">
        <v>24</v>
      </c>
      <c r="C17" s="51">
        <v>0.2034</v>
      </c>
      <c r="D17" s="53">
        <v>2.9499999999999998E-2</v>
      </c>
      <c r="E17" s="51">
        <v>0.26740000000000003</v>
      </c>
      <c r="F17" s="53">
        <v>7.4300000000000005E-2</v>
      </c>
      <c r="G17" s="51">
        <v>0.3417</v>
      </c>
      <c r="H17" s="53">
        <v>0.2331</v>
      </c>
      <c r="I17" s="51">
        <v>0.41631600000000002</v>
      </c>
      <c r="J17" s="250">
        <v>0.219307</v>
      </c>
      <c r="K17" s="251">
        <v>0.48859999999999998</v>
      </c>
      <c r="L17" s="55">
        <v>0.30420000000000003</v>
      </c>
      <c r="M17" s="56">
        <v>0.54895000000000005</v>
      </c>
      <c r="N17" s="55">
        <v>0.46855000000000002</v>
      </c>
      <c r="O17" s="51"/>
      <c r="P17" s="53"/>
      <c r="Q17" s="51"/>
      <c r="R17" s="53"/>
      <c r="S17" s="51"/>
      <c r="T17" s="53"/>
      <c r="U17" s="51"/>
      <c r="V17" s="53"/>
      <c r="W17" s="51"/>
      <c r="X17" s="53"/>
      <c r="Y17" s="51"/>
      <c r="Z17" s="53"/>
      <c r="AA17" s="9">
        <v>18.690000000000001</v>
      </c>
    </row>
    <row r="18" spans="1:27" x14ac:dyDescent="0.25">
      <c r="A18" s="322"/>
      <c r="B18" s="50" t="s">
        <v>25</v>
      </c>
      <c r="C18" s="51">
        <v>7.6600000000000001E-2</v>
      </c>
      <c r="D18" s="53">
        <v>5.57E-2</v>
      </c>
      <c r="E18" s="51">
        <v>0.16550000000000001</v>
      </c>
      <c r="F18" s="53">
        <v>0.27879999999999999</v>
      </c>
      <c r="G18" s="51">
        <v>0.25609999999999999</v>
      </c>
      <c r="H18" s="53">
        <v>0.3367</v>
      </c>
      <c r="I18" s="51">
        <v>0.30399999999999999</v>
      </c>
      <c r="J18" s="250">
        <v>0.35699999999999998</v>
      </c>
      <c r="K18" s="251">
        <v>0.2036</v>
      </c>
      <c r="L18" s="55">
        <v>0.18690000000000001</v>
      </c>
      <c r="M18" s="56">
        <v>0.21995000000000001</v>
      </c>
      <c r="N18" s="55">
        <v>0.30854999999999999</v>
      </c>
      <c r="O18" s="51"/>
      <c r="P18" s="53"/>
      <c r="Q18" s="51"/>
      <c r="R18" s="53"/>
      <c r="S18" s="51"/>
      <c r="T18" s="53"/>
      <c r="U18" s="51"/>
      <c r="V18" s="53"/>
      <c r="W18" s="51"/>
      <c r="X18" s="53"/>
      <c r="Y18" s="51"/>
      <c r="Z18" s="53"/>
      <c r="AA18" s="9">
        <v>43.75</v>
      </c>
    </row>
    <row r="19" spans="1:27" x14ac:dyDescent="0.25">
      <c r="A19" s="322"/>
      <c r="B19" s="50" t="s">
        <v>26</v>
      </c>
      <c r="C19" s="51">
        <v>7.8299999999999995E-2</v>
      </c>
      <c r="D19" s="54">
        <v>8.3299999999999999E-2</v>
      </c>
      <c r="E19" s="51">
        <v>0.13089999999999999</v>
      </c>
      <c r="F19" s="54">
        <v>0.19</v>
      </c>
      <c r="G19" s="51">
        <v>0.2036</v>
      </c>
      <c r="H19" s="54">
        <v>0.28199999999999997</v>
      </c>
      <c r="I19" s="51">
        <v>0.32140000000000002</v>
      </c>
      <c r="J19" s="250">
        <v>0.36065000000000003</v>
      </c>
      <c r="K19" s="251">
        <v>0.39600000000000002</v>
      </c>
      <c r="L19" s="260">
        <v>0.4375</v>
      </c>
      <c r="M19" s="56">
        <v>0.50049999999999994</v>
      </c>
      <c r="N19" s="260">
        <v>0.47099999999999997</v>
      </c>
      <c r="O19" s="51"/>
      <c r="P19" s="54"/>
      <c r="Q19" s="51"/>
      <c r="R19" s="54"/>
      <c r="S19" s="51"/>
      <c r="T19" s="54"/>
      <c r="U19" s="51"/>
      <c r="V19" s="54"/>
      <c r="W19" s="51"/>
      <c r="X19" s="54"/>
      <c r="Y19" s="51"/>
      <c r="Z19" s="54"/>
      <c r="AA19" s="9">
        <v>41.33</v>
      </c>
    </row>
    <row r="20" spans="1:27" x14ac:dyDescent="0.25">
      <c r="A20" s="322"/>
      <c r="B20" s="50" t="s">
        <v>27</v>
      </c>
      <c r="C20" s="51">
        <v>4.7399999999999998E-2</v>
      </c>
      <c r="D20" s="55">
        <v>8.3299999999999999E-2</v>
      </c>
      <c r="E20" s="56">
        <v>0.15040000000000001</v>
      </c>
      <c r="F20" s="53">
        <v>0.16420000000000001</v>
      </c>
      <c r="G20" s="51">
        <v>0.25530000000000003</v>
      </c>
      <c r="H20" s="53">
        <v>0.2455</v>
      </c>
      <c r="I20" s="51">
        <v>0.35083900000000001</v>
      </c>
      <c r="J20" s="261">
        <v>0.32916600000000001</v>
      </c>
      <c r="K20" s="251">
        <v>0.4531</v>
      </c>
      <c r="L20" s="55">
        <v>0.4133</v>
      </c>
      <c r="M20" s="56">
        <v>0.59765000000000001</v>
      </c>
      <c r="N20" s="55">
        <v>0.4985</v>
      </c>
      <c r="O20" s="51"/>
      <c r="P20" s="53"/>
      <c r="Q20" s="51"/>
      <c r="R20" s="53"/>
      <c r="S20" s="51"/>
      <c r="T20" s="53"/>
      <c r="U20" s="51"/>
      <c r="V20" s="53"/>
      <c r="W20" s="51"/>
      <c r="X20" s="53"/>
      <c r="Y20" s="51"/>
      <c r="Z20" s="53"/>
    </row>
    <row r="21" spans="1:27" x14ac:dyDescent="0.25">
      <c r="A21" s="322"/>
      <c r="B21" s="57" t="s">
        <v>28</v>
      </c>
      <c r="C21" s="58">
        <v>0.08</v>
      </c>
      <c r="D21" s="59" t="s">
        <v>11</v>
      </c>
      <c r="E21" s="60">
        <v>0.16500000000000001</v>
      </c>
      <c r="F21" s="52" t="s">
        <v>11</v>
      </c>
      <c r="G21" s="58">
        <v>0.246</v>
      </c>
      <c r="H21" s="52" t="s">
        <v>11</v>
      </c>
      <c r="I21" s="51">
        <v>0.32700000000000001</v>
      </c>
      <c r="J21" s="258" t="s">
        <v>11</v>
      </c>
      <c r="K21" s="262">
        <v>0.41</v>
      </c>
      <c r="L21" s="259" t="s">
        <v>11</v>
      </c>
      <c r="M21" s="263">
        <v>0.49299999999999999</v>
      </c>
      <c r="N21" s="259" t="s">
        <v>11</v>
      </c>
      <c r="O21" s="58"/>
      <c r="P21" s="264"/>
      <c r="Q21" s="58"/>
      <c r="R21" s="264"/>
      <c r="S21" s="58"/>
      <c r="T21" s="264"/>
      <c r="U21" s="58"/>
      <c r="V21" s="264"/>
      <c r="W21" s="58"/>
      <c r="X21" s="264"/>
      <c r="Y21" s="58"/>
      <c r="Z21" s="264"/>
    </row>
    <row r="22" spans="1:27" s="27" customFormat="1" x14ac:dyDescent="0.25">
      <c r="A22" s="323"/>
      <c r="B22" s="41" t="s">
        <v>29</v>
      </c>
      <c r="C22" s="42">
        <v>9.7799999999999998E-2</v>
      </c>
      <c r="D22" s="42">
        <v>6.3E-2</v>
      </c>
      <c r="E22" s="42">
        <v>0.17430000000000001</v>
      </c>
      <c r="F22" s="42">
        <v>0.17680000000000001</v>
      </c>
      <c r="G22" s="42">
        <v>0.22770000000000001</v>
      </c>
      <c r="H22" s="42">
        <v>0.27429999999999999</v>
      </c>
      <c r="I22" s="42">
        <v>0.34209099999999998</v>
      </c>
      <c r="J22" s="254">
        <v>0.31652999999999998</v>
      </c>
      <c r="K22" s="265">
        <v>0.3947</v>
      </c>
      <c r="L22" s="266">
        <v>0.33550000000000002</v>
      </c>
      <c r="M22" s="267">
        <v>0.47222999999999998</v>
      </c>
      <c r="N22" s="266">
        <v>0.43657000000000001</v>
      </c>
      <c r="O22" s="42"/>
      <c r="P22" s="42"/>
      <c r="Q22" s="42"/>
      <c r="R22" s="42"/>
      <c r="S22" s="42"/>
      <c r="T22" s="42"/>
      <c r="U22" s="42"/>
      <c r="V22" s="42"/>
      <c r="W22" s="42"/>
      <c r="X22" s="42"/>
      <c r="Y22" s="42"/>
      <c r="Z22" s="42"/>
    </row>
    <row r="23" spans="1:27" s="27" customFormat="1" x14ac:dyDescent="0.25">
      <c r="A23" s="324" t="s">
        <v>30</v>
      </c>
      <c r="B23" s="50" t="s">
        <v>31</v>
      </c>
      <c r="C23" s="51" t="s">
        <v>11</v>
      </c>
      <c r="D23" s="53">
        <v>0.04</v>
      </c>
      <c r="E23" s="51" t="s">
        <v>11</v>
      </c>
      <c r="F23" s="51">
        <v>0.21</v>
      </c>
      <c r="G23" s="51" t="s">
        <v>11</v>
      </c>
      <c r="H23" s="53">
        <v>0.28870000000000001</v>
      </c>
      <c r="I23" s="40" t="s">
        <v>11</v>
      </c>
      <c r="J23" s="268">
        <v>0.36249999999999999</v>
      </c>
      <c r="K23" s="263" t="s">
        <v>11</v>
      </c>
      <c r="L23" s="269">
        <v>0.49130000000000001</v>
      </c>
      <c r="M23" s="263">
        <v>0.53</v>
      </c>
      <c r="N23" s="269">
        <v>0.50190000000000001</v>
      </c>
      <c r="O23" s="270"/>
      <c r="P23" s="271"/>
      <c r="Q23" s="270"/>
      <c r="R23" s="271"/>
      <c r="S23" s="270"/>
      <c r="T23" s="271"/>
      <c r="U23" s="270"/>
      <c r="V23" s="271"/>
      <c r="W23" s="270"/>
      <c r="X23" s="271"/>
      <c r="Y23" s="270"/>
      <c r="Z23" s="271"/>
    </row>
    <row r="24" spans="1:27" x14ac:dyDescent="0.25">
      <c r="A24" s="325"/>
      <c r="B24" s="50" t="s">
        <v>32</v>
      </c>
      <c r="C24" s="51">
        <v>8.2799999999999999E-2</v>
      </c>
      <c r="D24" s="53">
        <v>8.3299999999999999E-2</v>
      </c>
      <c r="E24" s="51">
        <v>0.15629999999999999</v>
      </c>
      <c r="F24" s="53">
        <v>0.16669999999999999</v>
      </c>
      <c r="G24" s="51">
        <v>0.2495</v>
      </c>
      <c r="H24" s="53">
        <v>0.25</v>
      </c>
      <c r="I24" s="51">
        <v>0.32890000000000003</v>
      </c>
      <c r="J24" s="250">
        <v>0.33329999999999999</v>
      </c>
      <c r="K24" s="251">
        <v>0.4163</v>
      </c>
      <c r="L24" s="55">
        <v>0.41670000000000001</v>
      </c>
      <c r="M24" s="56">
        <v>0.51800000000000002</v>
      </c>
      <c r="N24" s="53">
        <v>0.75349999999999995</v>
      </c>
      <c r="O24" s="51"/>
      <c r="P24" s="53"/>
      <c r="Q24" s="272"/>
      <c r="R24" s="273"/>
      <c r="S24" s="272"/>
      <c r="T24" s="273"/>
      <c r="U24" s="272"/>
      <c r="V24" s="273"/>
      <c r="W24" s="272"/>
      <c r="X24" s="273"/>
      <c r="Y24" s="272"/>
      <c r="Z24" s="273"/>
    </row>
    <row r="25" spans="1:27" x14ac:dyDescent="0.25">
      <c r="A25" s="325"/>
      <c r="B25" s="61" t="s">
        <v>1440</v>
      </c>
      <c r="C25" s="51">
        <v>8.3299999999999999E-2</v>
      </c>
      <c r="D25" s="62" t="s">
        <v>11</v>
      </c>
      <c r="E25" s="51">
        <v>0.16669999999999999</v>
      </c>
      <c r="F25" s="62" t="s">
        <v>11</v>
      </c>
      <c r="G25" s="51">
        <v>0.25</v>
      </c>
      <c r="H25" s="62" t="s">
        <v>11</v>
      </c>
      <c r="I25" s="51">
        <v>0.33</v>
      </c>
      <c r="J25" s="274" t="s">
        <v>11</v>
      </c>
      <c r="K25" s="251">
        <v>0.41649999999999998</v>
      </c>
      <c r="L25" s="275" t="s">
        <v>11</v>
      </c>
      <c r="M25" s="56">
        <v>0.49980000000000002</v>
      </c>
      <c r="N25" s="62" t="s">
        <v>11</v>
      </c>
      <c r="O25" s="51"/>
      <c r="P25" s="62"/>
      <c r="Q25" s="276"/>
      <c r="R25" s="277"/>
      <c r="S25" s="276"/>
      <c r="T25" s="277"/>
      <c r="U25" s="276"/>
      <c r="V25" s="277"/>
      <c r="W25" s="276"/>
      <c r="X25" s="277"/>
      <c r="Y25" s="278"/>
      <c r="Z25" s="279"/>
    </row>
    <row r="26" spans="1:27" s="27" customFormat="1" x14ac:dyDescent="0.25">
      <c r="A26" s="332"/>
      <c r="B26" s="41" t="s">
        <v>33</v>
      </c>
      <c r="C26" s="42">
        <v>6.8599999999999994E-2</v>
      </c>
      <c r="D26" s="42">
        <v>8.3299999999999999E-2</v>
      </c>
      <c r="E26" s="42">
        <v>0.1777</v>
      </c>
      <c r="F26" s="42">
        <v>0.16669999999999999</v>
      </c>
      <c r="G26" s="42">
        <v>0.24979999999999999</v>
      </c>
      <c r="H26" s="42">
        <v>0.26290000000000002</v>
      </c>
      <c r="I26" s="42">
        <v>0.33110000000000001</v>
      </c>
      <c r="J26" s="254">
        <v>0.34789999999999999</v>
      </c>
      <c r="K26" s="265">
        <v>0.41639999999999999</v>
      </c>
      <c r="L26" s="266">
        <v>0.45400000000000001</v>
      </c>
      <c r="M26" s="265">
        <v>0.51590000000000003</v>
      </c>
      <c r="N26" s="266">
        <v>0.62770000000000004</v>
      </c>
      <c r="O26" s="42"/>
      <c r="P26" s="42"/>
      <c r="Q26" s="257"/>
      <c r="R26" s="257"/>
      <c r="S26" s="257"/>
      <c r="T26" s="257"/>
      <c r="U26" s="257"/>
      <c r="V26" s="257"/>
      <c r="W26" s="257"/>
      <c r="X26" s="257"/>
      <c r="Y26" s="257"/>
      <c r="Z26" s="257"/>
    </row>
    <row r="27" spans="1:27" x14ac:dyDescent="0.25">
      <c r="A27" s="321" t="s">
        <v>34</v>
      </c>
      <c r="B27" s="9" t="s">
        <v>34</v>
      </c>
      <c r="C27" s="63">
        <v>5.3800000000000001E-2</v>
      </c>
      <c r="D27" s="54">
        <v>4.2000000000000003E-2</v>
      </c>
      <c r="E27" s="63">
        <v>0.1236</v>
      </c>
      <c r="F27" s="54">
        <v>0.1157</v>
      </c>
      <c r="G27" s="63">
        <v>0.22090000000000001</v>
      </c>
      <c r="H27" s="54">
        <v>0.21010000000000001</v>
      </c>
      <c r="I27" s="63">
        <v>0.29170000000000001</v>
      </c>
      <c r="J27" s="261">
        <v>0.26579999999999998</v>
      </c>
      <c r="K27" s="280">
        <v>0.36</v>
      </c>
      <c r="L27" s="260">
        <v>0.30359999999999998</v>
      </c>
      <c r="M27" s="281">
        <v>0.45710000000000001</v>
      </c>
      <c r="N27" s="54">
        <v>0.51870000000000005</v>
      </c>
      <c r="O27" s="63"/>
      <c r="P27" s="54"/>
      <c r="Q27" s="63"/>
      <c r="R27" s="54"/>
      <c r="S27" s="63"/>
      <c r="T27" s="54"/>
      <c r="U27" s="63"/>
      <c r="V27" s="54"/>
      <c r="W27" s="63"/>
      <c r="X27" s="54"/>
      <c r="Y27" s="63"/>
      <c r="Z27" s="54"/>
    </row>
    <row r="28" spans="1:27" x14ac:dyDescent="0.25">
      <c r="A28" s="322"/>
      <c r="B28" s="61" t="s">
        <v>35</v>
      </c>
      <c r="C28" s="64">
        <v>7.2900000000000006E-2</v>
      </c>
      <c r="D28" s="54">
        <v>5.2200000000000003E-2</v>
      </c>
      <c r="E28" s="64">
        <v>0.1736</v>
      </c>
      <c r="F28" s="54">
        <v>0.1336</v>
      </c>
      <c r="G28" s="64">
        <v>0.21870000000000001</v>
      </c>
      <c r="H28" s="54">
        <v>0.2195</v>
      </c>
      <c r="I28" s="64">
        <v>0.36099999999999999</v>
      </c>
      <c r="J28" s="261">
        <v>0.30719999999999997</v>
      </c>
      <c r="K28" s="282">
        <v>0.43390000000000001</v>
      </c>
      <c r="L28" s="260">
        <v>0.36630000000000001</v>
      </c>
      <c r="M28" s="283">
        <v>0.4929</v>
      </c>
      <c r="N28" s="54">
        <v>0.41970000000000002</v>
      </c>
      <c r="O28" s="64"/>
      <c r="P28" s="54"/>
      <c r="Q28" s="64"/>
      <c r="R28" s="54"/>
      <c r="S28" s="64"/>
      <c r="T28" s="54"/>
      <c r="U28" s="64"/>
      <c r="V28" s="54"/>
      <c r="W28" s="64"/>
      <c r="X28" s="54"/>
      <c r="Y28" s="64"/>
      <c r="Z28" s="54"/>
    </row>
    <row r="29" spans="1:27" x14ac:dyDescent="0.25">
      <c r="A29" s="322"/>
      <c r="B29" s="61" t="s">
        <v>36</v>
      </c>
      <c r="C29" s="64">
        <v>0.1051</v>
      </c>
      <c r="D29" s="54">
        <v>7.4999999999999997E-2</v>
      </c>
      <c r="E29" s="64">
        <v>0.19020000000000001</v>
      </c>
      <c r="F29" s="54">
        <v>0.15559999999999999</v>
      </c>
      <c r="G29" s="64">
        <v>0.27529999999999999</v>
      </c>
      <c r="H29" s="54">
        <v>0.23380000000000001</v>
      </c>
      <c r="I29" s="64">
        <v>0.35039999999999999</v>
      </c>
      <c r="J29" s="261">
        <v>0.30259999999999998</v>
      </c>
      <c r="K29" s="282">
        <v>0.4355</v>
      </c>
      <c r="L29" s="260">
        <v>0.37719999999999998</v>
      </c>
      <c r="M29" s="283">
        <v>0.50070000000000003</v>
      </c>
      <c r="N29" s="54">
        <v>0.45479999999999998</v>
      </c>
      <c r="O29" s="64"/>
      <c r="P29" s="54"/>
      <c r="Q29" s="64"/>
      <c r="R29" s="54"/>
      <c r="S29" s="64"/>
      <c r="T29" s="54"/>
      <c r="U29" s="64"/>
      <c r="V29" s="54"/>
      <c r="W29" s="64"/>
      <c r="X29" s="54"/>
      <c r="Y29" s="64"/>
      <c r="Z29" s="54"/>
    </row>
    <row r="30" spans="1:27" x14ac:dyDescent="0.25">
      <c r="A30" s="322"/>
      <c r="B30" s="61" t="s">
        <v>37</v>
      </c>
      <c r="C30" s="64">
        <v>7.4800000000000005E-2</v>
      </c>
      <c r="D30" s="54">
        <v>5.6899999999999999E-2</v>
      </c>
      <c r="E30" s="64">
        <v>0.1076</v>
      </c>
      <c r="F30" s="54">
        <v>0.161</v>
      </c>
      <c r="G30" s="64">
        <v>0.17979999999999999</v>
      </c>
      <c r="H30" s="54">
        <v>0.20019999999999999</v>
      </c>
      <c r="I30" s="64">
        <v>0.36899999999999999</v>
      </c>
      <c r="J30" s="261">
        <v>0.33329999999999999</v>
      </c>
      <c r="K30" s="282">
        <v>0.44779999999999998</v>
      </c>
      <c r="L30" s="260">
        <v>0.43080000000000002</v>
      </c>
      <c r="M30" s="283">
        <v>0.5262</v>
      </c>
      <c r="N30" s="54">
        <v>0.51219999999999999</v>
      </c>
      <c r="O30" s="64"/>
      <c r="P30" s="54"/>
      <c r="Q30" s="64"/>
      <c r="R30" s="54"/>
      <c r="S30" s="64"/>
      <c r="T30" s="54"/>
      <c r="U30" s="64"/>
      <c r="V30" s="54"/>
      <c r="W30" s="64"/>
      <c r="X30" s="54"/>
      <c r="Y30" s="64"/>
      <c r="Z30" s="54"/>
    </row>
    <row r="31" spans="1:27" x14ac:dyDescent="0.25">
      <c r="A31" s="322"/>
      <c r="B31" s="61" t="s">
        <v>38</v>
      </c>
      <c r="C31" s="64">
        <v>0</v>
      </c>
      <c r="D31" s="54">
        <v>1.43E-2</v>
      </c>
      <c r="E31" s="64">
        <v>0.15709999999999999</v>
      </c>
      <c r="F31" s="54">
        <v>0.3251</v>
      </c>
      <c r="G31" s="64">
        <v>0.25519999999999998</v>
      </c>
      <c r="H31" s="54">
        <v>0.2326</v>
      </c>
      <c r="I31" s="64">
        <v>0.3715</v>
      </c>
      <c r="J31" s="261">
        <v>0.30409999999999998</v>
      </c>
      <c r="K31" s="282">
        <v>0.45650000000000002</v>
      </c>
      <c r="L31" s="260">
        <v>0.3579</v>
      </c>
      <c r="M31" s="283">
        <v>0.51029999999999998</v>
      </c>
      <c r="N31" s="54">
        <v>0.45129999999999998</v>
      </c>
      <c r="O31" s="64"/>
      <c r="P31" s="54"/>
      <c r="Q31" s="64"/>
      <c r="R31" s="54"/>
      <c r="S31" s="64"/>
      <c r="T31" s="54"/>
      <c r="U31" s="64"/>
      <c r="V31" s="54"/>
      <c r="W31" s="64"/>
      <c r="X31" s="54"/>
      <c r="Y31" s="64"/>
      <c r="Z31" s="54"/>
    </row>
    <row r="32" spans="1:27" x14ac:dyDescent="0.25">
      <c r="A32" s="322"/>
      <c r="B32" s="61" t="s">
        <v>39</v>
      </c>
      <c r="C32" s="64">
        <v>3.2000000000000001E-2</v>
      </c>
      <c r="D32" s="54">
        <v>2.7900000000000001E-2</v>
      </c>
      <c r="E32" s="64">
        <v>0.1492</v>
      </c>
      <c r="F32" s="54">
        <v>0.1449</v>
      </c>
      <c r="G32" s="64">
        <v>0.22409999999999999</v>
      </c>
      <c r="H32" s="54">
        <v>0.37040000000000001</v>
      </c>
      <c r="I32" s="64">
        <v>0.28870000000000001</v>
      </c>
      <c r="J32" s="261">
        <v>0.46810000000000002</v>
      </c>
      <c r="K32" s="282">
        <v>0.3609</v>
      </c>
      <c r="L32" s="260">
        <v>0.56810000000000005</v>
      </c>
      <c r="M32" s="283">
        <v>0.43469999999999998</v>
      </c>
      <c r="N32" s="54">
        <v>0.71419999999999995</v>
      </c>
      <c r="O32" s="64"/>
      <c r="P32" s="54"/>
      <c r="Q32" s="64"/>
      <c r="R32" s="54"/>
      <c r="S32" s="64"/>
      <c r="T32" s="54"/>
      <c r="U32" s="64"/>
      <c r="V32" s="54"/>
      <c r="W32" s="64"/>
      <c r="X32" s="54"/>
      <c r="Y32" s="64"/>
      <c r="Z32" s="54"/>
    </row>
    <row r="33" spans="1:26" x14ac:dyDescent="0.25">
      <c r="A33" s="322"/>
      <c r="B33" s="65" t="s">
        <v>40</v>
      </c>
      <c r="C33" s="64">
        <v>5.1200000000000002E-2</v>
      </c>
      <c r="D33" s="54" t="s">
        <v>11</v>
      </c>
      <c r="E33" s="64">
        <v>0.14149999999999999</v>
      </c>
      <c r="F33" s="54" t="s">
        <v>11</v>
      </c>
      <c r="G33" s="64">
        <v>0.2084</v>
      </c>
      <c r="H33" s="54" t="s">
        <v>41</v>
      </c>
      <c r="I33" s="64">
        <v>0.3044</v>
      </c>
      <c r="J33" s="261" t="s">
        <v>41</v>
      </c>
      <c r="K33" s="282">
        <v>0.38750000000000001</v>
      </c>
      <c r="L33" s="260" t="s">
        <v>41</v>
      </c>
      <c r="M33" s="283">
        <v>0.47470000000000001</v>
      </c>
      <c r="N33" s="54" t="s">
        <v>41</v>
      </c>
      <c r="O33" s="64"/>
      <c r="P33" s="54"/>
      <c r="Q33" s="64"/>
      <c r="R33" s="54"/>
      <c r="S33" s="64"/>
      <c r="T33" s="54"/>
      <c r="U33" s="64"/>
      <c r="V33" s="54"/>
      <c r="W33" s="64"/>
      <c r="X33" s="54"/>
      <c r="Y33" s="64"/>
      <c r="Z33" s="54"/>
    </row>
    <row r="34" spans="1:26" s="27" customFormat="1" x14ac:dyDescent="0.25">
      <c r="A34" s="323"/>
      <c r="B34" s="41" t="s">
        <v>42</v>
      </c>
      <c r="C34" s="42">
        <f>+AVERAGE(C27:C33)</f>
        <v>5.568571428571429E-2</v>
      </c>
      <c r="D34" s="42">
        <f>+AVERAGE(D27:D33)</f>
        <v>4.4716666666666675E-2</v>
      </c>
      <c r="E34" s="42">
        <f t="shared" ref="E34" si="0">+AVERAGE(E27:E33)</f>
        <v>0.14897142857142859</v>
      </c>
      <c r="F34" s="42">
        <f>+AVERAGE(F27:F32)</f>
        <v>0.17265</v>
      </c>
      <c r="G34" s="42">
        <f>+AVERAGE(G27:G33)</f>
        <v>0.22605714285714282</v>
      </c>
      <c r="H34" s="42">
        <f>+AVERAGE(H27:H32)</f>
        <v>0.24443333333333331</v>
      </c>
      <c r="I34" s="42">
        <v>0.33389999999999997</v>
      </c>
      <c r="J34" s="254">
        <v>0.33019999999999999</v>
      </c>
      <c r="K34" s="265">
        <v>0.41170000000000001</v>
      </c>
      <c r="L34" s="266">
        <v>0.40060000000000001</v>
      </c>
      <c r="M34" s="267">
        <v>0.48520000000000002</v>
      </c>
      <c r="N34" s="266">
        <v>0.51180000000000003</v>
      </c>
      <c r="O34" s="42"/>
      <c r="P34" s="42"/>
      <c r="Q34" s="42"/>
      <c r="R34" s="42"/>
      <c r="S34" s="42"/>
      <c r="T34" s="42"/>
      <c r="U34" s="42"/>
      <c r="V34" s="42"/>
      <c r="W34" s="42"/>
      <c r="X34" s="42"/>
      <c r="Y34" s="42"/>
      <c r="Z34" s="42"/>
    </row>
    <row r="35" spans="1:26" x14ac:dyDescent="0.25">
      <c r="A35" s="321" t="s">
        <v>43</v>
      </c>
      <c r="B35" s="9" t="s">
        <v>43</v>
      </c>
      <c r="C35" s="63">
        <v>2.3699999999999999E-2</v>
      </c>
      <c r="D35" s="54">
        <v>1.72E-2</v>
      </c>
      <c r="E35" s="63">
        <v>7.8700000000000006E-2</v>
      </c>
      <c r="F35" s="54">
        <v>7.8100000000000003E-2</v>
      </c>
      <c r="G35" s="63">
        <v>0.16089999999999999</v>
      </c>
      <c r="H35" s="54">
        <v>0.14580000000000001</v>
      </c>
      <c r="I35" s="63">
        <v>0.2591</v>
      </c>
      <c r="J35" s="261">
        <v>0.21</v>
      </c>
      <c r="K35" s="280">
        <v>0.34689999999999999</v>
      </c>
      <c r="L35" s="260">
        <v>0.27479999999999999</v>
      </c>
      <c r="M35" s="281">
        <v>0.43020000000000003</v>
      </c>
      <c r="N35" s="54">
        <v>0.3483</v>
      </c>
      <c r="O35" s="63"/>
      <c r="P35" s="54"/>
      <c r="Q35" s="63"/>
      <c r="R35" s="54"/>
      <c r="S35" s="63"/>
      <c r="T35" s="54"/>
      <c r="U35" s="63"/>
      <c r="V35" s="54"/>
      <c r="W35" s="63"/>
      <c r="X35" s="54"/>
      <c r="Y35" s="63"/>
      <c r="Z35" s="54"/>
    </row>
    <row r="36" spans="1:26" x14ac:dyDescent="0.25">
      <c r="A36" s="322"/>
      <c r="B36" s="61" t="s">
        <v>44</v>
      </c>
      <c r="C36" s="64">
        <v>3.27E-2</v>
      </c>
      <c r="D36" s="54">
        <v>1.5599999999999999E-2</v>
      </c>
      <c r="E36" s="64">
        <v>5.3100000000000001E-2</v>
      </c>
      <c r="F36" s="54">
        <v>9.2100000000000001E-2</v>
      </c>
      <c r="G36" s="64">
        <v>0.13880000000000001</v>
      </c>
      <c r="H36" s="54">
        <v>0.16020000000000001</v>
      </c>
      <c r="I36" s="64">
        <v>0.22450000000000001</v>
      </c>
      <c r="J36" s="261">
        <v>0.23100000000000001</v>
      </c>
      <c r="K36" s="282">
        <v>0.31430000000000002</v>
      </c>
      <c r="L36" s="260">
        <v>0.2954</v>
      </c>
      <c r="M36" s="283">
        <v>0.38779999999999998</v>
      </c>
      <c r="N36" s="54">
        <v>0.37269999999999998</v>
      </c>
      <c r="O36" s="64"/>
      <c r="P36" s="54"/>
      <c r="Q36" s="64"/>
      <c r="R36" s="54"/>
      <c r="S36" s="64"/>
      <c r="T36" s="54"/>
      <c r="U36" s="64"/>
      <c r="V36" s="54"/>
      <c r="W36" s="64"/>
      <c r="X36" s="54"/>
      <c r="Y36" s="64"/>
      <c r="Z36" s="54"/>
    </row>
    <row r="37" spans="1:26" x14ac:dyDescent="0.25">
      <c r="A37" s="322"/>
      <c r="B37" s="61" t="s">
        <v>45</v>
      </c>
      <c r="C37" s="64">
        <v>2.18E-2</v>
      </c>
      <c r="D37" s="54">
        <v>6.1100000000000002E-2</v>
      </c>
      <c r="E37" s="64">
        <v>4.8500000000000001E-2</v>
      </c>
      <c r="F37" s="54">
        <v>0.1986</v>
      </c>
      <c r="G37" s="64">
        <v>0.11650000000000001</v>
      </c>
      <c r="H37" s="54">
        <v>0.2339</v>
      </c>
      <c r="I37" s="64">
        <v>0.20630000000000001</v>
      </c>
      <c r="J37" s="261">
        <v>0.30919999999999997</v>
      </c>
      <c r="K37" s="282">
        <v>0.29370000000000002</v>
      </c>
      <c r="L37" s="260">
        <v>0.38159999999999999</v>
      </c>
      <c r="M37" s="283">
        <v>0.36890000000000001</v>
      </c>
      <c r="N37" s="54">
        <v>0.4975</v>
      </c>
      <c r="O37" s="64"/>
      <c r="P37" s="54"/>
      <c r="Q37" s="64"/>
      <c r="R37" s="54"/>
      <c r="S37" s="64"/>
      <c r="T37" s="54"/>
      <c r="U37" s="64"/>
      <c r="V37" s="54"/>
      <c r="W37" s="64"/>
      <c r="X37" s="54"/>
      <c r="Y37" s="64"/>
      <c r="Z37" s="54"/>
    </row>
    <row r="38" spans="1:26" x14ac:dyDescent="0.25">
      <c r="A38" s="322"/>
      <c r="B38" s="61" t="s">
        <v>46</v>
      </c>
      <c r="C38" s="64">
        <v>0</v>
      </c>
      <c r="D38" s="54">
        <v>2.3999999999999998E-3</v>
      </c>
      <c r="E38" s="64">
        <v>3.3999999999999998E-3</v>
      </c>
      <c r="F38" s="54">
        <v>0.1162</v>
      </c>
      <c r="G38" s="64">
        <v>6.0400000000000002E-2</v>
      </c>
      <c r="H38" s="54">
        <v>0.14319999999999999</v>
      </c>
      <c r="I38" s="64">
        <v>0.13089999999999999</v>
      </c>
      <c r="J38" s="261">
        <v>0.20569999999999999</v>
      </c>
      <c r="K38" s="282">
        <v>0.1913</v>
      </c>
      <c r="L38" s="260">
        <v>0.25979999999999998</v>
      </c>
      <c r="M38" s="283">
        <v>0.255</v>
      </c>
      <c r="N38" s="54">
        <v>0.34300000000000003</v>
      </c>
      <c r="O38" s="64"/>
      <c r="P38" s="54"/>
      <c r="Q38" s="64"/>
      <c r="R38" s="54"/>
      <c r="S38" s="64"/>
      <c r="T38" s="54"/>
      <c r="U38" s="64"/>
      <c r="V38" s="54"/>
      <c r="W38" s="64"/>
      <c r="X38" s="54"/>
      <c r="Y38" s="64"/>
      <c r="Z38" s="54"/>
    </row>
    <row r="39" spans="1:26" x14ac:dyDescent="0.25">
      <c r="A39" s="322"/>
      <c r="B39" s="61" t="s">
        <v>47</v>
      </c>
      <c r="C39" s="64">
        <v>5.1200000000000002E-2</v>
      </c>
      <c r="D39" s="54">
        <v>1.3599999999999999E-2</v>
      </c>
      <c r="E39" s="64">
        <v>7.2300000000000003E-2</v>
      </c>
      <c r="F39" s="54">
        <v>8.7499999999999994E-2</v>
      </c>
      <c r="G39" s="64">
        <v>0.1295</v>
      </c>
      <c r="H39" s="54">
        <v>0.15809999999999999</v>
      </c>
      <c r="I39" s="64">
        <v>0.1867</v>
      </c>
      <c r="J39" s="261">
        <v>0.2329</v>
      </c>
      <c r="K39" s="282">
        <v>0.27710000000000001</v>
      </c>
      <c r="L39" s="260">
        <v>0.2969</v>
      </c>
      <c r="M39" s="283">
        <v>0.3705</v>
      </c>
      <c r="N39" s="54">
        <v>0.40629999999999999</v>
      </c>
      <c r="O39" s="64"/>
      <c r="P39" s="54"/>
      <c r="Q39" s="64"/>
      <c r="R39" s="54"/>
      <c r="S39" s="64"/>
      <c r="T39" s="54"/>
      <c r="U39" s="64"/>
      <c r="V39" s="54"/>
      <c r="W39" s="64"/>
      <c r="X39" s="54"/>
      <c r="Y39" s="64"/>
      <c r="Z39" s="54"/>
    </row>
    <row r="40" spans="1:26" x14ac:dyDescent="0.25">
      <c r="A40" s="322"/>
      <c r="B40" s="61" t="s">
        <v>48</v>
      </c>
      <c r="C40" s="64">
        <v>2.1499999999999998E-2</v>
      </c>
      <c r="D40" s="54">
        <v>5.3699999999999998E-2</v>
      </c>
      <c r="E40" s="64">
        <v>0.1061</v>
      </c>
      <c r="F40" s="54">
        <v>0.14460000000000001</v>
      </c>
      <c r="G40" s="64">
        <v>0.2014</v>
      </c>
      <c r="H40" s="54">
        <v>0.2462</v>
      </c>
      <c r="I40" s="64">
        <v>0.31759999999999999</v>
      </c>
      <c r="J40" s="261">
        <v>0.34029999999999999</v>
      </c>
      <c r="K40" s="282">
        <v>0.40970000000000001</v>
      </c>
      <c r="L40" s="260">
        <v>0.4274</v>
      </c>
      <c r="M40" s="283">
        <v>0.49809999999999999</v>
      </c>
      <c r="N40" s="54">
        <v>0.51890000000000003</v>
      </c>
      <c r="O40" s="64"/>
      <c r="P40" s="54"/>
      <c r="Q40" s="64"/>
      <c r="R40" s="54"/>
      <c r="S40" s="64"/>
      <c r="T40" s="54"/>
      <c r="U40" s="64"/>
      <c r="V40" s="54"/>
      <c r="W40" s="64"/>
      <c r="X40" s="54"/>
      <c r="Y40" s="64"/>
      <c r="Z40" s="54"/>
    </row>
    <row r="41" spans="1:26" x14ac:dyDescent="0.25">
      <c r="A41" s="322"/>
      <c r="B41" s="61" t="s">
        <v>49</v>
      </c>
      <c r="C41" s="64">
        <v>6.4500000000000002E-2</v>
      </c>
      <c r="D41" s="52">
        <v>3.9899999999999998E-2</v>
      </c>
      <c r="E41" s="64">
        <v>0.1024</v>
      </c>
      <c r="F41" s="54">
        <v>0.1108</v>
      </c>
      <c r="G41" s="64">
        <v>0.18690000000000001</v>
      </c>
      <c r="H41" s="52">
        <v>0.20300000000000001</v>
      </c>
      <c r="I41" s="64">
        <v>0.27979999999999999</v>
      </c>
      <c r="J41" s="261">
        <v>0.27550000000000002</v>
      </c>
      <c r="K41" s="282">
        <v>0.37330000000000002</v>
      </c>
      <c r="L41" s="259">
        <v>0.38200000000000001</v>
      </c>
      <c r="M41" s="283">
        <v>0.44869999999999999</v>
      </c>
      <c r="N41" s="54">
        <v>0.46329999999999999</v>
      </c>
      <c r="O41" s="64"/>
      <c r="P41" s="52"/>
      <c r="Q41" s="64"/>
      <c r="R41" s="52"/>
      <c r="S41" s="64"/>
      <c r="T41" s="52"/>
      <c r="U41" s="64"/>
      <c r="V41" s="52"/>
      <c r="W41" s="64"/>
      <c r="X41" s="52"/>
      <c r="Y41" s="64"/>
      <c r="Z41" s="52"/>
    </row>
    <row r="42" spans="1:26" s="27" customFormat="1" x14ac:dyDescent="0.25">
      <c r="A42" s="323"/>
      <c r="B42" s="41" t="s">
        <v>50</v>
      </c>
      <c r="C42" s="42">
        <f>AVERAGE(C35:C41)</f>
        <v>3.0771428571428568E-2</v>
      </c>
      <c r="D42" s="42">
        <f>AVERAGE(D35:D41)</f>
        <v>2.9071428571428571E-2</v>
      </c>
      <c r="E42" s="42">
        <v>6.6299999999999998E-2</v>
      </c>
      <c r="F42" s="42">
        <v>0.1183</v>
      </c>
      <c r="G42" s="42">
        <v>0.1421</v>
      </c>
      <c r="H42" s="42">
        <v>0.18429999999999999</v>
      </c>
      <c r="I42" s="42">
        <v>0.2293</v>
      </c>
      <c r="J42" s="254">
        <v>0.25779999999999997</v>
      </c>
      <c r="K42" s="265">
        <v>0.31519999999999998</v>
      </c>
      <c r="L42" s="266">
        <v>0.33110000000000001</v>
      </c>
      <c r="M42" s="265">
        <v>0.39419999999999999</v>
      </c>
      <c r="N42" s="266">
        <v>0.4214</v>
      </c>
      <c r="O42" s="284"/>
      <c r="P42" s="284"/>
      <c r="Q42" s="284"/>
      <c r="R42" s="284"/>
      <c r="S42" s="284"/>
      <c r="T42" s="284"/>
      <c r="U42" s="284"/>
      <c r="V42" s="284"/>
      <c r="W42" s="284"/>
      <c r="X42" s="284"/>
      <c r="Y42" s="42"/>
      <c r="Z42" s="42"/>
    </row>
    <row r="43" spans="1:26" x14ac:dyDescent="0.25">
      <c r="A43" s="324" t="s">
        <v>51</v>
      </c>
      <c r="B43" s="61" t="s">
        <v>52</v>
      </c>
      <c r="C43" s="66">
        <v>0.03</v>
      </c>
      <c r="D43" s="66">
        <v>0.04</v>
      </c>
      <c r="E43" s="67">
        <v>8.1000000000000003E-2</v>
      </c>
      <c r="F43" s="67">
        <v>0.10100000000000001</v>
      </c>
      <c r="G43" s="67">
        <v>0.153</v>
      </c>
      <c r="H43" s="67">
        <v>0.16500000000000001</v>
      </c>
      <c r="I43" s="67">
        <v>0.20899999999999999</v>
      </c>
      <c r="J43" s="285">
        <v>0.22900000000000001</v>
      </c>
      <c r="K43" s="286">
        <v>0.28899999999999998</v>
      </c>
      <c r="L43" s="287">
        <v>0.311</v>
      </c>
      <c r="M43" s="282">
        <v>0.38340000000000002</v>
      </c>
      <c r="N43" s="288">
        <v>0.40849999999999997</v>
      </c>
      <c r="O43" s="58"/>
      <c r="P43" s="289"/>
      <c r="Q43" s="58"/>
      <c r="R43" s="289"/>
      <c r="S43" s="58"/>
      <c r="T43" s="289"/>
      <c r="U43" s="58"/>
      <c r="V43" s="289"/>
      <c r="W43" s="58"/>
      <c r="X43" s="289"/>
      <c r="Y43" s="58"/>
      <c r="Z43" s="289"/>
    </row>
    <row r="44" spans="1:26" x14ac:dyDescent="0.25">
      <c r="A44" s="325"/>
      <c r="B44" s="61" t="s">
        <v>53</v>
      </c>
      <c r="C44" s="66">
        <v>0.1</v>
      </c>
      <c r="D44" s="66">
        <v>7.0000000000000007E-2</v>
      </c>
      <c r="E44" s="67">
        <v>0.21199999999999999</v>
      </c>
      <c r="F44" s="67">
        <v>0.20100000000000001</v>
      </c>
      <c r="G44" s="67">
        <v>0.32700000000000001</v>
      </c>
      <c r="H44" s="67">
        <v>0.308</v>
      </c>
      <c r="I44" s="67">
        <v>0.43</v>
      </c>
      <c r="J44" s="285">
        <v>0.42299999999999999</v>
      </c>
      <c r="K44" s="286">
        <v>0.52700000000000002</v>
      </c>
      <c r="L44" s="287">
        <v>0.52600000000000002</v>
      </c>
      <c r="M44" s="282">
        <v>0.62619999999999998</v>
      </c>
      <c r="N44" s="288">
        <v>0.37869999999999998</v>
      </c>
      <c r="O44" s="58"/>
      <c r="P44" s="289"/>
      <c r="Q44" s="58"/>
      <c r="R44" s="289"/>
      <c r="S44" s="58"/>
      <c r="T44" s="289"/>
      <c r="U44" s="58"/>
      <c r="V44" s="289"/>
      <c r="W44" s="58"/>
      <c r="X44" s="289"/>
      <c r="Y44" s="58"/>
      <c r="Z44" s="289"/>
    </row>
    <row r="45" spans="1:26" x14ac:dyDescent="0.25">
      <c r="A45" s="325"/>
      <c r="B45" s="61" t="s">
        <v>54</v>
      </c>
      <c r="C45" s="64">
        <v>3.2199999999999999E-2</v>
      </c>
      <c r="D45" s="66">
        <v>0</v>
      </c>
      <c r="E45" s="67">
        <v>0.10390000000000001</v>
      </c>
      <c r="F45" s="66">
        <v>0</v>
      </c>
      <c r="G45" s="67">
        <v>0.19</v>
      </c>
      <c r="H45" s="66">
        <v>0.17899999999999999</v>
      </c>
      <c r="I45" s="67">
        <v>0.27500000000000002</v>
      </c>
      <c r="J45" s="285">
        <v>0.17899999999999999</v>
      </c>
      <c r="K45" s="286">
        <v>0.38900000000000001</v>
      </c>
      <c r="L45" s="287">
        <v>0.17899999999999999</v>
      </c>
      <c r="M45" s="282">
        <v>0.46400000000000002</v>
      </c>
      <c r="N45" s="288">
        <v>0.21490000000000001</v>
      </c>
      <c r="O45" s="58"/>
      <c r="P45" s="289"/>
      <c r="Q45" s="58"/>
      <c r="R45" s="289"/>
      <c r="S45" s="58"/>
      <c r="T45" s="289"/>
      <c r="U45" s="58"/>
      <c r="V45" s="289"/>
      <c r="W45" s="58"/>
      <c r="X45" s="289"/>
      <c r="Y45" s="58"/>
      <c r="Z45" s="289"/>
    </row>
    <row r="46" spans="1:26" ht="15.75" customHeight="1" x14ac:dyDescent="0.25">
      <c r="A46" s="325"/>
      <c r="B46" s="61" t="s">
        <v>55</v>
      </c>
      <c r="C46" s="66">
        <v>0</v>
      </c>
      <c r="D46" s="68">
        <v>0.14000000000000001</v>
      </c>
      <c r="E46" s="66">
        <v>0</v>
      </c>
      <c r="F46" s="68">
        <v>0.21</v>
      </c>
      <c r="G46" s="67">
        <v>0.125</v>
      </c>
      <c r="H46" s="68">
        <v>0.31</v>
      </c>
      <c r="I46" s="67">
        <v>0.125</v>
      </c>
      <c r="J46" s="290">
        <v>0.43</v>
      </c>
      <c r="K46" s="286">
        <v>0.375</v>
      </c>
      <c r="L46" s="291">
        <v>0.52500000000000002</v>
      </c>
      <c r="M46" s="282">
        <v>0.375</v>
      </c>
      <c r="N46" s="260">
        <v>0.58499999999999996</v>
      </c>
      <c r="O46" s="64"/>
      <c r="P46" s="54"/>
      <c r="Q46" s="64"/>
      <c r="R46" s="54"/>
      <c r="S46" s="64"/>
      <c r="T46" s="54"/>
      <c r="U46" s="64"/>
      <c r="V46" s="54"/>
      <c r="W46" s="64"/>
      <c r="X46" s="54"/>
      <c r="Y46" s="64"/>
      <c r="Z46" s="54"/>
    </row>
    <row r="47" spans="1:26" s="27" customFormat="1" x14ac:dyDescent="0.25">
      <c r="A47" s="326"/>
      <c r="B47" s="41" t="s">
        <v>56</v>
      </c>
      <c r="C47" s="42">
        <f t="shared" ref="C47:N47" si="1">AVERAGE(C43:C46)</f>
        <v>4.0550000000000003E-2</v>
      </c>
      <c r="D47" s="42">
        <f t="shared" si="1"/>
        <v>6.25E-2</v>
      </c>
      <c r="E47" s="42">
        <f t="shared" si="1"/>
        <v>9.9224999999999994E-2</v>
      </c>
      <c r="F47" s="42">
        <f t="shared" si="1"/>
        <v>0.128</v>
      </c>
      <c r="G47" s="42">
        <f t="shared" si="1"/>
        <v>0.19874999999999998</v>
      </c>
      <c r="H47" s="42">
        <f t="shared" si="1"/>
        <v>0.24049999999999999</v>
      </c>
      <c r="I47" s="42">
        <f t="shared" si="1"/>
        <v>0.25975000000000004</v>
      </c>
      <c r="J47" s="254">
        <f t="shared" si="1"/>
        <v>0.31524999999999997</v>
      </c>
      <c r="K47" s="265">
        <f t="shared" si="1"/>
        <v>0.39500000000000002</v>
      </c>
      <c r="L47" s="266">
        <f t="shared" si="1"/>
        <v>0.38524999999999998</v>
      </c>
      <c r="M47" s="265">
        <f t="shared" si="1"/>
        <v>0.46215000000000001</v>
      </c>
      <c r="N47" s="292">
        <f t="shared" si="1"/>
        <v>0.39677499999999999</v>
      </c>
      <c r="O47" s="42"/>
      <c r="P47" s="42"/>
      <c r="Q47" s="42"/>
      <c r="R47" s="42"/>
      <c r="S47" s="42"/>
      <c r="T47" s="42"/>
      <c r="U47" s="42"/>
      <c r="V47" s="42"/>
      <c r="W47" s="42"/>
      <c r="X47" s="42"/>
      <c r="Y47" s="42"/>
      <c r="Z47" s="42"/>
    </row>
    <row r="48" spans="1:26" s="27" customFormat="1" x14ac:dyDescent="0.25">
      <c r="A48" s="293" t="s">
        <v>1441</v>
      </c>
      <c r="B48" s="41"/>
      <c r="C48" s="42"/>
      <c r="D48" s="42"/>
      <c r="E48" s="42"/>
      <c r="F48" s="42"/>
      <c r="G48" s="42"/>
      <c r="H48" s="42"/>
      <c r="I48" s="42"/>
      <c r="J48" s="254"/>
      <c r="K48" s="294"/>
      <c r="L48" s="292"/>
      <c r="M48" s="295">
        <v>0.99</v>
      </c>
      <c r="N48" s="296" t="s">
        <v>1442</v>
      </c>
      <c r="O48" s="267"/>
      <c r="P48" s="42"/>
      <c r="Q48" s="42"/>
      <c r="R48" s="42"/>
      <c r="S48" s="42"/>
      <c r="T48" s="42"/>
      <c r="U48" s="42"/>
      <c r="V48" s="42"/>
      <c r="W48" s="42"/>
      <c r="X48" s="42"/>
      <c r="Y48" s="42"/>
      <c r="Z48" s="42"/>
    </row>
    <row r="49" spans="1:26" ht="15.75" x14ac:dyDescent="0.25">
      <c r="A49" s="69" t="s">
        <v>57</v>
      </c>
      <c r="B49" s="69"/>
      <c r="C49" s="70">
        <f>AVERAGE(C47,C42,C34,C26,C22,C11,C10,C9,C15,C8,C3)</f>
        <v>5.685064935064936E-2</v>
      </c>
      <c r="D49" s="70">
        <f>AVERAGE(D47,D42,D34,D26,D22,D11,D10,D9,D15,D8,D3)</f>
        <v>5.1467099567099578E-2</v>
      </c>
      <c r="E49" s="70">
        <f>AVERAGE(E3,E8,E9,E10,E11,E15,E22,E26,E34,E42,E47)</f>
        <v>0.13916331168831167</v>
      </c>
      <c r="F49" s="70">
        <f>AVERAGE(F3,F8,F9,F10,F11,F15,F22,F26,F34,F42,F47)</f>
        <v>0.14796363636363638</v>
      </c>
      <c r="G49" s="70">
        <f>AVERAGE(G3,G8,G9,G10,G11,G15,G22,G26,G34,G42,G47)</f>
        <v>0.21676428571428571</v>
      </c>
      <c r="H49" s="70">
        <f>AVERAGE(H3,H8,H9,H10,H11,H15,H22,H26,H34,H42,H47)</f>
        <v>0.25288484848484849</v>
      </c>
      <c r="I49" s="70">
        <f>AVERAGE(I47,I42,I34,I26,I22,I15,I11,I10,I9,I8,I3)</f>
        <v>0.30296736363636362</v>
      </c>
      <c r="J49" s="297">
        <f>AVERAGE(J47,J42,J34,J26,J22,J15,J11,J10,J9,J8,J3)</f>
        <v>0.33079818181818182</v>
      </c>
      <c r="K49" s="298">
        <f>AVERAGE(K3,K8,K9,K10,K11,K15,K22,K26,K34,K42,K47)</f>
        <v>0.3905909090909091</v>
      </c>
      <c r="L49" s="299">
        <f>AVERAGE(L3,L8,L9,L10,L11,L15,L22,L26,L34,L42,L47)</f>
        <v>0.42319545454545454</v>
      </c>
      <c r="M49" s="300">
        <f>AVERAGE(M3,M4,M9,M10,M11,M22,M26,M34,M42,M47,M8,M15,M48)</f>
        <v>0.53194461538461535</v>
      </c>
      <c r="N49" s="301">
        <f>AVERAGE(N3,N4,N15,N9,N10,N11,N22,N26,N34,N42,N47,N8)</f>
        <v>0.56702041666666669</v>
      </c>
      <c r="O49" s="302" t="e">
        <f t="shared" ref="O49:Z49" si="2">AVERAGE(O3,O4,O14,O9,O10,O11,O22,O26,O34,O42,O47)</f>
        <v>#DIV/0!</v>
      </c>
      <c r="P49" s="70" t="e">
        <f t="shared" si="2"/>
        <v>#DIV/0!</v>
      </c>
      <c r="Q49" s="70" t="e">
        <f t="shared" si="2"/>
        <v>#DIV/0!</v>
      </c>
      <c r="R49" s="70" t="e">
        <f t="shared" si="2"/>
        <v>#DIV/0!</v>
      </c>
      <c r="S49" s="70" t="e">
        <f t="shared" si="2"/>
        <v>#DIV/0!</v>
      </c>
      <c r="T49" s="70" t="e">
        <f t="shared" si="2"/>
        <v>#DIV/0!</v>
      </c>
      <c r="U49" s="70" t="e">
        <f t="shared" si="2"/>
        <v>#DIV/0!</v>
      </c>
      <c r="V49" s="70" t="e">
        <f t="shared" si="2"/>
        <v>#DIV/0!</v>
      </c>
      <c r="W49" s="70" t="e">
        <f t="shared" si="2"/>
        <v>#DIV/0!</v>
      </c>
      <c r="X49" s="70" t="e">
        <f t="shared" si="2"/>
        <v>#DIV/0!</v>
      </c>
      <c r="Y49" s="70" t="e">
        <f t="shared" si="2"/>
        <v>#DIV/0!</v>
      </c>
      <c r="Z49" s="70" t="e">
        <f t="shared" si="2"/>
        <v>#DIV/0!</v>
      </c>
    </row>
    <row r="50" spans="1:26" ht="7.5" customHeight="1" x14ac:dyDescent="0.25">
      <c r="K50" s="303">
        <v>0.48049999999999998</v>
      </c>
      <c r="L50" s="303">
        <v>0.46616666666666667</v>
      </c>
      <c r="M50" s="304"/>
    </row>
    <row r="51" spans="1:26" ht="7.5" customHeight="1" x14ac:dyDescent="0.25">
      <c r="M51" s="109"/>
    </row>
    <row r="52" spans="1:26" ht="7.5" customHeight="1" thickBot="1" x14ac:dyDescent="0.3"/>
    <row r="53" spans="1:26" ht="15" customHeight="1" x14ac:dyDescent="0.25">
      <c r="A53" s="327" t="s">
        <v>58</v>
      </c>
      <c r="B53" s="328"/>
      <c r="C53" s="328"/>
      <c r="D53" s="328"/>
      <c r="E53" s="328"/>
      <c r="F53" s="328"/>
      <c r="G53" s="328"/>
      <c r="H53" s="328"/>
      <c r="I53" s="328"/>
      <c r="J53" s="328"/>
      <c r="K53" s="328"/>
      <c r="L53" s="328"/>
      <c r="M53" s="328"/>
      <c r="N53" s="328"/>
      <c r="O53" s="328"/>
      <c r="P53" s="328"/>
      <c r="Q53" s="328"/>
      <c r="R53" s="328"/>
      <c r="S53" s="328"/>
      <c r="T53" s="329"/>
    </row>
    <row r="54" spans="1:26" x14ac:dyDescent="0.25">
      <c r="A54" s="315"/>
      <c r="B54" s="316"/>
      <c r="C54" s="316"/>
      <c r="D54" s="316"/>
      <c r="E54" s="316"/>
      <c r="F54" s="316"/>
      <c r="G54" s="316"/>
      <c r="H54" s="316"/>
      <c r="I54" s="316"/>
      <c r="J54" s="316"/>
      <c r="K54" s="316"/>
      <c r="L54" s="316"/>
      <c r="M54" s="316"/>
      <c r="N54" s="316"/>
      <c r="O54" s="316"/>
      <c r="P54" s="316"/>
      <c r="Q54" s="316"/>
      <c r="R54" s="316"/>
      <c r="S54" s="316"/>
      <c r="T54" s="317"/>
    </row>
    <row r="55" spans="1:26" x14ac:dyDescent="0.25">
      <c r="A55" s="315" t="s">
        <v>59</v>
      </c>
      <c r="B55" s="316"/>
      <c r="C55" s="316"/>
      <c r="D55" s="316"/>
      <c r="E55" s="316"/>
      <c r="F55" s="316"/>
      <c r="G55" s="316"/>
      <c r="H55" s="316"/>
      <c r="I55" s="316"/>
      <c r="J55" s="316"/>
      <c r="K55" s="316"/>
      <c r="L55" s="316"/>
      <c r="M55" s="316"/>
      <c r="N55" s="316"/>
      <c r="O55" s="316"/>
      <c r="P55" s="316"/>
      <c r="Q55" s="316"/>
      <c r="R55" s="316"/>
      <c r="S55" s="316"/>
      <c r="T55" s="317"/>
    </row>
    <row r="56" spans="1:26" ht="48" customHeight="1" x14ac:dyDescent="0.25">
      <c r="A56" s="315" t="s">
        <v>60</v>
      </c>
      <c r="B56" s="316"/>
      <c r="C56" s="316"/>
      <c r="D56" s="316"/>
      <c r="E56" s="316"/>
      <c r="F56" s="316"/>
      <c r="G56" s="316"/>
      <c r="H56" s="316"/>
      <c r="I56" s="316"/>
      <c r="J56" s="316"/>
      <c r="K56" s="316"/>
      <c r="L56" s="316"/>
      <c r="M56" s="316"/>
      <c r="N56" s="316"/>
      <c r="O56" s="316"/>
      <c r="P56" s="316"/>
      <c r="Q56" s="316"/>
      <c r="R56" s="316"/>
      <c r="S56" s="316"/>
      <c r="T56" s="317"/>
    </row>
    <row r="57" spans="1:26" ht="15" customHeight="1" x14ac:dyDescent="0.25">
      <c r="A57" s="315"/>
      <c r="B57" s="316"/>
      <c r="C57" s="316"/>
      <c r="D57" s="316"/>
      <c r="E57" s="316"/>
      <c r="F57" s="316"/>
      <c r="G57" s="316"/>
      <c r="H57" s="316"/>
      <c r="I57" s="316"/>
      <c r="J57" s="316"/>
      <c r="K57" s="316"/>
      <c r="L57" s="316"/>
      <c r="M57" s="316"/>
      <c r="N57" s="316"/>
      <c r="O57" s="316"/>
      <c r="P57" s="316"/>
      <c r="Q57" s="316"/>
      <c r="R57" s="316"/>
      <c r="S57" s="316"/>
      <c r="T57" s="317"/>
    </row>
    <row r="58" spans="1:26" x14ac:dyDescent="0.25">
      <c r="A58" s="315"/>
      <c r="B58" s="316"/>
      <c r="C58" s="316"/>
      <c r="D58" s="316"/>
      <c r="E58" s="316"/>
      <c r="F58" s="316"/>
      <c r="G58" s="316"/>
      <c r="H58" s="316"/>
      <c r="I58" s="316"/>
      <c r="J58" s="316"/>
      <c r="K58" s="316"/>
      <c r="L58" s="316"/>
      <c r="M58" s="316"/>
      <c r="N58" s="316"/>
      <c r="O58" s="316"/>
      <c r="P58" s="316"/>
      <c r="Q58" s="316"/>
      <c r="R58" s="316"/>
      <c r="S58" s="316"/>
      <c r="T58" s="317"/>
    </row>
    <row r="59" spans="1:26" ht="2.25" customHeight="1" thickBot="1" x14ac:dyDescent="0.3">
      <c r="A59" s="318"/>
      <c r="B59" s="319"/>
      <c r="C59" s="319"/>
      <c r="D59" s="319"/>
      <c r="E59" s="319"/>
      <c r="F59" s="319"/>
      <c r="G59" s="319"/>
      <c r="H59" s="319"/>
      <c r="I59" s="319"/>
      <c r="J59" s="319"/>
      <c r="K59" s="319"/>
      <c r="L59" s="319"/>
      <c r="M59" s="319"/>
      <c r="N59" s="319"/>
      <c r="O59" s="319"/>
      <c r="P59" s="319"/>
      <c r="Q59" s="319"/>
      <c r="R59" s="319"/>
      <c r="S59" s="319"/>
      <c r="T59" s="320"/>
    </row>
    <row r="117" spans="1:1" x14ac:dyDescent="0.25">
      <c r="A117" s="9" t="s">
        <v>1439</v>
      </c>
    </row>
  </sheetData>
  <mergeCells count="25">
    <mergeCell ref="A23:A26"/>
    <mergeCell ref="K1:L1"/>
    <mergeCell ref="M1:N1"/>
    <mergeCell ref="O1:P1"/>
    <mergeCell ref="Q1:R1"/>
    <mergeCell ref="A1:A2"/>
    <mergeCell ref="B1:B2"/>
    <mergeCell ref="C1:D1"/>
    <mergeCell ref="E1:F1"/>
    <mergeCell ref="G1:H1"/>
    <mergeCell ref="I1:J1"/>
    <mergeCell ref="W1:X1"/>
    <mergeCell ref="Y1:Z1"/>
    <mergeCell ref="A4:A8"/>
    <mergeCell ref="A12:A15"/>
    <mergeCell ref="A16:A22"/>
    <mergeCell ref="S1:T1"/>
    <mergeCell ref="U1:V1"/>
    <mergeCell ref="A57:T59"/>
    <mergeCell ref="A27:A34"/>
    <mergeCell ref="A35:A42"/>
    <mergeCell ref="A43:A47"/>
    <mergeCell ref="A53:T54"/>
    <mergeCell ref="A55:T55"/>
    <mergeCell ref="A56:T56"/>
  </mergeCell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FC096-55EB-4E1B-A779-10073722DF3C}">
  <sheetPr>
    <tabColor theme="4" tint="-0.499984740745262"/>
  </sheetPr>
  <dimension ref="A1:EH41"/>
  <sheetViews>
    <sheetView showGridLines="0" zoomScale="80" zoomScaleNormal="80" workbookViewId="0">
      <selection activeCell="C2" sqref="C2"/>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9.85546875" style="4" customWidth="1"/>
    <col min="14" max="14" width="23.42578125" style="84" customWidth="1"/>
    <col min="15" max="15" width="35" style="6" customWidth="1"/>
    <col min="16" max="16" width="18.5703125" style="4" customWidth="1"/>
    <col min="17" max="17" width="23.42578125" style="84" customWidth="1"/>
    <col min="18" max="18" width="28.5703125" style="6" customWidth="1"/>
    <col min="19" max="19" width="20.5703125" style="4" customWidth="1"/>
    <col min="20" max="20" width="23.42578125" style="84" customWidth="1"/>
    <col min="21" max="21" width="36.5703125" style="6" customWidth="1"/>
    <col min="22" max="22" width="19.85546875" style="4" customWidth="1"/>
    <col min="23" max="23" width="23.42578125" style="84" customWidth="1"/>
    <col min="24" max="24" width="35" style="6" customWidth="1"/>
    <col min="25" max="25" width="18.5703125" style="4" customWidth="1"/>
    <col min="26" max="26" width="23.42578125" style="84" customWidth="1"/>
    <col min="27" max="27" width="28.5703125" style="6" customWidth="1"/>
    <col min="28" max="28" width="20.5703125" style="4" customWidth="1"/>
    <col min="29" max="29" width="23.42578125" style="84" customWidth="1"/>
    <col min="30" max="30" width="36.5703125" style="6" customWidth="1"/>
    <col min="31" max="32" width="45.7109375" style="3" bestFit="1" customWidth="1"/>
    <col min="33" max="33" width="15.28515625" style="8" bestFit="1" customWidth="1"/>
    <col min="34" max="34" width="19.42578125" style="4" customWidth="1"/>
    <col min="35" max="35" width="23.42578125" style="84" customWidth="1"/>
    <col min="36" max="36" width="35.140625" style="6" customWidth="1"/>
    <col min="37" max="37" width="21.140625" style="4" customWidth="1"/>
    <col min="38" max="38" width="23.42578125" style="84" customWidth="1"/>
    <col min="39" max="39" width="36.7109375" style="6" customWidth="1"/>
    <col min="40" max="40" width="23.5703125" style="4" customWidth="1"/>
    <col min="41" max="41" width="23.42578125" style="84" customWidth="1"/>
    <col min="42" max="42" width="26.42578125" style="6" customWidth="1"/>
    <col min="43" max="43" width="19.42578125" style="4" customWidth="1"/>
    <col min="44" max="44" width="23.42578125" style="84" customWidth="1"/>
    <col min="45" max="45" width="35.140625" style="6" customWidth="1"/>
    <col min="46" max="46" width="21.140625" style="4" customWidth="1"/>
    <col min="47" max="47" width="23.42578125" style="84" customWidth="1"/>
    <col min="48" max="48" width="36.7109375" style="6" customWidth="1"/>
    <col min="49" max="49" width="23.5703125" style="4" customWidth="1"/>
    <col min="50" max="50" width="23.42578125" style="84" customWidth="1"/>
    <col min="51" max="51" width="26.42578125" style="6" customWidth="1"/>
    <col min="52" max="52" width="30.140625" style="12" bestFit="1" customWidth="1"/>
    <col min="53" max="53" width="45.7109375" style="12" bestFit="1" customWidth="1"/>
    <col min="54" max="138" width="11.42578125" style="9"/>
  </cols>
  <sheetData>
    <row r="1" spans="1:138" x14ac:dyDescent="0.25">
      <c r="A1" s="113"/>
      <c r="B1" s="113"/>
      <c r="C1" s="113"/>
      <c r="D1" s="113"/>
      <c r="E1" s="113"/>
      <c r="F1" s="113"/>
      <c r="G1" s="113"/>
      <c r="H1" s="113"/>
      <c r="I1" s="113"/>
      <c r="J1" s="113"/>
      <c r="K1" s="113"/>
      <c r="L1" s="130"/>
      <c r="M1" s="131"/>
      <c r="N1" s="131"/>
      <c r="O1" s="114"/>
      <c r="P1" s="131"/>
      <c r="Q1" s="131"/>
      <c r="R1" s="114"/>
      <c r="S1" s="131"/>
      <c r="T1" s="131"/>
      <c r="U1" s="114"/>
      <c r="V1" s="131"/>
      <c r="W1" s="131"/>
      <c r="X1" s="114"/>
      <c r="Y1" s="131"/>
      <c r="Z1" s="131"/>
      <c r="AA1" s="114"/>
      <c r="AB1" s="131"/>
      <c r="AC1" s="131"/>
      <c r="AD1" s="114"/>
      <c r="AE1" s="113"/>
      <c r="AF1" s="113"/>
      <c r="AG1" s="130"/>
      <c r="AH1" s="131"/>
      <c r="AI1" s="131"/>
      <c r="AJ1" s="114"/>
      <c r="AK1" s="131"/>
      <c r="AL1" s="131"/>
      <c r="AM1" s="114"/>
      <c r="AN1" s="131"/>
      <c r="AO1" s="131"/>
      <c r="AP1" s="114"/>
      <c r="AQ1" s="131"/>
      <c r="AR1" s="131"/>
      <c r="AS1" s="114"/>
      <c r="AT1" s="131"/>
      <c r="AU1" s="131"/>
      <c r="AV1" s="114"/>
      <c r="AW1" s="131"/>
      <c r="AX1" s="131"/>
      <c r="AY1" s="114"/>
      <c r="AZ1" s="113"/>
      <c r="BA1" s="113"/>
      <c r="BB1" s="115" t="s">
        <v>782</v>
      </c>
      <c r="BC1" s="115" t="s">
        <v>782</v>
      </c>
      <c r="BD1" s="115" t="s">
        <v>782</v>
      </c>
      <c r="BE1" s="115" t="s">
        <v>782</v>
      </c>
      <c r="BF1" s="115" t="s">
        <v>782</v>
      </c>
      <c r="BG1" s="115" t="s">
        <v>782</v>
      </c>
      <c r="BH1" s="115" t="s">
        <v>782</v>
      </c>
      <c r="BI1" s="115" t="s">
        <v>782</v>
      </c>
      <c r="BJ1" s="115" t="s">
        <v>782</v>
      </c>
      <c r="BK1" s="115" t="s">
        <v>782</v>
      </c>
      <c r="BL1" s="115" t="s">
        <v>782</v>
      </c>
      <c r="BM1" s="115" t="s">
        <v>782</v>
      </c>
      <c r="BN1" s="115" t="s">
        <v>782</v>
      </c>
      <c r="BO1" s="115" t="s">
        <v>782</v>
      </c>
      <c r="BP1" s="115" t="s">
        <v>782</v>
      </c>
      <c r="BQ1" s="115" t="s">
        <v>782</v>
      </c>
      <c r="BR1" s="115" t="s">
        <v>782</v>
      </c>
      <c r="BS1" s="115" t="s">
        <v>782</v>
      </c>
      <c r="BT1" s="115" t="s">
        <v>782</v>
      </c>
      <c r="BU1" s="115" t="s">
        <v>782</v>
      </c>
      <c r="BV1" s="115" t="s">
        <v>782</v>
      </c>
      <c r="BW1" s="115" t="s">
        <v>782</v>
      </c>
      <c r="BX1" s="115" t="s">
        <v>782</v>
      </c>
      <c r="BY1" s="115" t="s">
        <v>782</v>
      </c>
      <c r="BZ1" s="115" t="s">
        <v>782</v>
      </c>
      <c r="CA1" s="115" t="s">
        <v>782</v>
      </c>
      <c r="CB1" s="115" t="s">
        <v>782</v>
      </c>
      <c r="CC1" s="115" t="s">
        <v>782</v>
      </c>
      <c r="CD1" s="115" t="s">
        <v>782</v>
      </c>
      <c r="CE1" s="115" t="s">
        <v>782</v>
      </c>
      <c r="CF1" s="115" t="s">
        <v>782</v>
      </c>
      <c r="CG1" s="115" t="s">
        <v>782</v>
      </c>
      <c r="CH1" s="115" t="s">
        <v>782</v>
      </c>
      <c r="CI1" s="115" t="s">
        <v>782</v>
      </c>
      <c r="CJ1" s="115" t="s">
        <v>782</v>
      </c>
      <c r="CK1" s="115" t="s">
        <v>782</v>
      </c>
      <c r="CL1" s="115" t="s">
        <v>782</v>
      </c>
      <c r="CM1" s="115" t="s">
        <v>782</v>
      </c>
      <c r="CN1" s="115" t="s">
        <v>782</v>
      </c>
      <c r="CO1" s="115" t="s">
        <v>782</v>
      </c>
      <c r="CP1" s="115" t="s">
        <v>782</v>
      </c>
      <c r="CQ1" s="115" t="s">
        <v>782</v>
      </c>
      <c r="CR1" s="115" t="s">
        <v>782</v>
      </c>
      <c r="CS1" s="115" t="s">
        <v>782</v>
      </c>
      <c r="CT1" s="115" t="s">
        <v>782</v>
      </c>
      <c r="CU1" s="115" t="s">
        <v>782</v>
      </c>
      <c r="CV1" s="115" t="s">
        <v>782</v>
      </c>
      <c r="CW1" s="115" t="s">
        <v>782</v>
      </c>
      <c r="CX1" s="115" t="s">
        <v>782</v>
      </c>
      <c r="CY1" s="115" t="s">
        <v>782</v>
      </c>
      <c r="CZ1" s="115" t="s">
        <v>782</v>
      </c>
      <c r="DA1" s="115" t="s">
        <v>782</v>
      </c>
      <c r="DB1" s="115" t="s">
        <v>782</v>
      </c>
      <c r="DC1" s="115" t="s">
        <v>782</v>
      </c>
      <c r="DD1" s="115" t="s">
        <v>782</v>
      </c>
      <c r="DE1" s="115" t="s">
        <v>782</v>
      </c>
      <c r="DF1" s="115" t="s">
        <v>782</v>
      </c>
      <c r="DG1" s="115" t="s">
        <v>782</v>
      </c>
      <c r="DH1" s="115" t="s">
        <v>782</v>
      </c>
      <c r="DI1" s="115" t="s">
        <v>782</v>
      </c>
      <c r="DJ1" s="115" t="s">
        <v>782</v>
      </c>
      <c r="DK1" s="115" t="s">
        <v>782</v>
      </c>
      <c r="DL1" s="115" t="s">
        <v>782</v>
      </c>
      <c r="DM1" s="115" t="s">
        <v>782</v>
      </c>
      <c r="DN1" s="115" t="s">
        <v>782</v>
      </c>
      <c r="DO1" s="115" t="s">
        <v>782</v>
      </c>
      <c r="DP1" s="115" t="s">
        <v>782</v>
      </c>
      <c r="DQ1" s="115" t="s">
        <v>782</v>
      </c>
      <c r="DR1" s="115" t="s">
        <v>782</v>
      </c>
      <c r="DS1" s="115" t="s">
        <v>782</v>
      </c>
      <c r="DT1" s="115" t="s">
        <v>782</v>
      </c>
      <c r="DU1" s="115" t="s">
        <v>782</v>
      </c>
      <c r="DV1" s="115" t="s">
        <v>782</v>
      </c>
      <c r="DW1" s="115" t="s">
        <v>782</v>
      </c>
      <c r="DX1" s="115" t="s">
        <v>782</v>
      </c>
      <c r="DY1" s="115" t="s">
        <v>782</v>
      </c>
      <c r="DZ1" s="115" t="s">
        <v>782</v>
      </c>
      <c r="EA1" s="115" t="s">
        <v>782</v>
      </c>
      <c r="EB1" s="115" t="s">
        <v>782</v>
      </c>
      <c r="EC1" s="115" t="s">
        <v>782</v>
      </c>
      <c r="ED1" s="115" t="s">
        <v>782</v>
      </c>
      <c r="EE1" s="115" t="s">
        <v>782</v>
      </c>
      <c r="EF1" s="115" t="s">
        <v>782</v>
      </c>
      <c r="EG1" s="115" t="s">
        <v>782</v>
      </c>
      <c r="EH1" s="115" t="s">
        <v>782</v>
      </c>
    </row>
    <row r="2" spans="1:138" x14ac:dyDescent="0.25">
      <c r="A2" s="113"/>
      <c r="B2" s="113"/>
      <c r="C2" s="113"/>
      <c r="D2" s="113"/>
      <c r="E2" s="113"/>
      <c r="F2" s="113"/>
      <c r="G2" s="113"/>
      <c r="H2" s="113"/>
      <c r="I2" s="113"/>
      <c r="J2" s="113"/>
      <c r="K2" s="113"/>
      <c r="L2" s="130"/>
      <c r="M2" s="131"/>
      <c r="N2" s="131"/>
      <c r="O2" s="114"/>
      <c r="P2" s="131"/>
      <c r="Q2" s="131"/>
      <c r="R2" s="114"/>
      <c r="S2" s="131"/>
      <c r="T2" s="131"/>
      <c r="U2" s="114"/>
      <c r="V2" s="131"/>
      <c r="W2" s="131"/>
      <c r="X2" s="114"/>
      <c r="Y2" s="131"/>
      <c r="Z2" s="131"/>
      <c r="AA2" s="114"/>
      <c r="AB2" s="131"/>
      <c r="AC2" s="131"/>
      <c r="AD2" s="114"/>
      <c r="AE2" s="113"/>
      <c r="AF2" s="113"/>
      <c r="AG2" s="130"/>
      <c r="AH2" s="131"/>
      <c r="AI2" s="131"/>
      <c r="AJ2" s="114"/>
      <c r="AK2" s="131"/>
      <c r="AL2" s="131"/>
      <c r="AM2" s="114"/>
      <c r="AN2" s="131"/>
      <c r="AO2" s="131"/>
      <c r="AP2" s="114"/>
      <c r="AQ2" s="131"/>
      <c r="AR2" s="131"/>
      <c r="AS2" s="114"/>
      <c r="AT2" s="131"/>
      <c r="AU2" s="131"/>
      <c r="AV2" s="114"/>
      <c r="AW2" s="131"/>
      <c r="AX2" s="131"/>
      <c r="AY2" s="114"/>
      <c r="AZ2" s="113"/>
      <c r="BA2" s="113"/>
      <c r="BB2" s="115" t="s">
        <v>782</v>
      </c>
      <c r="BC2" s="115" t="s">
        <v>782</v>
      </c>
      <c r="BD2" s="115" t="s">
        <v>782</v>
      </c>
      <c r="BE2" s="115" t="s">
        <v>782</v>
      </c>
      <c r="BF2" s="115" t="s">
        <v>782</v>
      </c>
      <c r="BG2" s="115" t="s">
        <v>782</v>
      </c>
      <c r="BH2" s="115" t="s">
        <v>782</v>
      </c>
      <c r="BI2" s="115" t="s">
        <v>782</v>
      </c>
      <c r="BJ2" s="115" t="s">
        <v>782</v>
      </c>
      <c r="BK2" s="115" t="s">
        <v>782</v>
      </c>
      <c r="BL2" s="115" t="s">
        <v>782</v>
      </c>
      <c r="BM2" s="115" t="s">
        <v>782</v>
      </c>
      <c r="BN2" s="115" t="s">
        <v>782</v>
      </c>
      <c r="BO2" s="115" t="s">
        <v>782</v>
      </c>
      <c r="BP2" s="115" t="s">
        <v>782</v>
      </c>
      <c r="BQ2" s="115" t="s">
        <v>782</v>
      </c>
      <c r="BR2" s="115" t="s">
        <v>782</v>
      </c>
      <c r="BS2" s="115" t="s">
        <v>782</v>
      </c>
      <c r="BT2" s="115" t="s">
        <v>782</v>
      </c>
      <c r="BU2" s="115" t="s">
        <v>782</v>
      </c>
      <c r="BV2" s="115" t="s">
        <v>782</v>
      </c>
      <c r="BW2" s="115" t="s">
        <v>782</v>
      </c>
      <c r="BX2" s="115" t="s">
        <v>782</v>
      </c>
      <c r="BY2" s="115" t="s">
        <v>782</v>
      </c>
      <c r="BZ2" s="115" t="s">
        <v>782</v>
      </c>
      <c r="CA2" s="115" t="s">
        <v>782</v>
      </c>
      <c r="CB2" s="115" t="s">
        <v>782</v>
      </c>
      <c r="CC2" s="115" t="s">
        <v>782</v>
      </c>
      <c r="CD2" s="115" t="s">
        <v>782</v>
      </c>
      <c r="CE2" s="115" t="s">
        <v>782</v>
      </c>
      <c r="CF2" s="115" t="s">
        <v>782</v>
      </c>
      <c r="CG2" s="115" t="s">
        <v>782</v>
      </c>
      <c r="CH2" s="115" t="s">
        <v>782</v>
      </c>
      <c r="CI2" s="115" t="s">
        <v>782</v>
      </c>
      <c r="CJ2" s="115" t="s">
        <v>782</v>
      </c>
      <c r="CK2" s="115" t="s">
        <v>782</v>
      </c>
      <c r="CL2" s="115" t="s">
        <v>782</v>
      </c>
      <c r="CM2" s="115" t="s">
        <v>782</v>
      </c>
      <c r="CN2" s="115" t="s">
        <v>782</v>
      </c>
      <c r="CO2" s="115" t="s">
        <v>782</v>
      </c>
      <c r="CP2" s="115" t="s">
        <v>782</v>
      </c>
      <c r="CQ2" s="115" t="s">
        <v>782</v>
      </c>
      <c r="CR2" s="115" t="s">
        <v>782</v>
      </c>
      <c r="CS2" s="115" t="s">
        <v>782</v>
      </c>
      <c r="CT2" s="115" t="s">
        <v>782</v>
      </c>
      <c r="CU2" s="115" t="s">
        <v>782</v>
      </c>
      <c r="CV2" s="115" t="s">
        <v>782</v>
      </c>
      <c r="CW2" s="115" t="s">
        <v>782</v>
      </c>
      <c r="CX2" s="115" t="s">
        <v>782</v>
      </c>
      <c r="CY2" s="115" t="s">
        <v>782</v>
      </c>
      <c r="CZ2" s="115" t="s">
        <v>782</v>
      </c>
      <c r="DA2" s="115" t="s">
        <v>782</v>
      </c>
      <c r="DB2" s="115" t="s">
        <v>782</v>
      </c>
      <c r="DC2" s="115" t="s">
        <v>782</v>
      </c>
      <c r="DD2" s="115" t="s">
        <v>782</v>
      </c>
      <c r="DE2" s="115" t="s">
        <v>782</v>
      </c>
      <c r="DF2" s="115" t="s">
        <v>782</v>
      </c>
      <c r="DG2" s="115" t="s">
        <v>782</v>
      </c>
      <c r="DH2" s="115" t="s">
        <v>782</v>
      </c>
      <c r="DI2" s="115" t="s">
        <v>782</v>
      </c>
      <c r="DJ2" s="115" t="s">
        <v>782</v>
      </c>
      <c r="DK2" s="115" t="s">
        <v>782</v>
      </c>
      <c r="DL2" s="115" t="s">
        <v>782</v>
      </c>
      <c r="DM2" s="115" t="s">
        <v>782</v>
      </c>
      <c r="DN2" s="115" t="s">
        <v>782</v>
      </c>
      <c r="DO2" s="115" t="s">
        <v>782</v>
      </c>
      <c r="DP2" s="115" t="s">
        <v>782</v>
      </c>
      <c r="DQ2" s="115" t="s">
        <v>782</v>
      </c>
      <c r="DR2" s="115" t="s">
        <v>782</v>
      </c>
      <c r="DS2" s="115" t="s">
        <v>782</v>
      </c>
      <c r="DT2" s="115" t="s">
        <v>782</v>
      </c>
      <c r="DU2" s="115" t="s">
        <v>782</v>
      </c>
      <c r="DV2" s="115" t="s">
        <v>782</v>
      </c>
      <c r="DW2" s="115" t="s">
        <v>782</v>
      </c>
      <c r="DX2" s="115" t="s">
        <v>782</v>
      </c>
      <c r="DY2" s="115" t="s">
        <v>782</v>
      </c>
      <c r="DZ2" s="115" t="s">
        <v>782</v>
      </c>
      <c r="EA2" s="115" t="s">
        <v>782</v>
      </c>
      <c r="EB2" s="115" t="s">
        <v>782</v>
      </c>
      <c r="EC2" s="115" t="s">
        <v>782</v>
      </c>
      <c r="ED2" s="115" t="s">
        <v>782</v>
      </c>
      <c r="EE2" s="115" t="s">
        <v>782</v>
      </c>
      <c r="EF2" s="115" t="s">
        <v>782</v>
      </c>
      <c r="EG2" s="115" t="s">
        <v>782</v>
      </c>
      <c r="EH2" s="115" t="s">
        <v>782</v>
      </c>
    </row>
    <row r="3" spans="1:138" x14ac:dyDescent="0.25">
      <c r="A3" s="113"/>
      <c r="B3" s="113"/>
      <c r="C3" s="113"/>
      <c r="D3" s="113"/>
      <c r="E3" s="113"/>
      <c r="F3" s="113"/>
      <c r="G3" s="113"/>
      <c r="H3" s="113"/>
      <c r="I3" s="113"/>
      <c r="J3" s="113"/>
      <c r="K3" s="113"/>
      <c r="L3" s="130"/>
      <c r="M3" s="131"/>
      <c r="N3" s="131"/>
      <c r="O3" s="114"/>
      <c r="P3" s="131"/>
      <c r="Q3" s="131"/>
      <c r="R3" s="114"/>
      <c r="S3" s="131"/>
      <c r="T3" s="131"/>
      <c r="U3" s="114"/>
      <c r="V3" s="131"/>
      <c r="W3" s="131"/>
      <c r="X3" s="114"/>
      <c r="Y3" s="131"/>
      <c r="Z3" s="131"/>
      <c r="AA3" s="114"/>
      <c r="AB3" s="131"/>
      <c r="AC3" s="131"/>
      <c r="AD3" s="114"/>
      <c r="AE3" s="113"/>
      <c r="AF3" s="113"/>
      <c r="AG3" s="130"/>
      <c r="AH3" s="131"/>
      <c r="AI3" s="131"/>
      <c r="AJ3" s="114"/>
      <c r="AK3" s="131"/>
      <c r="AL3" s="131"/>
      <c r="AM3" s="114"/>
      <c r="AN3" s="131"/>
      <c r="AO3" s="131"/>
      <c r="AP3" s="114"/>
      <c r="AQ3" s="131"/>
      <c r="AR3" s="131"/>
      <c r="AS3" s="114"/>
      <c r="AT3" s="131"/>
      <c r="AU3" s="131"/>
      <c r="AV3" s="114"/>
      <c r="AW3" s="131"/>
      <c r="AX3" s="131"/>
      <c r="AY3" s="114"/>
      <c r="AZ3" s="113"/>
      <c r="BA3" s="113"/>
      <c r="BB3" s="115" t="s">
        <v>782</v>
      </c>
      <c r="BC3" s="115" t="s">
        <v>782</v>
      </c>
      <c r="BD3" s="115" t="s">
        <v>782</v>
      </c>
      <c r="BE3" s="115" t="s">
        <v>782</v>
      </c>
      <c r="BF3" s="115" t="s">
        <v>782</v>
      </c>
      <c r="BG3" s="115" t="s">
        <v>782</v>
      </c>
      <c r="BH3" s="115" t="s">
        <v>782</v>
      </c>
      <c r="BI3" s="115" t="s">
        <v>782</v>
      </c>
      <c r="BJ3" s="115" t="s">
        <v>782</v>
      </c>
      <c r="BK3" s="115" t="s">
        <v>782</v>
      </c>
      <c r="BL3" s="115" t="s">
        <v>782</v>
      </c>
      <c r="BM3" s="115" t="s">
        <v>782</v>
      </c>
      <c r="BN3" s="115" t="s">
        <v>782</v>
      </c>
      <c r="BO3" s="115" t="s">
        <v>782</v>
      </c>
      <c r="BP3" s="115" t="s">
        <v>782</v>
      </c>
      <c r="BQ3" s="115" t="s">
        <v>782</v>
      </c>
      <c r="BR3" s="115" t="s">
        <v>782</v>
      </c>
      <c r="BS3" s="115" t="s">
        <v>782</v>
      </c>
      <c r="BT3" s="115" t="s">
        <v>782</v>
      </c>
      <c r="BU3" s="115" t="s">
        <v>782</v>
      </c>
      <c r="BV3" s="115" t="s">
        <v>782</v>
      </c>
      <c r="BW3" s="115" t="s">
        <v>782</v>
      </c>
      <c r="BX3" s="115" t="s">
        <v>782</v>
      </c>
      <c r="BY3" s="115" t="s">
        <v>782</v>
      </c>
      <c r="BZ3" s="115" t="s">
        <v>782</v>
      </c>
      <c r="CA3" s="115" t="s">
        <v>782</v>
      </c>
      <c r="CB3" s="115" t="s">
        <v>782</v>
      </c>
      <c r="CC3" s="115" t="s">
        <v>782</v>
      </c>
      <c r="CD3" s="115" t="s">
        <v>782</v>
      </c>
      <c r="CE3" s="115" t="s">
        <v>782</v>
      </c>
      <c r="CF3" s="115" t="s">
        <v>782</v>
      </c>
      <c r="CG3" s="115" t="s">
        <v>782</v>
      </c>
      <c r="CH3" s="115" t="s">
        <v>782</v>
      </c>
      <c r="CI3" s="115" t="s">
        <v>782</v>
      </c>
      <c r="CJ3" s="115" t="s">
        <v>782</v>
      </c>
      <c r="CK3" s="115" t="s">
        <v>782</v>
      </c>
      <c r="CL3" s="115" t="s">
        <v>782</v>
      </c>
      <c r="CM3" s="115" t="s">
        <v>782</v>
      </c>
      <c r="CN3" s="115" t="s">
        <v>782</v>
      </c>
      <c r="CO3" s="115" t="s">
        <v>782</v>
      </c>
      <c r="CP3" s="115" t="s">
        <v>782</v>
      </c>
      <c r="CQ3" s="115" t="s">
        <v>782</v>
      </c>
      <c r="CR3" s="115" t="s">
        <v>782</v>
      </c>
      <c r="CS3" s="115" t="s">
        <v>782</v>
      </c>
      <c r="CT3" s="115" t="s">
        <v>782</v>
      </c>
      <c r="CU3" s="115" t="s">
        <v>782</v>
      </c>
      <c r="CV3" s="115" t="s">
        <v>782</v>
      </c>
      <c r="CW3" s="115" t="s">
        <v>782</v>
      </c>
      <c r="CX3" s="115" t="s">
        <v>782</v>
      </c>
      <c r="CY3" s="115" t="s">
        <v>782</v>
      </c>
      <c r="CZ3" s="115" t="s">
        <v>782</v>
      </c>
      <c r="DA3" s="115" t="s">
        <v>782</v>
      </c>
      <c r="DB3" s="115" t="s">
        <v>782</v>
      </c>
      <c r="DC3" s="115" t="s">
        <v>782</v>
      </c>
      <c r="DD3" s="115" t="s">
        <v>782</v>
      </c>
      <c r="DE3" s="115" t="s">
        <v>782</v>
      </c>
      <c r="DF3" s="115" t="s">
        <v>782</v>
      </c>
      <c r="DG3" s="115" t="s">
        <v>782</v>
      </c>
      <c r="DH3" s="115" t="s">
        <v>782</v>
      </c>
      <c r="DI3" s="115" t="s">
        <v>782</v>
      </c>
      <c r="DJ3" s="115" t="s">
        <v>782</v>
      </c>
      <c r="DK3" s="115" t="s">
        <v>782</v>
      </c>
      <c r="DL3" s="115" t="s">
        <v>782</v>
      </c>
      <c r="DM3" s="115" t="s">
        <v>782</v>
      </c>
      <c r="DN3" s="115" t="s">
        <v>782</v>
      </c>
      <c r="DO3" s="115" t="s">
        <v>782</v>
      </c>
      <c r="DP3" s="115" t="s">
        <v>782</v>
      </c>
      <c r="DQ3" s="115" t="s">
        <v>782</v>
      </c>
      <c r="DR3" s="115" t="s">
        <v>782</v>
      </c>
      <c r="DS3" s="115" t="s">
        <v>782</v>
      </c>
      <c r="DT3" s="115" t="s">
        <v>782</v>
      </c>
      <c r="DU3" s="115" t="s">
        <v>782</v>
      </c>
      <c r="DV3" s="115" t="s">
        <v>782</v>
      </c>
      <c r="DW3" s="115" t="s">
        <v>782</v>
      </c>
      <c r="DX3" s="115" t="s">
        <v>782</v>
      </c>
      <c r="DY3" s="115" t="s">
        <v>782</v>
      </c>
      <c r="DZ3" s="115" t="s">
        <v>782</v>
      </c>
      <c r="EA3" s="115" t="s">
        <v>782</v>
      </c>
      <c r="EB3" s="115" t="s">
        <v>782</v>
      </c>
      <c r="EC3" s="115" t="s">
        <v>782</v>
      </c>
      <c r="ED3" s="115" t="s">
        <v>782</v>
      </c>
      <c r="EE3" s="115" t="s">
        <v>782</v>
      </c>
      <c r="EF3" s="115" t="s">
        <v>782</v>
      </c>
      <c r="EG3" s="115" t="s">
        <v>782</v>
      </c>
      <c r="EH3" s="115" t="s">
        <v>782</v>
      </c>
    </row>
    <row r="4" spans="1:138" x14ac:dyDescent="0.25">
      <c r="A4" s="113"/>
      <c r="B4" s="113"/>
      <c r="C4" s="113"/>
      <c r="D4" s="113"/>
      <c r="E4" s="113"/>
      <c r="F4" s="113"/>
      <c r="G4" s="113"/>
      <c r="H4" s="113"/>
      <c r="I4" s="113"/>
      <c r="J4" s="113"/>
      <c r="K4" s="113"/>
      <c r="L4" s="130"/>
      <c r="M4" s="131"/>
      <c r="N4" s="131"/>
      <c r="O4" s="114"/>
      <c r="P4" s="131"/>
      <c r="Q4" s="131"/>
      <c r="R4" s="114"/>
      <c r="S4" s="131"/>
      <c r="T4" s="131"/>
      <c r="U4" s="114"/>
      <c r="V4" s="131"/>
      <c r="W4" s="131"/>
      <c r="X4" s="114"/>
      <c r="Y4" s="131"/>
      <c r="Z4" s="131"/>
      <c r="AA4" s="114"/>
      <c r="AB4" s="131"/>
      <c r="AC4" s="131"/>
      <c r="AD4" s="114"/>
      <c r="AE4" s="113"/>
      <c r="AF4" s="113"/>
      <c r="AG4" s="130"/>
      <c r="AH4" s="131"/>
      <c r="AI4" s="131"/>
      <c r="AJ4" s="114"/>
      <c r="AK4" s="131"/>
      <c r="AL4" s="131"/>
      <c r="AM4" s="114"/>
      <c r="AN4" s="131"/>
      <c r="AO4" s="131"/>
      <c r="AP4" s="114"/>
      <c r="AQ4" s="131"/>
      <c r="AR4" s="131"/>
      <c r="AS4" s="114"/>
      <c r="AT4" s="131"/>
      <c r="AU4" s="131"/>
      <c r="AV4" s="114"/>
      <c r="AW4" s="131"/>
      <c r="AX4" s="131"/>
      <c r="AY4" s="114"/>
      <c r="AZ4" s="113"/>
      <c r="BA4" s="113"/>
      <c r="BB4" s="115" t="s">
        <v>782</v>
      </c>
      <c r="BC4" s="115" t="s">
        <v>782</v>
      </c>
      <c r="BD4" s="115" t="s">
        <v>782</v>
      </c>
      <c r="BE4" s="115" t="s">
        <v>782</v>
      </c>
      <c r="BF4" s="115" t="s">
        <v>782</v>
      </c>
      <c r="BG4" s="115" t="s">
        <v>782</v>
      </c>
      <c r="BH4" s="115" t="s">
        <v>782</v>
      </c>
      <c r="BI4" s="115" t="s">
        <v>782</v>
      </c>
      <c r="BJ4" s="115" t="s">
        <v>782</v>
      </c>
      <c r="BK4" s="115" t="s">
        <v>782</v>
      </c>
      <c r="BL4" s="115" t="s">
        <v>782</v>
      </c>
      <c r="BM4" s="115" t="s">
        <v>782</v>
      </c>
      <c r="BN4" s="115" t="s">
        <v>782</v>
      </c>
      <c r="BO4" s="115" t="s">
        <v>782</v>
      </c>
      <c r="BP4" s="115" t="s">
        <v>782</v>
      </c>
      <c r="BQ4" s="115" t="s">
        <v>782</v>
      </c>
      <c r="BR4" s="115" t="s">
        <v>782</v>
      </c>
      <c r="BS4" s="115" t="s">
        <v>782</v>
      </c>
      <c r="BT4" s="115" t="s">
        <v>782</v>
      </c>
      <c r="BU4" s="115" t="s">
        <v>782</v>
      </c>
      <c r="BV4" s="115" t="s">
        <v>782</v>
      </c>
      <c r="BW4" s="115" t="s">
        <v>782</v>
      </c>
      <c r="BX4" s="115" t="s">
        <v>782</v>
      </c>
      <c r="BY4" s="115" t="s">
        <v>782</v>
      </c>
      <c r="BZ4" s="115" t="s">
        <v>782</v>
      </c>
      <c r="CA4" s="115" t="s">
        <v>782</v>
      </c>
      <c r="CB4" s="115" t="s">
        <v>782</v>
      </c>
      <c r="CC4" s="115" t="s">
        <v>782</v>
      </c>
      <c r="CD4" s="115" t="s">
        <v>782</v>
      </c>
      <c r="CE4" s="115" t="s">
        <v>782</v>
      </c>
      <c r="CF4" s="115" t="s">
        <v>782</v>
      </c>
      <c r="CG4" s="115" t="s">
        <v>782</v>
      </c>
      <c r="CH4" s="115" t="s">
        <v>782</v>
      </c>
      <c r="CI4" s="115" t="s">
        <v>782</v>
      </c>
      <c r="CJ4" s="115" t="s">
        <v>782</v>
      </c>
      <c r="CK4" s="115" t="s">
        <v>782</v>
      </c>
      <c r="CL4" s="115" t="s">
        <v>782</v>
      </c>
      <c r="CM4" s="115" t="s">
        <v>782</v>
      </c>
      <c r="CN4" s="115" t="s">
        <v>782</v>
      </c>
      <c r="CO4" s="115" t="s">
        <v>782</v>
      </c>
      <c r="CP4" s="115" t="s">
        <v>782</v>
      </c>
      <c r="CQ4" s="115" t="s">
        <v>782</v>
      </c>
      <c r="CR4" s="115" t="s">
        <v>782</v>
      </c>
      <c r="CS4" s="115" t="s">
        <v>782</v>
      </c>
      <c r="CT4" s="115" t="s">
        <v>782</v>
      </c>
      <c r="CU4" s="115" t="s">
        <v>782</v>
      </c>
      <c r="CV4" s="115" t="s">
        <v>782</v>
      </c>
      <c r="CW4" s="115" t="s">
        <v>782</v>
      </c>
      <c r="CX4" s="115" t="s">
        <v>782</v>
      </c>
      <c r="CY4" s="115" t="s">
        <v>782</v>
      </c>
      <c r="CZ4" s="115" t="s">
        <v>782</v>
      </c>
      <c r="DA4" s="115" t="s">
        <v>782</v>
      </c>
      <c r="DB4" s="115" t="s">
        <v>782</v>
      </c>
      <c r="DC4" s="115" t="s">
        <v>782</v>
      </c>
      <c r="DD4" s="115" t="s">
        <v>782</v>
      </c>
      <c r="DE4" s="115" t="s">
        <v>782</v>
      </c>
      <c r="DF4" s="115" t="s">
        <v>782</v>
      </c>
      <c r="DG4" s="115" t="s">
        <v>782</v>
      </c>
      <c r="DH4" s="115" t="s">
        <v>782</v>
      </c>
      <c r="DI4" s="115" t="s">
        <v>782</v>
      </c>
      <c r="DJ4" s="115" t="s">
        <v>782</v>
      </c>
      <c r="DK4" s="115" t="s">
        <v>782</v>
      </c>
      <c r="DL4" s="115" t="s">
        <v>782</v>
      </c>
      <c r="DM4" s="115" t="s">
        <v>782</v>
      </c>
      <c r="DN4" s="115" t="s">
        <v>782</v>
      </c>
      <c r="DO4" s="115" t="s">
        <v>782</v>
      </c>
      <c r="DP4" s="115" t="s">
        <v>782</v>
      </c>
      <c r="DQ4" s="115" t="s">
        <v>782</v>
      </c>
      <c r="DR4" s="115" t="s">
        <v>782</v>
      </c>
      <c r="DS4" s="115" t="s">
        <v>782</v>
      </c>
      <c r="DT4" s="115" t="s">
        <v>782</v>
      </c>
      <c r="DU4" s="115" t="s">
        <v>782</v>
      </c>
      <c r="DV4" s="115" t="s">
        <v>782</v>
      </c>
      <c r="DW4" s="115" t="s">
        <v>782</v>
      </c>
      <c r="DX4" s="115" t="s">
        <v>782</v>
      </c>
      <c r="DY4" s="115" t="s">
        <v>782</v>
      </c>
      <c r="DZ4" s="115" t="s">
        <v>782</v>
      </c>
      <c r="EA4" s="115" t="s">
        <v>782</v>
      </c>
      <c r="EB4" s="115" t="s">
        <v>782</v>
      </c>
      <c r="EC4" s="115" t="s">
        <v>782</v>
      </c>
      <c r="ED4" s="115" t="s">
        <v>782</v>
      </c>
      <c r="EE4" s="115" t="s">
        <v>782</v>
      </c>
      <c r="EF4" s="115" t="s">
        <v>782</v>
      </c>
      <c r="EG4" s="115" t="s">
        <v>782</v>
      </c>
      <c r="EH4" s="115" t="s">
        <v>782</v>
      </c>
    </row>
    <row r="5" spans="1:138" x14ac:dyDescent="0.25">
      <c r="A5" s="113"/>
      <c r="B5" s="113"/>
      <c r="C5" s="113"/>
      <c r="D5" s="113"/>
      <c r="E5" s="113"/>
      <c r="F5" s="113"/>
      <c r="G5" s="113"/>
      <c r="H5" s="113"/>
      <c r="I5" s="113"/>
      <c r="J5" s="113"/>
      <c r="K5" s="113"/>
      <c r="L5" s="130"/>
      <c r="M5" s="131"/>
      <c r="N5" s="131"/>
      <c r="O5" s="114"/>
      <c r="P5" s="131"/>
      <c r="Q5" s="131"/>
      <c r="R5" s="114"/>
      <c r="S5" s="131"/>
      <c r="T5" s="131"/>
      <c r="U5" s="114"/>
      <c r="V5" s="131"/>
      <c r="W5" s="131"/>
      <c r="X5" s="114"/>
      <c r="Y5" s="131"/>
      <c r="Z5" s="131"/>
      <c r="AA5" s="114"/>
      <c r="AB5" s="131"/>
      <c r="AC5" s="131"/>
      <c r="AD5" s="114"/>
      <c r="AE5" s="113"/>
      <c r="AF5" s="113"/>
      <c r="AG5" s="130"/>
      <c r="AH5" s="131"/>
      <c r="AI5" s="131"/>
      <c r="AJ5" s="114"/>
      <c r="AK5" s="131"/>
      <c r="AL5" s="131"/>
      <c r="AM5" s="114"/>
      <c r="AN5" s="131"/>
      <c r="AO5" s="131"/>
      <c r="AP5" s="114"/>
      <c r="AQ5" s="131"/>
      <c r="AR5" s="131"/>
      <c r="AS5" s="114"/>
      <c r="AT5" s="131"/>
      <c r="AU5" s="131"/>
      <c r="AV5" s="114"/>
      <c r="AW5" s="131"/>
      <c r="AX5" s="131"/>
      <c r="AY5" s="114"/>
      <c r="AZ5" s="113"/>
      <c r="BA5" s="113"/>
      <c r="BB5" s="115" t="s">
        <v>782</v>
      </c>
      <c r="BC5" s="115" t="s">
        <v>782</v>
      </c>
      <c r="BD5" s="115" t="s">
        <v>782</v>
      </c>
      <c r="BE5" s="115" t="s">
        <v>782</v>
      </c>
      <c r="BF5" s="115" t="s">
        <v>782</v>
      </c>
      <c r="BG5" s="115" t="s">
        <v>782</v>
      </c>
      <c r="BH5" s="115" t="s">
        <v>782</v>
      </c>
      <c r="BI5" s="115" t="s">
        <v>782</v>
      </c>
      <c r="BJ5" s="115" t="s">
        <v>782</v>
      </c>
      <c r="BK5" s="115" t="s">
        <v>782</v>
      </c>
      <c r="BL5" s="115" t="s">
        <v>782</v>
      </c>
      <c r="BM5" s="115" t="s">
        <v>782</v>
      </c>
      <c r="BN5" s="115" t="s">
        <v>782</v>
      </c>
      <c r="BO5" s="115" t="s">
        <v>782</v>
      </c>
      <c r="BP5" s="115" t="s">
        <v>782</v>
      </c>
      <c r="BQ5" s="115" t="s">
        <v>782</v>
      </c>
      <c r="BR5" s="115" t="s">
        <v>782</v>
      </c>
      <c r="BS5" s="115" t="s">
        <v>782</v>
      </c>
      <c r="BT5" s="115" t="s">
        <v>782</v>
      </c>
      <c r="BU5" s="115" t="s">
        <v>782</v>
      </c>
      <c r="BV5" s="115" t="s">
        <v>782</v>
      </c>
      <c r="BW5" s="115" t="s">
        <v>782</v>
      </c>
      <c r="BX5" s="115" t="s">
        <v>782</v>
      </c>
      <c r="BY5" s="115" t="s">
        <v>782</v>
      </c>
      <c r="BZ5" s="115" t="s">
        <v>782</v>
      </c>
      <c r="CA5" s="115" t="s">
        <v>782</v>
      </c>
      <c r="CB5" s="115" t="s">
        <v>782</v>
      </c>
      <c r="CC5" s="115" t="s">
        <v>782</v>
      </c>
      <c r="CD5" s="115" t="s">
        <v>782</v>
      </c>
      <c r="CE5" s="115" t="s">
        <v>782</v>
      </c>
      <c r="CF5" s="115" t="s">
        <v>782</v>
      </c>
      <c r="CG5" s="115" t="s">
        <v>782</v>
      </c>
      <c r="CH5" s="115" t="s">
        <v>782</v>
      </c>
      <c r="CI5" s="115" t="s">
        <v>782</v>
      </c>
      <c r="CJ5" s="115" t="s">
        <v>782</v>
      </c>
      <c r="CK5" s="115" t="s">
        <v>782</v>
      </c>
      <c r="CL5" s="115" t="s">
        <v>782</v>
      </c>
      <c r="CM5" s="115" t="s">
        <v>782</v>
      </c>
      <c r="CN5" s="115" t="s">
        <v>782</v>
      </c>
      <c r="CO5" s="115" t="s">
        <v>782</v>
      </c>
      <c r="CP5" s="115" t="s">
        <v>782</v>
      </c>
      <c r="CQ5" s="115" t="s">
        <v>782</v>
      </c>
      <c r="CR5" s="115" t="s">
        <v>782</v>
      </c>
      <c r="CS5" s="115" t="s">
        <v>782</v>
      </c>
      <c r="CT5" s="115" t="s">
        <v>782</v>
      </c>
      <c r="CU5" s="115" t="s">
        <v>782</v>
      </c>
      <c r="CV5" s="115" t="s">
        <v>782</v>
      </c>
      <c r="CW5" s="115" t="s">
        <v>782</v>
      </c>
      <c r="CX5" s="115" t="s">
        <v>782</v>
      </c>
      <c r="CY5" s="115" t="s">
        <v>782</v>
      </c>
      <c r="CZ5" s="115" t="s">
        <v>782</v>
      </c>
      <c r="DA5" s="115" t="s">
        <v>782</v>
      </c>
      <c r="DB5" s="115" t="s">
        <v>782</v>
      </c>
      <c r="DC5" s="115" t="s">
        <v>782</v>
      </c>
      <c r="DD5" s="115" t="s">
        <v>782</v>
      </c>
      <c r="DE5" s="115" t="s">
        <v>782</v>
      </c>
      <c r="DF5" s="115" t="s">
        <v>782</v>
      </c>
      <c r="DG5" s="115" t="s">
        <v>782</v>
      </c>
      <c r="DH5" s="115" t="s">
        <v>782</v>
      </c>
      <c r="DI5" s="115" t="s">
        <v>782</v>
      </c>
      <c r="DJ5" s="115" t="s">
        <v>782</v>
      </c>
      <c r="DK5" s="115" t="s">
        <v>782</v>
      </c>
      <c r="DL5" s="115" t="s">
        <v>782</v>
      </c>
      <c r="DM5" s="115" t="s">
        <v>782</v>
      </c>
      <c r="DN5" s="115" t="s">
        <v>782</v>
      </c>
      <c r="DO5" s="115" t="s">
        <v>782</v>
      </c>
      <c r="DP5" s="115" t="s">
        <v>782</v>
      </c>
      <c r="DQ5" s="115" t="s">
        <v>782</v>
      </c>
      <c r="DR5" s="115" t="s">
        <v>782</v>
      </c>
      <c r="DS5" s="115" t="s">
        <v>782</v>
      </c>
      <c r="DT5" s="115" t="s">
        <v>782</v>
      </c>
      <c r="DU5" s="115" t="s">
        <v>782</v>
      </c>
      <c r="DV5" s="115" t="s">
        <v>782</v>
      </c>
      <c r="DW5" s="115" t="s">
        <v>782</v>
      </c>
      <c r="DX5" s="115" t="s">
        <v>782</v>
      </c>
      <c r="DY5" s="115" t="s">
        <v>782</v>
      </c>
      <c r="DZ5" s="115" t="s">
        <v>782</v>
      </c>
      <c r="EA5" s="115" t="s">
        <v>782</v>
      </c>
      <c r="EB5" s="115" t="s">
        <v>782</v>
      </c>
      <c r="EC5" s="115" t="s">
        <v>782</v>
      </c>
      <c r="ED5" s="115" t="s">
        <v>782</v>
      </c>
      <c r="EE5" s="115" t="s">
        <v>782</v>
      </c>
      <c r="EF5" s="115" t="s">
        <v>782</v>
      </c>
      <c r="EG5" s="115" t="s">
        <v>782</v>
      </c>
      <c r="EH5" s="115" t="s">
        <v>782</v>
      </c>
    </row>
    <row r="6" spans="1:138" s="153" customFormat="1" ht="30" x14ac:dyDescent="0.25">
      <c r="A6" s="151" t="s">
        <v>61</v>
      </c>
      <c r="B6" s="178" t="s">
        <v>62</v>
      </c>
      <c r="C6" s="306"/>
      <c r="D6" s="442" t="s">
        <v>63</v>
      </c>
      <c r="E6" s="443"/>
      <c r="F6" s="442" t="s">
        <v>64</v>
      </c>
      <c r="G6" s="442"/>
      <c r="H6" s="442"/>
      <c r="I6" s="443"/>
      <c r="J6" s="442" t="s">
        <v>65</v>
      </c>
      <c r="K6" s="442"/>
      <c r="L6" s="443"/>
      <c r="M6" s="444" t="s">
        <v>2</v>
      </c>
      <c r="N6" s="444"/>
      <c r="O6" s="445"/>
      <c r="P6" s="444" t="s">
        <v>3</v>
      </c>
      <c r="Q6" s="444"/>
      <c r="R6" s="445"/>
      <c r="S6" s="444" t="s">
        <v>4</v>
      </c>
      <c r="T6" s="444"/>
      <c r="U6" s="445"/>
      <c r="V6" s="444" t="s">
        <v>1081</v>
      </c>
      <c r="W6" s="444"/>
      <c r="X6" s="445"/>
      <c r="Y6" s="444" t="s">
        <v>1082</v>
      </c>
      <c r="Z6" s="444"/>
      <c r="AA6" s="445"/>
      <c r="AB6" s="444" t="s">
        <v>1083</v>
      </c>
      <c r="AC6" s="444"/>
      <c r="AD6" s="445"/>
      <c r="AE6" s="446" t="s">
        <v>66</v>
      </c>
      <c r="AF6" s="446"/>
      <c r="AG6" s="447"/>
      <c r="AH6" s="448" t="s">
        <v>2</v>
      </c>
      <c r="AI6" s="448"/>
      <c r="AJ6" s="449"/>
      <c r="AK6" s="448" t="s">
        <v>3</v>
      </c>
      <c r="AL6" s="448"/>
      <c r="AM6" s="449"/>
      <c r="AN6" s="448" t="s">
        <v>4</v>
      </c>
      <c r="AO6" s="448"/>
      <c r="AP6" s="449"/>
      <c r="AQ6" s="448" t="s">
        <v>1081</v>
      </c>
      <c r="AR6" s="448"/>
      <c r="AS6" s="449"/>
      <c r="AT6" s="448" t="s">
        <v>1082</v>
      </c>
      <c r="AU6" s="448"/>
      <c r="AV6" s="449"/>
      <c r="AW6" s="448" t="s">
        <v>1083</v>
      </c>
      <c r="AX6" s="448"/>
      <c r="AY6" s="449"/>
      <c r="AZ6" s="442" t="s">
        <v>67</v>
      </c>
      <c r="BA6" s="443"/>
      <c r="BB6" s="152" t="s">
        <v>782</v>
      </c>
      <c r="BC6" s="152" t="s">
        <v>782</v>
      </c>
      <c r="BD6" s="152" t="s">
        <v>782</v>
      </c>
      <c r="BE6" s="152" t="s">
        <v>782</v>
      </c>
      <c r="BF6" s="152" t="s">
        <v>782</v>
      </c>
      <c r="BG6" s="152" t="s">
        <v>782</v>
      </c>
      <c r="BH6" s="152" t="s">
        <v>782</v>
      </c>
      <c r="BI6" s="152" t="s">
        <v>782</v>
      </c>
      <c r="BJ6" s="152" t="s">
        <v>782</v>
      </c>
      <c r="BK6" s="152" t="s">
        <v>782</v>
      </c>
      <c r="BL6" s="152" t="s">
        <v>782</v>
      </c>
      <c r="BM6" s="152" t="s">
        <v>782</v>
      </c>
      <c r="BN6" s="152" t="s">
        <v>782</v>
      </c>
      <c r="BO6" s="152" t="s">
        <v>782</v>
      </c>
      <c r="BP6" s="152" t="s">
        <v>782</v>
      </c>
      <c r="BQ6" s="152" t="s">
        <v>782</v>
      </c>
      <c r="BR6" s="152" t="s">
        <v>782</v>
      </c>
      <c r="BS6" s="152" t="s">
        <v>782</v>
      </c>
      <c r="BT6" s="152" t="s">
        <v>782</v>
      </c>
      <c r="BU6" s="152" t="s">
        <v>782</v>
      </c>
      <c r="BV6" s="152" t="s">
        <v>782</v>
      </c>
      <c r="BW6" s="152" t="s">
        <v>782</v>
      </c>
      <c r="BX6" s="152" t="s">
        <v>782</v>
      </c>
      <c r="BY6" s="152" t="s">
        <v>782</v>
      </c>
      <c r="BZ6" s="152" t="s">
        <v>782</v>
      </c>
      <c r="CA6" s="152" t="s">
        <v>782</v>
      </c>
      <c r="CB6" s="152" t="s">
        <v>782</v>
      </c>
      <c r="CC6" s="152" t="s">
        <v>782</v>
      </c>
      <c r="CD6" s="152" t="s">
        <v>782</v>
      </c>
      <c r="CE6" s="152" t="s">
        <v>782</v>
      </c>
      <c r="CF6" s="152" t="s">
        <v>782</v>
      </c>
      <c r="CG6" s="152" t="s">
        <v>782</v>
      </c>
      <c r="CH6" s="152" t="s">
        <v>782</v>
      </c>
      <c r="CI6" s="152" t="s">
        <v>782</v>
      </c>
      <c r="CJ6" s="152" t="s">
        <v>782</v>
      </c>
      <c r="CK6" s="152" t="s">
        <v>782</v>
      </c>
      <c r="CL6" s="152" t="s">
        <v>782</v>
      </c>
      <c r="CM6" s="152" t="s">
        <v>782</v>
      </c>
      <c r="CN6" s="152" t="s">
        <v>782</v>
      </c>
      <c r="CO6" s="152" t="s">
        <v>782</v>
      </c>
      <c r="CP6" s="152" t="s">
        <v>782</v>
      </c>
      <c r="CQ6" s="152" t="s">
        <v>782</v>
      </c>
      <c r="CR6" s="152" t="s">
        <v>782</v>
      </c>
      <c r="CS6" s="152" t="s">
        <v>782</v>
      </c>
      <c r="CT6" s="152" t="s">
        <v>782</v>
      </c>
      <c r="CU6" s="152" t="s">
        <v>782</v>
      </c>
      <c r="CV6" s="152" t="s">
        <v>782</v>
      </c>
      <c r="CW6" s="152" t="s">
        <v>782</v>
      </c>
      <c r="CX6" s="152" t="s">
        <v>782</v>
      </c>
      <c r="CY6" s="152" t="s">
        <v>782</v>
      </c>
      <c r="CZ6" s="152" t="s">
        <v>782</v>
      </c>
      <c r="DA6" s="152" t="s">
        <v>782</v>
      </c>
      <c r="DB6" s="152" t="s">
        <v>782</v>
      </c>
      <c r="DC6" s="152" t="s">
        <v>782</v>
      </c>
      <c r="DD6" s="152" t="s">
        <v>782</v>
      </c>
      <c r="DE6" s="152" t="s">
        <v>782</v>
      </c>
      <c r="DF6" s="152" t="s">
        <v>782</v>
      </c>
      <c r="DG6" s="152" t="s">
        <v>782</v>
      </c>
      <c r="DH6" s="152" t="s">
        <v>782</v>
      </c>
      <c r="DI6" s="152" t="s">
        <v>782</v>
      </c>
      <c r="DJ6" s="152" t="s">
        <v>782</v>
      </c>
      <c r="DK6" s="152" t="s">
        <v>782</v>
      </c>
      <c r="DL6" s="152" t="s">
        <v>782</v>
      </c>
      <c r="DM6" s="152" t="s">
        <v>782</v>
      </c>
      <c r="DN6" s="152" t="s">
        <v>782</v>
      </c>
      <c r="DO6" s="152" t="s">
        <v>782</v>
      </c>
      <c r="DP6" s="152" t="s">
        <v>782</v>
      </c>
      <c r="DQ6" s="152" t="s">
        <v>782</v>
      </c>
      <c r="DR6" s="152" t="s">
        <v>782</v>
      </c>
      <c r="DS6" s="152" t="s">
        <v>782</v>
      </c>
      <c r="DT6" s="152" t="s">
        <v>782</v>
      </c>
      <c r="DU6" s="152" t="s">
        <v>782</v>
      </c>
      <c r="DV6" s="152" t="s">
        <v>782</v>
      </c>
      <c r="DW6" s="152" t="s">
        <v>782</v>
      </c>
      <c r="DX6" s="152" t="s">
        <v>782</v>
      </c>
      <c r="DY6" s="152" t="s">
        <v>782</v>
      </c>
      <c r="DZ6" s="152" t="s">
        <v>782</v>
      </c>
      <c r="EA6" s="152" t="s">
        <v>782</v>
      </c>
      <c r="EB6" s="152" t="s">
        <v>782</v>
      </c>
      <c r="EC6" s="152" t="s">
        <v>782</v>
      </c>
      <c r="ED6" s="152" t="s">
        <v>782</v>
      </c>
      <c r="EE6" s="152" t="s">
        <v>782</v>
      </c>
      <c r="EF6" s="152" t="s">
        <v>782</v>
      </c>
      <c r="EG6" s="152" t="s">
        <v>782</v>
      </c>
      <c r="EH6" s="152" t="s">
        <v>782</v>
      </c>
    </row>
    <row r="7" spans="1:138" s="153" customFormat="1" ht="49.5" customHeight="1" x14ac:dyDescent="0.25">
      <c r="A7" s="154" t="s">
        <v>68</v>
      </c>
      <c r="B7" s="155" t="s">
        <v>69</v>
      </c>
      <c r="C7" s="155" t="s">
        <v>70</v>
      </c>
      <c r="D7" s="155" t="s">
        <v>71</v>
      </c>
      <c r="E7" s="155" t="s">
        <v>72</v>
      </c>
      <c r="F7" s="155" t="s">
        <v>73</v>
      </c>
      <c r="G7" s="155" t="s">
        <v>74</v>
      </c>
      <c r="H7" s="155" t="s">
        <v>783</v>
      </c>
      <c r="I7" s="155" t="s">
        <v>784</v>
      </c>
      <c r="J7" s="155" t="s">
        <v>65</v>
      </c>
      <c r="K7" s="155" t="s">
        <v>77</v>
      </c>
      <c r="L7" s="155" t="s">
        <v>78</v>
      </c>
      <c r="M7" s="155" t="s">
        <v>79</v>
      </c>
      <c r="N7" s="155" t="s">
        <v>80</v>
      </c>
      <c r="O7" s="155" t="s">
        <v>81</v>
      </c>
      <c r="P7" s="155" t="s">
        <v>79</v>
      </c>
      <c r="Q7" s="155" t="s">
        <v>80</v>
      </c>
      <c r="R7" s="155" t="s">
        <v>81</v>
      </c>
      <c r="S7" s="155" t="s">
        <v>79</v>
      </c>
      <c r="T7" s="155" t="s">
        <v>80</v>
      </c>
      <c r="U7" s="155" t="s">
        <v>81</v>
      </c>
      <c r="V7" s="155" t="s">
        <v>79</v>
      </c>
      <c r="W7" s="155" t="s">
        <v>80</v>
      </c>
      <c r="X7" s="155" t="s">
        <v>81</v>
      </c>
      <c r="Y7" s="155" t="s">
        <v>79</v>
      </c>
      <c r="Z7" s="155" t="s">
        <v>80</v>
      </c>
      <c r="AA7" s="155" t="s">
        <v>81</v>
      </c>
      <c r="AB7" s="155" t="s">
        <v>79</v>
      </c>
      <c r="AC7" s="155" t="s">
        <v>80</v>
      </c>
      <c r="AD7" s="155" t="s">
        <v>81</v>
      </c>
      <c r="AE7" s="311" t="s">
        <v>66</v>
      </c>
      <c r="AF7" s="311" t="s">
        <v>82</v>
      </c>
      <c r="AG7" s="311" t="s">
        <v>83</v>
      </c>
      <c r="AH7" s="311" t="s">
        <v>79</v>
      </c>
      <c r="AI7" s="311" t="s">
        <v>80</v>
      </c>
      <c r="AJ7" s="311" t="s">
        <v>81</v>
      </c>
      <c r="AK7" s="311" t="s">
        <v>79</v>
      </c>
      <c r="AL7" s="311" t="s">
        <v>80</v>
      </c>
      <c r="AM7" s="311" t="s">
        <v>81</v>
      </c>
      <c r="AN7" s="311" t="s">
        <v>79</v>
      </c>
      <c r="AO7" s="311" t="s">
        <v>80</v>
      </c>
      <c r="AP7" s="311" t="s">
        <v>81</v>
      </c>
      <c r="AQ7" s="311" t="s">
        <v>79</v>
      </c>
      <c r="AR7" s="311" t="s">
        <v>80</v>
      </c>
      <c r="AS7" s="311" t="s">
        <v>81</v>
      </c>
      <c r="AT7" s="311" t="s">
        <v>79</v>
      </c>
      <c r="AU7" s="311" t="s">
        <v>80</v>
      </c>
      <c r="AV7" s="311" t="s">
        <v>81</v>
      </c>
      <c r="AW7" s="311" t="s">
        <v>79</v>
      </c>
      <c r="AX7" s="311" t="s">
        <v>80</v>
      </c>
      <c r="AY7" s="311" t="s">
        <v>81</v>
      </c>
      <c r="AZ7" s="155" t="s">
        <v>84</v>
      </c>
      <c r="BA7" s="155" t="s">
        <v>85</v>
      </c>
      <c r="BB7" s="152" t="s">
        <v>782</v>
      </c>
      <c r="BC7" s="152" t="s">
        <v>782</v>
      </c>
      <c r="BD7" s="152" t="s">
        <v>782</v>
      </c>
      <c r="BE7" s="152" t="s">
        <v>782</v>
      </c>
      <c r="BF7" s="152" t="s">
        <v>782</v>
      </c>
      <c r="BG7" s="152" t="s">
        <v>782</v>
      </c>
      <c r="BH7" s="152" t="s">
        <v>782</v>
      </c>
      <c r="BI7" s="152" t="s">
        <v>782</v>
      </c>
      <c r="BJ7" s="152" t="s">
        <v>782</v>
      </c>
      <c r="BK7" s="152" t="s">
        <v>782</v>
      </c>
      <c r="BL7" s="152" t="s">
        <v>782</v>
      </c>
      <c r="BM7" s="152" t="s">
        <v>782</v>
      </c>
      <c r="BN7" s="152" t="s">
        <v>782</v>
      </c>
      <c r="BO7" s="152" t="s">
        <v>782</v>
      </c>
      <c r="BP7" s="152" t="s">
        <v>782</v>
      </c>
      <c r="BQ7" s="152" t="s">
        <v>782</v>
      </c>
      <c r="BR7" s="152" t="s">
        <v>782</v>
      </c>
      <c r="BS7" s="152" t="s">
        <v>782</v>
      </c>
      <c r="BT7" s="152" t="s">
        <v>782</v>
      </c>
      <c r="BU7" s="152" t="s">
        <v>782</v>
      </c>
      <c r="BV7" s="152" t="s">
        <v>782</v>
      </c>
      <c r="BW7" s="152" t="s">
        <v>782</v>
      </c>
      <c r="BX7" s="152" t="s">
        <v>782</v>
      </c>
      <c r="BY7" s="152" t="s">
        <v>782</v>
      </c>
      <c r="BZ7" s="152" t="s">
        <v>782</v>
      </c>
      <c r="CA7" s="152" t="s">
        <v>782</v>
      </c>
      <c r="CB7" s="152" t="s">
        <v>782</v>
      </c>
      <c r="CC7" s="152" t="s">
        <v>782</v>
      </c>
      <c r="CD7" s="152" t="s">
        <v>782</v>
      </c>
      <c r="CE7" s="152" t="s">
        <v>782</v>
      </c>
      <c r="CF7" s="152" t="s">
        <v>782</v>
      </c>
      <c r="CG7" s="152" t="s">
        <v>782</v>
      </c>
      <c r="CH7" s="152" t="s">
        <v>782</v>
      </c>
      <c r="CI7" s="152" t="s">
        <v>782</v>
      </c>
      <c r="CJ7" s="152" t="s">
        <v>782</v>
      </c>
      <c r="CK7" s="152" t="s">
        <v>782</v>
      </c>
      <c r="CL7" s="152" t="s">
        <v>782</v>
      </c>
      <c r="CM7" s="152" t="s">
        <v>782</v>
      </c>
      <c r="CN7" s="152" t="s">
        <v>782</v>
      </c>
      <c r="CO7" s="152" t="s">
        <v>782</v>
      </c>
      <c r="CP7" s="152" t="s">
        <v>782</v>
      </c>
      <c r="CQ7" s="152" t="s">
        <v>782</v>
      </c>
      <c r="CR7" s="152" t="s">
        <v>782</v>
      </c>
      <c r="CS7" s="152" t="s">
        <v>782</v>
      </c>
      <c r="CT7" s="152" t="s">
        <v>782</v>
      </c>
      <c r="CU7" s="152" t="s">
        <v>782</v>
      </c>
      <c r="CV7" s="152" t="s">
        <v>782</v>
      </c>
      <c r="CW7" s="152" t="s">
        <v>782</v>
      </c>
      <c r="CX7" s="152" t="s">
        <v>782</v>
      </c>
      <c r="CY7" s="152" t="s">
        <v>782</v>
      </c>
      <c r="CZ7" s="152" t="s">
        <v>782</v>
      </c>
      <c r="DA7" s="152" t="s">
        <v>782</v>
      </c>
      <c r="DB7" s="152" t="s">
        <v>782</v>
      </c>
      <c r="DC7" s="152" t="s">
        <v>782</v>
      </c>
      <c r="DD7" s="152" t="s">
        <v>782</v>
      </c>
      <c r="DE7" s="152" t="s">
        <v>782</v>
      </c>
      <c r="DF7" s="152" t="s">
        <v>782</v>
      </c>
      <c r="DG7" s="152" t="s">
        <v>782</v>
      </c>
      <c r="DH7" s="152" t="s">
        <v>782</v>
      </c>
      <c r="DI7" s="152" t="s">
        <v>782</v>
      </c>
      <c r="DJ7" s="152" t="s">
        <v>782</v>
      </c>
      <c r="DK7" s="152" t="s">
        <v>782</v>
      </c>
      <c r="DL7" s="152" t="s">
        <v>782</v>
      </c>
      <c r="DM7" s="152" t="s">
        <v>782</v>
      </c>
      <c r="DN7" s="152" t="s">
        <v>782</v>
      </c>
      <c r="DO7" s="152" t="s">
        <v>782</v>
      </c>
      <c r="DP7" s="152" t="s">
        <v>782</v>
      </c>
      <c r="DQ7" s="152" t="s">
        <v>782</v>
      </c>
      <c r="DR7" s="152" t="s">
        <v>782</v>
      </c>
      <c r="DS7" s="152" t="s">
        <v>782</v>
      </c>
      <c r="DT7" s="152" t="s">
        <v>782</v>
      </c>
      <c r="DU7" s="152" t="s">
        <v>782</v>
      </c>
      <c r="DV7" s="152" t="s">
        <v>782</v>
      </c>
      <c r="DW7" s="152" t="s">
        <v>782</v>
      </c>
      <c r="DX7" s="152" t="s">
        <v>782</v>
      </c>
      <c r="DY7" s="152" t="s">
        <v>782</v>
      </c>
      <c r="DZ7" s="152" t="s">
        <v>782</v>
      </c>
      <c r="EA7" s="152" t="s">
        <v>782</v>
      </c>
      <c r="EB7" s="152" t="s">
        <v>782</v>
      </c>
      <c r="EC7" s="152" t="s">
        <v>782</v>
      </c>
      <c r="ED7" s="152" t="s">
        <v>782</v>
      </c>
      <c r="EE7" s="152" t="s">
        <v>782</v>
      </c>
      <c r="EF7" s="152" t="s">
        <v>782</v>
      </c>
      <c r="EG7" s="152" t="s">
        <v>782</v>
      </c>
      <c r="EH7" s="152" t="s">
        <v>782</v>
      </c>
    </row>
    <row r="8" spans="1:138" s="120" customFormat="1" ht="33.75" customHeight="1" x14ac:dyDescent="0.25">
      <c r="A8" s="459" t="s">
        <v>86</v>
      </c>
      <c r="B8" s="459" t="s">
        <v>87</v>
      </c>
      <c r="C8" s="465" t="s">
        <v>1641</v>
      </c>
      <c r="D8" s="459" t="s">
        <v>22</v>
      </c>
      <c r="E8" s="461" t="s">
        <v>785</v>
      </c>
      <c r="F8" s="459" t="s">
        <v>90</v>
      </c>
      <c r="G8" s="459" t="s">
        <v>91</v>
      </c>
      <c r="H8" s="467" t="s">
        <v>786</v>
      </c>
      <c r="I8" s="117" t="s">
        <v>787</v>
      </c>
      <c r="J8" s="179" t="s">
        <v>788</v>
      </c>
      <c r="K8" s="179" t="s">
        <v>789</v>
      </c>
      <c r="L8" s="132">
        <v>0.9</v>
      </c>
      <c r="M8" s="133" t="s">
        <v>782</v>
      </c>
      <c r="N8" s="133" t="s">
        <v>782</v>
      </c>
      <c r="O8" s="179" t="s">
        <v>790</v>
      </c>
      <c r="P8" s="133" t="s">
        <v>782</v>
      </c>
      <c r="Q8" s="133" t="s">
        <v>782</v>
      </c>
      <c r="R8" s="179" t="s">
        <v>790</v>
      </c>
      <c r="S8" s="140">
        <v>0.59</v>
      </c>
      <c r="T8" s="140">
        <v>0.59</v>
      </c>
      <c r="U8" s="179" t="s">
        <v>791</v>
      </c>
      <c r="V8" s="133" t="s">
        <v>782</v>
      </c>
      <c r="W8" s="133" t="s">
        <v>782</v>
      </c>
      <c r="X8" s="195" t="s">
        <v>790</v>
      </c>
      <c r="Y8" s="133" t="s">
        <v>782</v>
      </c>
      <c r="Z8" s="133" t="s">
        <v>782</v>
      </c>
      <c r="AA8" s="195" t="s">
        <v>790</v>
      </c>
      <c r="AB8" s="140">
        <v>0.84</v>
      </c>
      <c r="AC8" s="140">
        <v>0.84</v>
      </c>
      <c r="AD8" s="195" t="s">
        <v>1340</v>
      </c>
      <c r="AE8" s="450" t="s">
        <v>95</v>
      </c>
      <c r="AF8" s="450"/>
      <c r="AG8" s="451"/>
      <c r="AH8" s="145" t="s">
        <v>782</v>
      </c>
      <c r="AI8" s="146" t="s">
        <v>782</v>
      </c>
      <c r="AJ8" s="118" t="s">
        <v>782</v>
      </c>
      <c r="AK8" s="145" t="s">
        <v>782</v>
      </c>
      <c r="AL8" s="146" t="s">
        <v>782</v>
      </c>
      <c r="AM8" s="118" t="s">
        <v>782</v>
      </c>
      <c r="AN8" s="145" t="s">
        <v>782</v>
      </c>
      <c r="AO8" s="146" t="s">
        <v>782</v>
      </c>
      <c r="AP8" s="118" t="s">
        <v>782</v>
      </c>
      <c r="AQ8" s="145" t="s">
        <v>782</v>
      </c>
      <c r="AR8" s="146" t="s">
        <v>782</v>
      </c>
      <c r="AS8" s="118" t="s">
        <v>782</v>
      </c>
      <c r="AT8" s="145" t="s">
        <v>782</v>
      </c>
      <c r="AU8" s="146" t="s">
        <v>782</v>
      </c>
      <c r="AV8" s="118" t="s">
        <v>782</v>
      </c>
      <c r="AW8" s="145" t="s">
        <v>782</v>
      </c>
      <c r="AX8" s="146" t="s">
        <v>782</v>
      </c>
      <c r="AY8" s="118" t="s">
        <v>782</v>
      </c>
      <c r="AZ8" s="179" t="s">
        <v>162</v>
      </c>
      <c r="BA8" s="179" t="s">
        <v>792</v>
      </c>
      <c r="BB8" s="182" t="s">
        <v>782</v>
      </c>
      <c r="BC8" s="182" t="s">
        <v>782</v>
      </c>
      <c r="BD8" s="182" t="s">
        <v>782</v>
      </c>
      <c r="BE8" s="182" t="s">
        <v>782</v>
      </c>
      <c r="BF8" s="182" t="s">
        <v>782</v>
      </c>
      <c r="BG8" s="182" t="s">
        <v>782</v>
      </c>
      <c r="BH8" s="182" t="s">
        <v>782</v>
      </c>
      <c r="BI8" s="182" t="s">
        <v>782</v>
      </c>
      <c r="BJ8" s="182" t="s">
        <v>782</v>
      </c>
      <c r="BK8" s="182" t="s">
        <v>782</v>
      </c>
      <c r="BL8" s="182" t="s">
        <v>782</v>
      </c>
      <c r="BM8" s="182" t="s">
        <v>782</v>
      </c>
      <c r="BN8" s="182" t="s">
        <v>782</v>
      </c>
      <c r="BO8" s="182" t="s">
        <v>782</v>
      </c>
      <c r="BP8" s="182" t="s">
        <v>782</v>
      </c>
      <c r="BQ8" s="182" t="s">
        <v>782</v>
      </c>
      <c r="BR8" s="182" t="s">
        <v>782</v>
      </c>
      <c r="BS8" s="182" t="s">
        <v>782</v>
      </c>
      <c r="BT8" s="182" t="s">
        <v>782</v>
      </c>
      <c r="BU8" s="182" t="s">
        <v>782</v>
      </c>
      <c r="BV8" s="182" t="s">
        <v>782</v>
      </c>
      <c r="BW8" s="182" t="s">
        <v>782</v>
      </c>
      <c r="BX8" s="182" t="s">
        <v>782</v>
      </c>
      <c r="BY8" s="182" t="s">
        <v>782</v>
      </c>
      <c r="BZ8" s="182" t="s">
        <v>782</v>
      </c>
      <c r="CA8" s="182" t="s">
        <v>782</v>
      </c>
      <c r="CB8" s="182" t="s">
        <v>782</v>
      </c>
      <c r="CC8" s="182" t="s">
        <v>782</v>
      </c>
      <c r="CD8" s="182" t="s">
        <v>782</v>
      </c>
      <c r="CE8" s="182" t="s">
        <v>782</v>
      </c>
      <c r="CF8" s="182" t="s">
        <v>782</v>
      </c>
      <c r="CG8" s="182" t="s">
        <v>782</v>
      </c>
      <c r="CH8" s="182" t="s">
        <v>782</v>
      </c>
      <c r="CI8" s="182" t="s">
        <v>782</v>
      </c>
      <c r="CJ8" s="182" t="s">
        <v>782</v>
      </c>
      <c r="CK8" s="182" t="s">
        <v>782</v>
      </c>
      <c r="CL8" s="182" t="s">
        <v>782</v>
      </c>
      <c r="CM8" s="182" t="s">
        <v>782</v>
      </c>
      <c r="CN8" s="182" t="s">
        <v>782</v>
      </c>
      <c r="CO8" s="182" t="s">
        <v>782</v>
      </c>
      <c r="CP8" s="182" t="s">
        <v>782</v>
      </c>
      <c r="CQ8" s="182" t="s">
        <v>782</v>
      </c>
      <c r="CR8" s="182" t="s">
        <v>782</v>
      </c>
      <c r="CS8" s="182" t="s">
        <v>782</v>
      </c>
      <c r="CT8" s="182" t="s">
        <v>782</v>
      </c>
      <c r="CU8" s="182" t="s">
        <v>782</v>
      </c>
      <c r="CV8" s="182" t="s">
        <v>782</v>
      </c>
      <c r="CW8" s="182" t="s">
        <v>782</v>
      </c>
      <c r="CX8" s="182" t="s">
        <v>782</v>
      </c>
      <c r="CY8" s="182" t="s">
        <v>782</v>
      </c>
      <c r="CZ8" s="182" t="s">
        <v>782</v>
      </c>
      <c r="DA8" s="182" t="s">
        <v>782</v>
      </c>
      <c r="DB8" s="182" t="s">
        <v>782</v>
      </c>
      <c r="DC8" s="182" t="s">
        <v>782</v>
      </c>
      <c r="DD8" s="182" t="s">
        <v>782</v>
      </c>
      <c r="DE8" s="182" t="s">
        <v>782</v>
      </c>
      <c r="DF8" s="182" t="s">
        <v>782</v>
      </c>
      <c r="DG8" s="182" t="s">
        <v>782</v>
      </c>
      <c r="DH8" s="182" t="s">
        <v>782</v>
      </c>
      <c r="DI8" s="182" t="s">
        <v>782</v>
      </c>
      <c r="DJ8" s="182" t="s">
        <v>782</v>
      </c>
      <c r="DK8" s="182" t="s">
        <v>782</v>
      </c>
      <c r="DL8" s="182" t="s">
        <v>782</v>
      </c>
      <c r="DM8" s="182" t="s">
        <v>782</v>
      </c>
      <c r="DN8" s="182" t="s">
        <v>782</v>
      </c>
      <c r="DO8" s="182" t="s">
        <v>782</v>
      </c>
      <c r="DP8" s="182" t="s">
        <v>782</v>
      </c>
      <c r="DQ8" s="182" t="s">
        <v>782</v>
      </c>
      <c r="DR8" s="182" t="s">
        <v>782</v>
      </c>
      <c r="DS8" s="182" t="s">
        <v>782</v>
      </c>
      <c r="DT8" s="182" t="s">
        <v>782</v>
      </c>
      <c r="DU8" s="182" t="s">
        <v>782</v>
      </c>
      <c r="DV8" s="182" t="s">
        <v>782</v>
      </c>
      <c r="DW8" s="182" t="s">
        <v>782</v>
      </c>
      <c r="DX8" s="182" t="s">
        <v>782</v>
      </c>
      <c r="DY8" s="182" t="s">
        <v>782</v>
      </c>
      <c r="DZ8" s="182" t="s">
        <v>782</v>
      </c>
      <c r="EA8" s="182" t="s">
        <v>782</v>
      </c>
      <c r="EB8" s="182" t="s">
        <v>782</v>
      </c>
      <c r="EC8" s="182" t="s">
        <v>782</v>
      </c>
      <c r="ED8" s="182" t="s">
        <v>782</v>
      </c>
      <c r="EE8" s="182" t="s">
        <v>782</v>
      </c>
      <c r="EF8" s="182" t="s">
        <v>782</v>
      </c>
      <c r="EG8" s="182" t="s">
        <v>782</v>
      </c>
      <c r="EH8" s="182" t="s">
        <v>782</v>
      </c>
    </row>
    <row r="9" spans="1:138" s="120" customFormat="1" ht="36" customHeight="1" x14ac:dyDescent="0.25">
      <c r="A9" s="452"/>
      <c r="B9" s="452"/>
      <c r="C9" s="452"/>
      <c r="D9" s="452"/>
      <c r="E9" s="462"/>
      <c r="F9" s="452"/>
      <c r="G9" s="452"/>
      <c r="H9" s="468"/>
      <c r="I9" s="181" t="s">
        <v>793</v>
      </c>
      <c r="J9" s="121" t="s">
        <v>794</v>
      </c>
      <c r="K9" s="121" t="s">
        <v>795</v>
      </c>
      <c r="L9" s="134">
        <v>1</v>
      </c>
      <c r="M9" s="135">
        <v>1</v>
      </c>
      <c r="N9" s="135">
        <v>1</v>
      </c>
      <c r="O9" s="121" t="s">
        <v>796</v>
      </c>
      <c r="P9" s="135">
        <v>1</v>
      </c>
      <c r="Q9" s="135">
        <v>1</v>
      </c>
      <c r="R9" s="121" t="s">
        <v>797</v>
      </c>
      <c r="S9" s="135">
        <v>1</v>
      </c>
      <c r="T9" s="135">
        <v>1</v>
      </c>
      <c r="U9" s="121" t="s">
        <v>798</v>
      </c>
      <c r="V9" s="135">
        <v>1</v>
      </c>
      <c r="W9" s="135">
        <v>1</v>
      </c>
      <c r="X9" s="121" t="s">
        <v>1297</v>
      </c>
      <c r="Y9" s="135">
        <v>1</v>
      </c>
      <c r="Z9" s="135">
        <v>1</v>
      </c>
      <c r="AA9" s="121" t="s">
        <v>1318</v>
      </c>
      <c r="AB9" s="135">
        <v>1</v>
      </c>
      <c r="AC9" s="135">
        <v>1</v>
      </c>
      <c r="AD9" s="121" t="s">
        <v>1341</v>
      </c>
      <c r="AE9" s="450" t="s">
        <v>95</v>
      </c>
      <c r="AF9" s="450"/>
      <c r="AG9" s="451"/>
      <c r="AH9" s="147" t="s">
        <v>782</v>
      </c>
      <c r="AI9" s="148" t="s">
        <v>782</v>
      </c>
      <c r="AJ9" s="122" t="s">
        <v>782</v>
      </c>
      <c r="AK9" s="147" t="s">
        <v>782</v>
      </c>
      <c r="AL9" s="148" t="s">
        <v>782</v>
      </c>
      <c r="AM9" s="122" t="s">
        <v>782</v>
      </c>
      <c r="AN9" s="147" t="s">
        <v>782</v>
      </c>
      <c r="AO9" s="148" t="s">
        <v>782</v>
      </c>
      <c r="AP9" s="122" t="s">
        <v>782</v>
      </c>
      <c r="AQ9" s="147" t="s">
        <v>782</v>
      </c>
      <c r="AR9" s="148" t="s">
        <v>782</v>
      </c>
      <c r="AS9" s="122" t="s">
        <v>782</v>
      </c>
      <c r="AT9" s="147" t="s">
        <v>782</v>
      </c>
      <c r="AU9" s="148" t="s">
        <v>782</v>
      </c>
      <c r="AV9" s="122" t="s">
        <v>782</v>
      </c>
      <c r="AW9" s="147" t="s">
        <v>782</v>
      </c>
      <c r="AX9" s="148" t="s">
        <v>782</v>
      </c>
      <c r="AY9" s="122" t="s">
        <v>782</v>
      </c>
      <c r="AZ9" s="121" t="s">
        <v>162</v>
      </c>
      <c r="BA9" s="121" t="s">
        <v>792</v>
      </c>
      <c r="BB9" s="182" t="s">
        <v>782</v>
      </c>
      <c r="BC9" s="182" t="s">
        <v>782</v>
      </c>
      <c r="BD9" s="182" t="s">
        <v>782</v>
      </c>
      <c r="BE9" s="182" t="s">
        <v>782</v>
      </c>
      <c r="BF9" s="182" t="s">
        <v>782</v>
      </c>
      <c r="BG9" s="182" t="s">
        <v>782</v>
      </c>
      <c r="BH9" s="182" t="s">
        <v>782</v>
      </c>
      <c r="BI9" s="182" t="s">
        <v>782</v>
      </c>
      <c r="BJ9" s="182" t="s">
        <v>782</v>
      </c>
      <c r="BK9" s="182" t="s">
        <v>782</v>
      </c>
      <c r="BL9" s="182" t="s">
        <v>782</v>
      </c>
      <c r="BM9" s="182" t="s">
        <v>782</v>
      </c>
      <c r="BN9" s="182" t="s">
        <v>782</v>
      </c>
      <c r="BO9" s="182" t="s">
        <v>782</v>
      </c>
      <c r="BP9" s="182" t="s">
        <v>782</v>
      </c>
      <c r="BQ9" s="182" t="s">
        <v>782</v>
      </c>
      <c r="BR9" s="182" t="s">
        <v>782</v>
      </c>
      <c r="BS9" s="182" t="s">
        <v>782</v>
      </c>
      <c r="BT9" s="182" t="s">
        <v>782</v>
      </c>
      <c r="BU9" s="182" t="s">
        <v>782</v>
      </c>
      <c r="BV9" s="182" t="s">
        <v>782</v>
      </c>
      <c r="BW9" s="182" t="s">
        <v>782</v>
      </c>
      <c r="BX9" s="182" t="s">
        <v>782</v>
      </c>
      <c r="BY9" s="182" t="s">
        <v>782</v>
      </c>
      <c r="BZ9" s="182" t="s">
        <v>782</v>
      </c>
      <c r="CA9" s="182" t="s">
        <v>782</v>
      </c>
      <c r="CB9" s="182" t="s">
        <v>782</v>
      </c>
      <c r="CC9" s="182" t="s">
        <v>782</v>
      </c>
      <c r="CD9" s="182" t="s">
        <v>782</v>
      </c>
      <c r="CE9" s="182" t="s">
        <v>782</v>
      </c>
      <c r="CF9" s="182" t="s">
        <v>782</v>
      </c>
      <c r="CG9" s="182" t="s">
        <v>782</v>
      </c>
      <c r="CH9" s="182" t="s">
        <v>782</v>
      </c>
      <c r="CI9" s="182" t="s">
        <v>782</v>
      </c>
      <c r="CJ9" s="182" t="s">
        <v>782</v>
      </c>
      <c r="CK9" s="182" t="s">
        <v>782</v>
      </c>
      <c r="CL9" s="182" t="s">
        <v>782</v>
      </c>
      <c r="CM9" s="182" t="s">
        <v>782</v>
      </c>
      <c r="CN9" s="182" t="s">
        <v>782</v>
      </c>
      <c r="CO9" s="182" t="s">
        <v>782</v>
      </c>
      <c r="CP9" s="182" t="s">
        <v>782</v>
      </c>
      <c r="CQ9" s="182" t="s">
        <v>782</v>
      </c>
      <c r="CR9" s="182" t="s">
        <v>782</v>
      </c>
      <c r="CS9" s="182" t="s">
        <v>782</v>
      </c>
      <c r="CT9" s="182" t="s">
        <v>782</v>
      </c>
      <c r="CU9" s="182" t="s">
        <v>782</v>
      </c>
      <c r="CV9" s="182" t="s">
        <v>782</v>
      </c>
      <c r="CW9" s="182" t="s">
        <v>782</v>
      </c>
      <c r="CX9" s="182" t="s">
        <v>782</v>
      </c>
      <c r="CY9" s="182" t="s">
        <v>782</v>
      </c>
      <c r="CZ9" s="182" t="s">
        <v>782</v>
      </c>
      <c r="DA9" s="182" t="s">
        <v>782</v>
      </c>
      <c r="DB9" s="182" t="s">
        <v>782</v>
      </c>
      <c r="DC9" s="182" t="s">
        <v>782</v>
      </c>
      <c r="DD9" s="182" t="s">
        <v>782</v>
      </c>
      <c r="DE9" s="182" t="s">
        <v>782</v>
      </c>
      <c r="DF9" s="182" t="s">
        <v>782</v>
      </c>
      <c r="DG9" s="182" t="s">
        <v>782</v>
      </c>
      <c r="DH9" s="182" t="s">
        <v>782</v>
      </c>
      <c r="DI9" s="182" t="s">
        <v>782</v>
      </c>
      <c r="DJ9" s="182" t="s">
        <v>782</v>
      </c>
      <c r="DK9" s="182" t="s">
        <v>782</v>
      </c>
      <c r="DL9" s="182" t="s">
        <v>782</v>
      </c>
      <c r="DM9" s="182" t="s">
        <v>782</v>
      </c>
      <c r="DN9" s="182" t="s">
        <v>782</v>
      </c>
      <c r="DO9" s="182" t="s">
        <v>782</v>
      </c>
      <c r="DP9" s="182" t="s">
        <v>782</v>
      </c>
      <c r="DQ9" s="182" t="s">
        <v>782</v>
      </c>
      <c r="DR9" s="182" t="s">
        <v>782</v>
      </c>
      <c r="DS9" s="182" t="s">
        <v>782</v>
      </c>
      <c r="DT9" s="182" t="s">
        <v>782</v>
      </c>
      <c r="DU9" s="182" t="s">
        <v>782</v>
      </c>
      <c r="DV9" s="182" t="s">
        <v>782</v>
      </c>
      <c r="DW9" s="182" t="s">
        <v>782</v>
      </c>
      <c r="DX9" s="182" t="s">
        <v>782</v>
      </c>
      <c r="DY9" s="182" t="s">
        <v>782</v>
      </c>
      <c r="DZ9" s="182" t="s">
        <v>782</v>
      </c>
      <c r="EA9" s="182" t="s">
        <v>782</v>
      </c>
      <c r="EB9" s="182" t="s">
        <v>782</v>
      </c>
      <c r="EC9" s="182" t="s">
        <v>782</v>
      </c>
      <c r="ED9" s="182" t="s">
        <v>782</v>
      </c>
      <c r="EE9" s="182" t="s">
        <v>782</v>
      </c>
      <c r="EF9" s="182" t="s">
        <v>782</v>
      </c>
      <c r="EG9" s="182" t="s">
        <v>782</v>
      </c>
      <c r="EH9" s="182" t="s">
        <v>782</v>
      </c>
    </row>
    <row r="10" spans="1:138" s="120" customFormat="1" ht="33.75" customHeight="1" x14ac:dyDescent="0.25">
      <c r="A10" s="453"/>
      <c r="B10" s="453"/>
      <c r="C10" s="453"/>
      <c r="D10" s="453"/>
      <c r="E10" s="463"/>
      <c r="F10" s="453"/>
      <c r="G10" s="453"/>
      <c r="H10" s="468"/>
      <c r="I10" s="181" t="s">
        <v>799</v>
      </c>
      <c r="J10" s="121" t="s">
        <v>800</v>
      </c>
      <c r="K10" s="121" t="s">
        <v>801</v>
      </c>
      <c r="L10" s="134">
        <v>1</v>
      </c>
      <c r="M10" s="136" t="s">
        <v>782</v>
      </c>
      <c r="N10" s="136" t="s">
        <v>782</v>
      </c>
      <c r="O10" s="121" t="s">
        <v>790</v>
      </c>
      <c r="P10" s="136" t="s">
        <v>782</v>
      </c>
      <c r="Q10" s="136" t="s">
        <v>782</v>
      </c>
      <c r="R10" s="121" t="s">
        <v>790</v>
      </c>
      <c r="S10" s="135">
        <v>1</v>
      </c>
      <c r="T10" s="135">
        <v>1</v>
      </c>
      <c r="U10" s="121" t="s">
        <v>802</v>
      </c>
      <c r="V10" s="136" t="s">
        <v>782</v>
      </c>
      <c r="W10" s="136" t="s">
        <v>782</v>
      </c>
      <c r="X10" s="121" t="s">
        <v>790</v>
      </c>
      <c r="Y10" s="136" t="s">
        <v>782</v>
      </c>
      <c r="Z10" s="136" t="s">
        <v>782</v>
      </c>
      <c r="AA10" s="121" t="s">
        <v>790</v>
      </c>
      <c r="AB10" s="135">
        <v>1</v>
      </c>
      <c r="AC10" s="135">
        <v>1</v>
      </c>
      <c r="AD10" s="121" t="s">
        <v>1342</v>
      </c>
      <c r="AE10" s="450" t="s">
        <v>95</v>
      </c>
      <c r="AF10" s="450"/>
      <c r="AG10" s="451"/>
      <c r="AH10" s="147" t="s">
        <v>782</v>
      </c>
      <c r="AI10" s="148" t="s">
        <v>782</v>
      </c>
      <c r="AJ10" s="122" t="s">
        <v>782</v>
      </c>
      <c r="AK10" s="147" t="s">
        <v>782</v>
      </c>
      <c r="AL10" s="148" t="s">
        <v>782</v>
      </c>
      <c r="AM10" s="122" t="s">
        <v>782</v>
      </c>
      <c r="AN10" s="147" t="s">
        <v>782</v>
      </c>
      <c r="AO10" s="148" t="s">
        <v>782</v>
      </c>
      <c r="AP10" s="122" t="s">
        <v>782</v>
      </c>
      <c r="AQ10" s="147" t="s">
        <v>782</v>
      </c>
      <c r="AR10" s="148" t="s">
        <v>782</v>
      </c>
      <c r="AS10" s="122" t="s">
        <v>782</v>
      </c>
      <c r="AT10" s="147" t="s">
        <v>782</v>
      </c>
      <c r="AU10" s="148" t="s">
        <v>782</v>
      </c>
      <c r="AV10" s="122" t="s">
        <v>782</v>
      </c>
      <c r="AW10" s="147" t="s">
        <v>782</v>
      </c>
      <c r="AX10" s="148" t="s">
        <v>782</v>
      </c>
      <c r="AY10" s="122" t="s">
        <v>782</v>
      </c>
      <c r="AZ10" s="121" t="s">
        <v>162</v>
      </c>
      <c r="BA10" s="121" t="s">
        <v>792</v>
      </c>
      <c r="BB10" s="182" t="s">
        <v>782</v>
      </c>
      <c r="BC10" s="182" t="s">
        <v>782</v>
      </c>
      <c r="BD10" s="182" t="s">
        <v>782</v>
      </c>
      <c r="BE10" s="182" t="s">
        <v>782</v>
      </c>
      <c r="BF10" s="182" t="s">
        <v>782</v>
      </c>
      <c r="BG10" s="182" t="s">
        <v>782</v>
      </c>
      <c r="BH10" s="182" t="s">
        <v>782</v>
      </c>
      <c r="BI10" s="182" t="s">
        <v>782</v>
      </c>
      <c r="BJ10" s="182" t="s">
        <v>782</v>
      </c>
      <c r="BK10" s="182" t="s">
        <v>782</v>
      </c>
      <c r="BL10" s="182" t="s">
        <v>782</v>
      </c>
      <c r="BM10" s="182" t="s">
        <v>782</v>
      </c>
      <c r="BN10" s="182" t="s">
        <v>782</v>
      </c>
      <c r="BO10" s="182" t="s">
        <v>782</v>
      </c>
      <c r="BP10" s="182" t="s">
        <v>782</v>
      </c>
      <c r="BQ10" s="182" t="s">
        <v>782</v>
      </c>
      <c r="BR10" s="182" t="s">
        <v>782</v>
      </c>
      <c r="BS10" s="182" t="s">
        <v>782</v>
      </c>
      <c r="BT10" s="182" t="s">
        <v>782</v>
      </c>
      <c r="BU10" s="182" t="s">
        <v>782</v>
      </c>
      <c r="BV10" s="182" t="s">
        <v>782</v>
      </c>
      <c r="BW10" s="182" t="s">
        <v>782</v>
      </c>
      <c r="BX10" s="182" t="s">
        <v>782</v>
      </c>
      <c r="BY10" s="182" t="s">
        <v>782</v>
      </c>
      <c r="BZ10" s="182" t="s">
        <v>782</v>
      </c>
      <c r="CA10" s="182" t="s">
        <v>782</v>
      </c>
      <c r="CB10" s="182" t="s">
        <v>782</v>
      </c>
      <c r="CC10" s="182" t="s">
        <v>782</v>
      </c>
      <c r="CD10" s="182" t="s">
        <v>782</v>
      </c>
      <c r="CE10" s="182" t="s">
        <v>782</v>
      </c>
      <c r="CF10" s="182" t="s">
        <v>782</v>
      </c>
      <c r="CG10" s="182" t="s">
        <v>782</v>
      </c>
      <c r="CH10" s="182" t="s">
        <v>782</v>
      </c>
      <c r="CI10" s="182" t="s">
        <v>782</v>
      </c>
      <c r="CJ10" s="182" t="s">
        <v>782</v>
      </c>
      <c r="CK10" s="182" t="s">
        <v>782</v>
      </c>
      <c r="CL10" s="182" t="s">
        <v>782</v>
      </c>
      <c r="CM10" s="182" t="s">
        <v>782</v>
      </c>
      <c r="CN10" s="182" t="s">
        <v>782</v>
      </c>
      <c r="CO10" s="182" t="s">
        <v>782</v>
      </c>
      <c r="CP10" s="182" t="s">
        <v>782</v>
      </c>
      <c r="CQ10" s="182" t="s">
        <v>782</v>
      </c>
      <c r="CR10" s="182" t="s">
        <v>782</v>
      </c>
      <c r="CS10" s="182" t="s">
        <v>782</v>
      </c>
      <c r="CT10" s="182" t="s">
        <v>782</v>
      </c>
      <c r="CU10" s="182" t="s">
        <v>782</v>
      </c>
      <c r="CV10" s="182" t="s">
        <v>782</v>
      </c>
      <c r="CW10" s="182" t="s">
        <v>782</v>
      </c>
      <c r="CX10" s="182" t="s">
        <v>782</v>
      </c>
      <c r="CY10" s="182" t="s">
        <v>782</v>
      </c>
      <c r="CZ10" s="182" t="s">
        <v>782</v>
      </c>
      <c r="DA10" s="182" t="s">
        <v>782</v>
      </c>
      <c r="DB10" s="182" t="s">
        <v>782</v>
      </c>
      <c r="DC10" s="182" t="s">
        <v>782</v>
      </c>
      <c r="DD10" s="182" t="s">
        <v>782</v>
      </c>
      <c r="DE10" s="182" t="s">
        <v>782</v>
      </c>
      <c r="DF10" s="182" t="s">
        <v>782</v>
      </c>
      <c r="DG10" s="182" t="s">
        <v>782</v>
      </c>
      <c r="DH10" s="182" t="s">
        <v>782</v>
      </c>
      <c r="DI10" s="182" t="s">
        <v>782</v>
      </c>
      <c r="DJ10" s="182" t="s">
        <v>782</v>
      </c>
      <c r="DK10" s="182" t="s">
        <v>782</v>
      </c>
      <c r="DL10" s="182" t="s">
        <v>782</v>
      </c>
      <c r="DM10" s="182" t="s">
        <v>782</v>
      </c>
      <c r="DN10" s="182" t="s">
        <v>782</v>
      </c>
      <c r="DO10" s="182" t="s">
        <v>782</v>
      </c>
      <c r="DP10" s="182" t="s">
        <v>782</v>
      </c>
      <c r="DQ10" s="182" t="s">
        <v>782</v>
      </c>
      <c r="DR10" s="182" t="s">
        <v>782</v>
      </c>
      <c r="DS10" s="182" t="s">
        <v>782</v>
      </c>
      <c r="DT10" s="182" t="s">
        <v>782</v>
      </c>
      <c r="DU10" s="182" t="s">
        <v>782</v>
      </c>
      <c r="DV10" s="182" t="s">
        <v>782</v>
      </c>
      <c r="DW10" s="182" t="s">
        <v>782</v>
      </c>
      <c r="DX10" s="182" t="s">
        <v>782</v>
      </c>
      <c r="DY10" s="182" t="s">
        <v>782</v>
      </c>
      <c r="DZ10" s="182" t="s">
        <v>782</v>
      </c>
      <c r="EA10" s="182" t="s">
        <v>782</v>
      </c>
      <c r="EB10" s="182" t="s">
        <v>782</v>
      </c>
      <c r="EC10" s="182" t="s">
        <v>782</v>
      </c>
      <c r="ED10" s="182" t="s">
        <v>782</v>
      </c>
      <c r="EE10" s="182" t="s">
        <v>782</v>
      </c>
      <c r="EF10" s="182" t="s">
        <v>782</v>
      </c>
      <c r="EG10" s="182" t="s">
        <v>782</v>
      </c>
      <c r="EH10" s="182" t="s">
        <v>782</v>
      </c>
    </row>
    <row r="11" spans="1:138" s="120" customFormat="1" ht="53.25" customHeight="1" x14ac:dyDescent="0.25">
      <c r="A11" s="124"/>
      <c r="B11" s="124"/>
      <c r="C11" s="124"/>
      <c r="D11" s="124"/>
      <c r="E11" s="124"/>
      <c r="F11" s="124"/>
      <c r="G11" s="124"/>
      <c r="H11" s="468"/>
      <c r="I11" s="124"/>
      <c r="J11" s="124"/>
      <c r="K11" s="124"/>
      <c r="L11" s="137"/>
      <c r="M11" s="138" t="s">
        <v>164</v>
      </c>
      <c r="N11" s="139" t="s">
        <v>803</v>
      </c>
      <c r="O11" s="125"/>
      <c r="P11" s="138" t="s">
        <v>164</v>
      </c>
      <c r="Q11" s="139" t="s">
        <v>803</v>
      </c>
      <c r="R11" s="125"/>
      <c r="S11" s="138" t="s">
        <v>164</v>
      </c>
      <c r="T11" s="139" t="s">
        <v>804</v>
      </c>
      <c r="U11" s="125"/>
      <c r="V11" s="138" t="s">
        <v>164</v>
      </c>
      <c r="W11" s="206">
        <f>+AVERAGE(W8:W10)</f>
        <v>1</v>
      </c>
      <c r="X11" s="125"/>
      <c r="Y11" s="138" t="s">
        <v>164</v>
      </c>
      <c r="Z11" s="206">
        <f>+AVERAGE(Z8:Z10)</f>
        <v>1</v>
      </c>
      <c r="AA11" s="125"/>
      <c r="AB11" s="138" t="s">
        <v>164</v>
      </c>
      <c r="AC11" s="206">
        <f>+AVERAGE(AC8:AC10)</f>
        <v>0.94666666666666666</v>
      </c>
      <c r="AD11" s="125"/>
      <c r="AE11" s="124"/>
      <c r="AF11" s="124"/>
      <c r="AG11" s="137"/>
      <c r="AH11" s="138" t="s">
        <v>165</v>
      </c>
      <c r="AI11" s="139" t="s">
        <v>11</v>
      </c>
      <c r="AJ11" s="125"/>
      <c r="AK11" s="138" t="s">
        <v>165</v>
      </c>
      <c r="AL11" s="139" t="s">
        <v>11</v>
      </c>
      <c r="AM11" s="125"/>
      <c r="AN11" s="138" t="s">
        <v>165</v>
      </c>
      <c r="AO11" s="139" t="s">
        <v>11</v>
      </c>
      <c r="AP11" s="126" t="s">
        <v>782</v>
      </c>
      <c r="AQ11" s="138" t="s">
        <v>165</v>
      </c>
      <c r="AR11" s="139" t="s">
        <v>11</v>
      </c>
      <c r="AS11" s="125"/>
      <c r="AT11" s="138" t="s">
        <v>165</v>
      </c>
      <c r="AU11" s="139" t="s">
        <v>11</v>
      </c>
      <c r="AV11" s="125"/>
      <c r="AW11" s="138" t="s">
        <v>165</v>
      </c>
      <c r="AX11" s="139" t="s">
        <v>11</v>
      </c>
      <c r="AY11" s="126" t="s">
        <v>782</v>
      </c>
      <c r="AZ11" s="126" t="s">
        <v>782</v>
      </c>
      <c r="BA11" s="126" t="s">
        <v>782</v>
      </c>
      <c r="BB11" s="126" t="s">
        <v>782</v>
      </c>
      <c r="BC11" s="126" t="s">
        <v>782</v>
      </c>
      <c r="BD11" s="126" t="s">
        <v>782</v>
      </c>
      <c r="BE11" s="126" t="s">
        <v>782</v>
      </c>
      <c r="BF11" s="126" t="s">
        <v>782</v>
      </c>
      <c r="BG11" s="126" t="s">
        <v>782</v>
      </c>
      <c r="BH11" s="126" t="s">
        <v>782</v>
      </c>
      <c r="BI11" s="126" t="s">
        <v>782</v>
      </c>
      <c r="BJ11" s="126" t="s">
        <v>782</v>
      </c>
      <c r="BK11" s="126" t="s">
        <v>782</v>
      </c>
      <c r="BL11" s="126" t="s">
        <v>782</v>
      </c>
      <c r="BM11" s="126" t="s">
        <v>782</v>
      </c>
      <c r="BN11" s="126" t="s">
        <v>782</v>
      </c>
      <c r="BO11" s="126" t="s">
        <v>782</v>
      </c>
      <c r="BP11" s="126" t="s">
        <v>782</v>
      </c>
      <c r="BQ11" s="126" t="s">
        <v>782</v>
      </c>
      <c r="BR11" s="126" t="s">
        <v>782</v>
      </c>
      <c r="BS11" s="126" t="s">
        <v>782</v>
      </c>
      <c r="BT11" s="126" t="s">
        <v>782</v>
      </c>
      <c r="BU11" s="126" t="s">
        <v>782</v>
      </c>
      <c r="BV11" s="126" t="s">
        <v>782</v>
      </c>
      <c r="BW11" s="126" t="s">
        <v>782</v>
      </c>
      <c r="BX11" s="126" t="s">
        <v>782</v>
      </c>
      <c r="BY11" s="126" t="s">
        <v>782</v>
      </c>
      <c r="BZ11" s="126" t="s">
        <v>782</v>
      </c>
      <c r="CA11" s="126" t="s">
        <v>782</v>
      </c>
      <c r="CB11" s="126" t="s">
        <v>782</v>
      </c>
      <c r="CC11" s="126" t="s">
        <v>782</v>
      </c>
      <c r="CD11" s="126" t="s">
        <v>782</v>
      </c>
      <c r="CE11" s="126" t="s">
        <v>782</v>
      </c>
      <c r="CF11" s="126" t="s">
        <v>782</v>
      </c>
      <c r="CG11" s="126" t="s">
        <v>782</v>
      </c>
      <c r="CH11" s="126" t="s">
        <v>782</v>
      </c>
      <c r="CI11" s="126" t="s">
        <v>782</v>
      </c>
      <c r="CJ11" s="126" t="s">
        <v>782</v>
      </c>
      <c r="CK11" s="126" t="s">
        <v>782</v>
      </c>
      <c r="CL11" s="126" t="s">
        <v>782</v>
      </c>
      <c r="CM11" s="126" t="s">
        <v>782</v>
      </c>
      <c r="CN11" s="126" t="s">
        <v>782</v>
      </c>
      <c r="CO11" s="126" t="s">
        <v>782</v>
      </c>
      <c r="CP11" s="126" t="s">
        <v>782</v>
      </c>
      <c r="CQ11" s="126" t="s">
        <v>782</v>
      </c>
      <c r="CR11" s="126" t="s">
        <v>782</v>
      </c>
      <c r="CS11" s="126" t="s">
        <v>782</v>
      </c>
      <c r="CT11" s="126" t="s">
        <v>782</v>
      </c>
      <c r="CU11" s="126" t="s">
        <v>782</v>
      </c>
      <c r="CV11" s="126" t="s">
        <v>782</v>
      </c>
      <c r="CW11" s="126" t="s">
        <v>782</v>
      </c>
      <c r="CX11" s="126" t="s">
        <v>782</v>
      </c>
      <c r="CY11" s="126" t="s">
        <v>782</v>
      </c>
      <c r="CZ11" s="126" t="s">
        <v>782</v>
      </c>
      <c r="DA11" s="126" t="s">
        <v>782</v>
      </c>
      <c r="DB11" s="126" t="s">
        <v>782</v>
      </c>
      <c r="DC11" s="126" t="s">
        <v>782</v>
      </c>
      <c r="DD11" s="126" t="s">
        <v>782</v>
      </c>
      <c r="DE11" s="126" t="s">
        <v>782</v>
      </c>
      <c r="DF11" s="126" t="s">
        <v>782</v>
      </c>
      <c r="DG11" s="126" t="s">
        <v>782</v>
      </c>
      <c r="DH11" s="126" t="s">
        <v>782</v>
      </c>
      <c r="DI11" s="126" t="s">
        <v>782</v>
      </c>
      <c r="DJ11" s="126" t="s">
        <v>782</v>
      </c>
      <c r="DK11" s="126" t="s">
        <v>782</v>
      </c>
      <c r="DL11" s="126" t="s">
        <v>782</v>
      </c>
      <c r="DM11" s="126" t="s">
        <v>782</v>
      </c>
      <c r="DN11" s="126" t="s">
        <v>782</v>
      </c>
      <c r="DO11" s="126" t="s">
        <v>782</v>
      </c>
      <c r="DP11" s="126" t="s">
        <v>782</v>
      </c>
      <c r="DQ11" s="126" t="s">
        <v>782</v>
      </c>
      <c r="DR11" s="126" t="s">
        <v>782</v>
      </c>
      <c r="DS11" s="126" t="s">
        <v>782</v>
      </c>
      <c r="DT11" s="126" t="s">
        <v>782</v>
      </c>
      <c r="DU11" s="126" t="s">
        <v>782</v>
      </c>
      <c r="DV11" s="126" t="s">
        <v>782</v>
      </c>
      <c r="DW11" s="126" t="s">
        <v>782</v>
      </c>
      <c r="DX11" s="126" t="s">
        <v>782</v>
      </c>
      <c r="DY11" s="126" t="s">
        <v>782</v>
      </c>
      <c r="DZ11" s="126" t="s">
        <v>782</v>
      </c>
      <c r="EA11" s="126" t="s">
        <v>782</v>
      </c>
      <c r="EB11" s="126" t="s">
        <v>782</v>
      </c>
      <c r="EC11" s="126" t="s">
        <v>782</v>
      </c>
      <c r="ED11" s="126" t="s">
        <v>782</v>
      </c>
      <c r="EE11" s="124"/>
      <c r="EF11" s="124"/>
      <c r="EG11" s="124"/>
      <c r="EH11" s="124"/>
    </row>
    <row r="12" spans="1:138" s="120" customFormat="1" ht="33.75" customHeight="1" x14ac:dyDescent="0.25">
      <c r="A12" s="459" t="s">
        <v>86</v>
      </c>
      <c r="B12" s="459" t="s">
        <v>87</v>
      </c>
      <c r="C12" s="465" t="s">
        <v>1642</v>
      </c>
      <c r="D12" s="459" t="s">
        <v>22</v>
      </c>
      <c r="E12" s="461" t="s">
        <v>805</v>
      </c>
      <c r="F12" s="179" t="s">
        <v>806</v>
      </c>
      <c r="G12" s="179" t="s">
        <v>807</v>
      </c>
      <c r="H12" s="468"/>
      <c r="I12" s="117" t="s">
        <v>808</v>
      </c>
      <c r="J12" s="179" t="s">
        <v>809</v>
      </c>
      <c r="K12" s="179" t="s">
        <v>810</v>
      </c>
      <c r="L12" s="132">
        <v>0.92</v>
      </c>
      <c r="M12" s="132">
        <v>0.05</v>
      </c>
      <c r="N12" s="140">
        <v>0.05</v>
      </c>
      <c r="O12" s="179" t="s">
        <v>811</v>
      </c>
      <c r="P12" s="140">
        <v>0.1</v>
      </c>
      <c r="Q12" s="140">
        <v>0.1</v>
      </c>
      <c r="R12" s="179" t="s">
        <v>812</v>
      </c>
      <c r="S12" s="140">
        <v>0.17</v>
      </c>
      <c r="T12" s="140">
        <v>0.18</v>
      </c>
      <c r="U12" s="179" t="s">
        <v>813</v>
      </c>
      <c r="V12" s="200">
        <v>0.25324400000000002</v>
      </c>
      <c r="W12" s="140">
        <v>0.27526521739130438</v>
      </c>
      <c r="X12" s="195" t="s">
        <v>1298</v>
      </c>
      <c r="Y12" s="140">
        <v>0.343558361723595</v>
      </c>
      <c r="Z12" s="140">
        <v>0.37343300187347278</v>
      </c>
      <c r="AA12" s="195" t="s">
        <v>1319</v>
      </c>
      <c r="AB12" s="140">
        <v>0.40227240714442269</v>
      </c>
      <c r="AC12" s="140">
        <v>0.43725261646132901</v>
      </c>
      <c r="AD12" s="195" t="s">
        <v>1343</v>
      </c>
      <c r="AE12" s="179" t="s">
        <v>814</v>
      </c>
      <c r="AF12" s="179" t="s">
        <v>815</v>
      </c>
      <c r="AG12" s="132">
        <v>0.92</v>
      </c>
      <c r="AH12" s="140">
        <v>0.04</v>
      </c>
      <c r="AI12" s="140">
        <v>0.05</v>
      </c>
      <c r="AJ12" s="179" t="s">
        <v>816</v>
      </c>
      <c r="AK12" s="140">
        <v>0.08</v>
      </c>
      <c r="AL12" s="140">
        <v>0.09</v>
      </c>
      <c r="AM12" s="179" t="s">
        <v>817</v>
      </c>
      <c r="AN12" s="140">
        <v>0.15</v>
      </c>
      <c r="AO12" s="140">
        <v>0.16</v>
      </c>
      <c r="AP12" s="179" t="s">
        <v>818</v>
      </c>
      <c r="AQ12" s="140">
        <v>0.22561999999999999</v>
      </c>
      <c r="AR12" s="140">
        <v>0.24523913043478257</v>
      </c>
      <c r="AS12" s="195" t="s">
        <v>1317</v>
      </c>
      <c r="AT12" s="140">
        <v>0.31556746384014561</v>
      </c>
      <c r="AU12" s="140">
        <v>0.34300811286972349</v>
      </c>
      <c r="AV12" s="195" t="s">
        <v>1332</v>
      </c>
      <c r="AW12" s="140">
        <v>0.37224767692119998</v>
      </c>
      <c r="AX12" s="140">
        <v>0.4046170401317391</v>
      </c>
      <c r="AY12" s="195" t="s">
        <v>1356</v>
      </c>
      <c r="AZ12" s="179" t="s">
        <v>262</v>
      </c>
      <c r="BA12" s="179" t="s">
        <v>762</v>
      </c>
      <c r="BB12" s="182" t="s">
        <v>782</v>
      </c>
      <c r="BC12" s="182" t="s">
        <v>782</v>
      </c>
      <c r="BD12" s="182" t="s">
        <v>782</v>
      </c>
      <c r="BE12" s="182" t="s">
        <v>782</v>
      </c>
      <c r="BF12" s="182" t="s">
        <v>782</v>
      </c>
      <c r="BG12" s="182" t="s">
        <v>782</v>
      </c>
      <c r="BH12" s="182" t="s">
        <v>782</v>
      </c>
      <c r="BI12" s="182" t="s">
        <v>782</v>
      </c>
      <c r="BJ12" s="182" t="s">
        <v>782</v>
      </c>
      <c r="BK12" s="182" t="s">
        <v>782</v>
      </c>
      <c r="BL12" s="182" t="s">
        <v>782</v>
      </c>
      <c r="BM12" s="182" t="s">
        <v>782</v>
      </c>
      <c r="BN12" s="182" t="s">
        <v>782</v>
      </c>
      <c r="BO12" s="182" t="s">
        <v>782</v>
      </c>
      <c r="BP12" s="182" t="s">
        <v>782</v>
      </c>
      <c r="BQ12" s="182" t="s">
        <v>782</v>
      </c>
      <c r="BR12" s="182" t="s">
        <v>782</v>
      </c>
      <c r="BS12" s="182" t="s">
        <v>782</v>
      </c>
      <c r="BT12" s="182" t="s">
        <v>782</v>
      </c>
      <c r="BU12" s="182" t="s">
        <v>782</v>
      </c>
      <c r="BV12" s="182" t="s">
        <v>782</v>
      </c>
      <c r="BW12" s="182" t="s">
        <v>782</v>
      </c>
      <c r="BX12" s="182" t="s">
        <v>782</v>
      </c>
      <c r="BY12" s="182" t="s">
        <v>782</v>
      </c>
      <c r="BZ12" s="182" t="s">
        <v>782</v>
      </c>
      <c r="CA12" s="182" t="s">
        <v>782</v>
      </c>
      <c r="CB12" s="182" t="s">
        <v>782</v>
      </c>
      <c r="CC12" s="182" t="s">
        <v>782</v>
      </c>
      <c r="CD12" s="182" t="s">
        <v>782</v>
      </c>
      <c r="CE12" s="182" t="s">
        <v>782</v>
      </c>
      <c r="CF12" s="182" t="s">
        <v>782</v>
      </c>
      <c r="CG12" s="182" t="s">
        <v>782</v>
      </c>
      <c r="CH12" s="182" t="s">
        <v>782</v>
      </c>
      <c r="CI12" s="182" t="s">
        <v>782</v>
      </c>
      <c r="CJ12" s="182" t="s">
        <v>782</v>
      </c>
      <c r="CK12" s="182" t="s">
        <v>782</v>
      </c>
      <c r="CL12" s="182" t="s">
        <v>782</v>
      </c>
      <c r="CM12" s="182" t="s">
        <v>782</v>
      </c>
      <c r="CN12" s="182" t="s">
        <v>782</v>
      </c>
      <c r="CO12" s="182" t="s">
        <v>782</v>
      </c>
      <c r="CP12" s="182" t="s">
        <v>782</v>
      </c>
      <c r="CQ12" s="182" t="s">
        <v>782</v>
      </c>
      <c r="CR12" s="182" t="s">
        <v>782</v>
      </c>
      <c r="CS12" s="182" t="s">
        <v>782</v>
      </c>
      <c r="CT12" s="182" t="s">
        <v>782</v>
      </c>
      <c r="CU12" s="182" t="s">
        <v>782</v>
      </c>
      <c r="CV12" s="182" t="s">
        <v>782</v>
      </c>
      <c r="CW12" s="182" t="s">
        <v>782</v>
      </c>
      <c r="CX12" s="182" t="s">
        <v>782</v>
      </c>
      <c r="CY12" s="182" t="s">
        <v>782</v>
      </c>
      <c r="CZ12" s="182" t="s">
        <v>782</v>
      </c>
      <c r="DA12" s="182" t="s">
        <v>782</v>
      </c>
      <c r="DB12" s="182" t="s">
        <v>782</v>
      </c>
      <c r="DC12" s="182" t="s">
        <v>782</v>
      </c>
      <c r="DD12" s="182" t="s">
        <v>782</v>
      </c>
      <c r="DE12" s="182" t="s">
        <v>782</v>
      </c>
      <c r="DF12" s="182" t="s">
        <v>782</v>
      </c>
      <c r="DG12" s="182" t="s">
        <v>782</v>
      </c>
      <c r="DH12" s="182" t="s">
        <v>782</v>
      </c>
      <c r="DI12" s="182" t="s">
        <v>782</v>
      </c>
      <c r="DJ12" s="182" t="s">
        <v>782</v>
      </c>
      <c r="DK12" s="182" t="s">
        <v>782</v>
      </c>
      <c r="DL12" s="182" t="s">
        <v>782</v>
      </c>
      <c r="DM12" s="182" t="s">
        <v>782</v>
      </c>
      <c r="DN12" s="182" t="s">
        <v>782</v>
      </c>
      <c r="DO12" s="182" t="s">
        <v>782</v>
      </c>
      <c r="DP12" s="182" t="s">
        <v>782</v>
      </c>
      <c r="DQ12" s="182" t="s">
        <v>782</v>
      </c>
      <c r="DR12" s="182" t="s">
        <v>782</v>
      </c>
      <c r="DS12" s="182" t="s">
        <v>782</v>
      </c>
      <c r="DT12" s="182" t="s">
        <v>782</v>
      </c>
      <c r="DU12" s="182" t="s">
        <v>782</v>
      </c>
      <c r="DV12" s="182" t="s">
        <v>782</v>
      </c>
      <c r="DW12" s="182" t="s">
        <v>782</v>
      </c>
      <c r="DX12" s="182" t="s">
        <v>782</v>
      </c>
      <c r="DY12" s="182" t="s">
        <v>782</v>
      </c>
      <c r="DZ12" s="182" t="s">
        <v>782</v>
      </c>
      <c r="EA12" s="182" t="s">
        <v>782</v>
      </c>
      <c r="EB12" s="182" t="s">
        <v>782</v>
      </c>
      <c r="EC12" s="182" t="s">
        <v>782</v>
      </c>
      <c r="ED12" s="182" t="s">
        <v>782</v>
      </c>
      <c r="EE12" s="182" t="s">
        <v>782</v>
      </c>
      <c r="EF12" s="182" t="s">
        <v>782</v>
      </c>
      <c r="EG12" s="182" t="s">
        <v>782</v>
      </c>
      <c r="EH12" s="182" t="s">
        <v>782</v>
      </c>
    </row>
    <row r="13" spans="1:138" s="3" customFormat="1" ht="75" customHeight="1" x14ac:dyDescent="0.25">
      <c r="A13" s="452"/>
      <c r="B13" s="452"/>
      <c r="C13" s="452"/>
      <c r="D13" s="452"/>
      <c r="E13" s="462"/>
      <c r="F13" s="452" t="s">
        <v>90</v>
      </c>
      <c r="G13" s="452" t="s">
        <v>91</v>
      </c>
      <c r="H13" s="468"/>
      <c r="I13" s="181" t="s">
        <v>819</v>
      </c>
      <c r="J13" s="121" t="s">
        <v>820</v>
      </c>
      <c r="K13" s="121" t="s">
        <v>821</v>
      </c>
      <c r="L13" s="134">
        <v>0.98</v>
      </c>
      <c r="M13" s="134">
        <v>0.03</v>
      </c>
      <c r="N13" s="135">
        <v>0.03</v>
      </c>
      <c r="O13" s="121" t="s">
        <v>822</v>
      </c>
      <c r="P13" s="135">
        <v>0.1</v>
      </c>
      <c r="Q13" s="135">
        <v>0.1</v>
      </c>
      <c r="R13" s="121" t="s">
        <v>823</v>
      </c>
      <c r="S13" s="135">
        <v>0.2</v>
      </c>
      <c r="T13" s="135">
        <v>0.2</v>
      </c>
      <c r="U13" s="121" t="s">
        <v>824</v>
      </c>
      <c r="V13" s="201">
        <v>0.28185814997502667</v>
      </c>
      <c r="W13" s="135">
        <v>0.28761035711737415</v>
      </c>
      <c r="X13" s="121" t="s">
        <v>1299</v>
      </c>
      <c r="Y13" s="135">
        <v>0.37266999584578181</v>
      </c>
      <c r="Z13" s="135">
        <v>0.38027550596508347</v>
      </c>
      <c r="AA13" s="121" t="s">
        <v>1320</v>
      </c>
      <c r="AB13" s="135">
        <v>0.46308784264857261</v>
      </c>
      <c r="AC13" s="135">
        <v>0.47253861494752308</v>
      </c>
      <c r="AD13" s="121" t="s">
        <v>1344</v>
      </c>
      <c r="AE13" s="121" t="s">
        <v>825</v>
      </c>
      <c r="AF13" s="121" t="s">
        <v>826</v>
      </c>
      <c r="AG13" s="134">
        <v>0.98</v>
      </c>
      <c r="AH13" s="135">
        <v>0.01</v>
      </c>
      <c r="AI13" s="135">
        <v>0.01</v>
      </c>
      <c r="AJ13" s="121" t="s">
        <v>827</v>
      </c>
      <c r="AK13" s="135">
        <v>0.06</v>
      </c>
      <c r="AL13" s="135">
        <v>0.06</v>
      </c>
      <c r="AM13" s="121" t="s">
        <v>828</v>
      </c>
      <c r="AN13" s="135">
        <v>0.12</v>
      </c>
      <c r="AO13" s="135">
        <v>0.13</v>
      </c>
      <c r="AP13" s="121" t="s">
        <v>829</v>
      </c>
      <c r="AQ13" s="135">
        <v>0.189508101159786</v>
      </c>
      <c r="AR13" s="135">
        <v>0.19337561342835308</v>
      </c>
      <c r="AS13" s="121" t="s">
        <v>1311</v>
      </c>
      <c r="AT13" s="135">
        <v>0.26003949538479515</v>
      </c>
      <c r="AU13" s="135">
        <v>0.26534642386203589</v>
      </c>
      <c r="AV13" s="121" t="s">
        <v>1333</v>
      </c>
      <c r="AW13" s="135">
        <v>0.334491177050319</v>
      </c>
      <c r="AX13" s="135">
        <v>0.34131752760236633</v>
      </c>
      <c r="AY13" s="121" t="s">
        <v>1357</v>
      </c>
      <c r="AZ13" s="121" t="s">
        <v>262</v>
      </c>
      <c r="BA13" s="121" t="s">
        <v>762</v>
      </c>
      <c r="BB13" s="182" t="s">
        <v>782</v>
      </c>
      <c r="BC13" s="182" t="s">
        <v>782</v>
      </c>
      <c r="BD13" s="182" t="s">
        <v>782</v>
      </c>
      <c r="BE13" s="182" t="s">
        <v>782</v>
      </c>
      <c r="BF13" s="182" t="s">
        <v>782</v>
      </c>
      <c r="BG13" s="182" t="s">
        <v>782</v>
      </c>
      <c r="BH13" s="182" t="s">
        <v>782</v>
      </c>
      <c r="BI13" s="182" t="s">
        <v>782</v>
      </c>
      <c r="BJ13" s="182" t="s">
        <v>782</v>
      </c>
      <c r="BK13" s="182" t="s">
        <v>782</v>
      </c>
      <c r="BL13" s="182" t="s">
        <v>782</v>
      </c>
      <c r="BM13" s="182" t="s">
        <v>782</v>
      </c>
      <c r="BN13" s="182" t="s">
        <v>782</v>
      </c>
      <c r="BO13" s="182" t="s">
        <v>782</v>
      </c>
      <c r="BP13" s="182" t="s">
        <v>782</v>
      </c>
      <c r="BQ13" s="182" t="s">
        <v>782</v>
      </c>
      <c r="BR13" s="182" t="s">
        <v>782</v>
      </c>
      <c r="BS13" s="182" t="s">
        <v>782</v>
      </c>
      <c r="BT13" s="182" t="s">
        <v>782</v>
      </c>
      <c r="BU13" s="182" t="s">
        <v>782</v>
      </c>
      <c r="BV13" s="182" t="s">
        <v>782</v>
      </c>
      <c r="BW13" s="182" t="s">
        <v>782</v>
      </c>
      <c r="BX13" s="182" t="s">
        <v>782</v>
      </c>
      <c r="BY13" s="182" t="s">
        <v>782</v>
      </c>
      <c r="BZ13" s="182" t="s">
        <v>782</v>
      </c>
      <c r="CA13" s="182" t="s">
        <v>782</v>
      </c>
      <c r="CB13" s="182" t="s">
        <v>782</v>
      </c>
      <c r="CC13" s="182" t="s">
        <v>782</v>
      </c>
      <c r="CD13" s="182" t="s">
        <v>782</v>
      </c>
      <c r="CE13" s="182" t="s">
        <v>782</v>
      </c>
      <c r="CF13" s="182" t="s">
        <v>782</v>
      </c>
      <c r="CG13" s="182" t="s">
        <v>782</v>
      </c>
      <c r="CH13" s="182" t="s">
        <v>782</v>
      </c>
      <c r="CI13" s="182" t="s">
        <v>782</v>
      </c>
      <c r="CJ13" s="182" t="s">
        <v>782</v>
      </c>
      <c r="CK13" s="182" t="s">
        <v>782</v>
      </c>
      <c r="CL13" s="182" t="s">
        <v>782</v>
      </c>
      <c r="CM13" s="182" t="s">
        <v>782</v>
      </c>
      <c r="CN13" s="182" t="s">
        <v>782</v>
      </c>
      <c r="CO13" s="182" t="s">
        <v>782</v>
      </c>
      <c r="CP13" s="182" t="s">
        <v>782</v>
      </c>
      <c r="CQ13" s="182" t="s">
        <v>782</v>
      </c>
      <c r="CR13" s="182" t="s">
        <v>782</v>
      </c>
      <c r="CS13" s="182" t="s">
        <v>782</v>
      </c>
      <c r="CT13" s="182" t="s">
        <v>782</v>
      </c>
      <c r="CU13" s="182" t="s">
        <v>782</v>
      </c>
      <c r="CV13" s="182" t="s">
        <v>782</v>
      </c>
      <c r="CW13" s="182" t="s">
        <v>782</v>
      </c>
      <c r="CX13" s="182" t="s">
        <v>782</v>
      </c>
      <c r="CY13" s="182" t="s">
        <v>782</v>
      </c>
      <c r="CZ13" s="182" t="s">
        <v>782</v>
      </c>
      <c r="DA13" s="182" t="s">
        <v>782</v>
      </c>
      <c r="DB13" s="182" t="s">
        <v>782</v>
      </c>
      <c r="DC13" s="182" t="s">
        <v>782</v>
      </c>
      <c r="DD13" s="182" t="s">
        <v>782</v>
      </c>
      <c r="DE13" s="182" t="s">
        <v>782</v>
      </c>
      <c r="DF13" s="182" t="s">
        <v>782</v>
      </c>
      <c r="DG13" s="182" t="s">
        <v>782</v>
      </c>
      <c r="DH13" s="182" t="s">
        <v>782</v>
      </c>
      <c r="DI13" s="182" t="s">
        <v>782</v>
      </c>
      <c r="DJ13" s="182" t="s">
        <v>782</v>
      </c>
      <c r="DK13" s="182" t="s">
        <v>782</v>
      </c>
      <c r="DL13" s="182" t="s">
        <v>782</v>
      </c>
      <c r="DM13" s="182" t="s">
        <v>782</v>
      </c>
      <c r="DN13" s="182" t="s">
        <v>782</v>
      </c>
      <c r="DO13" s="182" t="s">
        <v>782</v>
      </c>
      <c r="DP13" s="182" t="s">
        <v>782</v>
      </c>
      <c r="DQ13" s="182" t="s">
        <v>782</v>
      </c>
      <c r="DR13" s="182" t="s">
        <v>782</v>
      </c>
      <c r="DS13" s="182" t="s">
        <v>782</v>
      </c>
      <c r="DT13" s="182" t="s">
        <v>782</v>
      </c>
      <c r="DU13" s="182" t="s">
        <v>782</v>
      </c>
      <c r="DV13" s="182" t="s">
        <v>782</v>
      </c>
      <c r="DW13" s="182" t="s">
        <v>782</v>
      </c>
      <c r="DX13" s="182" t="s">
        <v>782</v>
      </c>
      <c r="DY13" s="182" t="s">
        <v>782</v>
      </c>
      <c r="DZ13" s="182" t="s">
        <v>782</v>
      </c>
      <c r="EA13" s="182" t="s">
        <v>782</v>
      </c>
      <c r="EB13" s="182" t="s">
        <v>782</v>
      </c>
      <c r="EC13" s="182" t="s">
        <v>782</v>
      </c>
      <c r="ED13" s="182" t="s">
        <v>782</v>
      </c>
      <c r="EE13" s="182" t="s">
        <v>782</v>
      </c>
      <c r="EF13" s="182" t="s">
        <v>782</v>
      </c>
      <c r="EG13" s="182" t="s">
        <v>782</v>
      </c>
      <c r="EH13" s="182" t="s">
        <v>782</v>
      </c>
    </row>
    <row r="14" spans="1:138" s="120" customFormat="1" ht="33.75" customHeight="1" x14ac:dyDescent="0.25">
      <c r="A14" s="452"/>
      <c r="B14" s="452"/>
      <c r="C14" s="452"/>
      <c r="D14" s="452"/>
      <c r="E14" s="462"/>
      <c r="F14" s="452"/>
      <c r="G14" s="452"/>
      <c r="H14" s="468"/>
      <c r="I14" s="181" t="s">
        <v>830</v>
      </c>
      <c r="J14" s="121" t="s">
        <v>831</v>
      </c>
      <c r="K14" s="121" t="s">
        <v>832</v>
      </c>
      <c r="L14" s="134">
        <v>0.98</v>
      </c>
      <c r="M14" s="134">
        <v>0.52</v>
      </c>
      <c r="N14" s="135">
        <v>0.53</v>
      </c>
      <c r="O14" s="121" t="s">
        <v>833</v>
      </c>
      <c r="P14" s="135">
        <v>0.59</v>
      </c>
      <c r="Q14" s="135">
        <v>0.6</v>
      </c>
      <c r="R14" s="121" t="s">
        <v>834</v>
      </c>
      <c r="S14" s="135">
        <v>0.63</v>
      </c>
      <c r="T14" s="135">
        <v>0.64</v>
      </c>
      <c r="U14" s="121" t="s">
        <v>835</v>
      </c>
      <c r="V14" s="201">
        <v>0.67235274614758123</v>
      </c>
      <c r="W14" s="135">
        <v>0.68607423076283802</v>
      </c>
      <c r="X14" s="121" t="s">
        <v>1300</v>
      </c>
      <c r="Y14" s="135">
        <v>0.69777416557142102</v>
      </c>
      <c r="Z14" s="135">
        <v>0.71201445466471536</v>
      </c>
      <c r="AA14" s="121" t="s">
        <v>1321</v>
      </c>
      <c r="AB14" s="135">
        <v>0.72230610749191604</v>
      </c>
      <c r="AC14" s="135">
        <v>0.73704704846113878</v>
      </c>
      <c r="AD14" s="121" t="s">
        <v>1345</v>
      </c>
      <c r="AE14" s="450" t="s">
        <v>95</v>
      </c>
      <c r="AF14" s="450"/>
      <c r="AG14" s="451"/>
      <c r="AH14" s="148" t="s">
        <v>782</v>
      </c>
      <c r="AI14" s="148" t="s">
        <v>782</v>
      </c>
      <c r="AJ14" s="123" t="s">
        <v>782</v>
      </c>
      <c r="AK14" s="148" t="s">
        <v>782</v>
      </c>
      <c r="AL14" s="148" t="s">
        <v>782</v>
      </c>
      <c r="AM14" s="123" t="s">
        <v>782</v>
      </c>
      <c r="AN14" s="148" t="s">
        <v>782</v>
      </c>
      <c r="AO14" s="148" t="s">
        <v>782</v>
      </c>
      <c r="AP14" s="123" t="s">
        <v>782</v>
      </c>
      <c r="AQ14" s="148" t="s">
        <v>782</v>
      </c>
      <c r="AR14" s="148" t="s">
        <v>782</v>
      </c>
      <c r="AS14" s="123" t="s">
        <v>782</v>
      </c>
      <c r="AT14" s="148" t="s">
        <v>782</v>
      </c>
      <c r="AU14" s="148" t="s">
        <v>782</v>
      </c>
      <c r="AV14" s="123" t="s">
        <v>782</v>
      </c>
      <c r="AW14" s="148" t="s">
        <v>782</v>
      </c>
      <c r="AX14" s="148" t="s">
        <v>782</v>
      </c>
      <c r="AY14" s="123" t="s">
        <v>782</v>
      </c>
      <c r="AZ14" s="121" t="s">
        <v>262</v>
      </c>
      <c r="BA14" s="121" t="s">
        <v>762</v>
      </c>
      <c r="BB14" s="182" t="s">
        <v>782</v>
      </c>
      <c r="BC14" s="182" t="s">
        <v>782</v>
      </c>
      <c r="BD14" s="182" t="s">
        <v>782</v>
      </c>
      <c r="BE14" s="182" t="s">
        <v>782</v>
      </c>
      <c r="BF14" s="182" t="s">
        <v>782</v>
      </c>
      <c r="BG14" s="182" t="s">
        <v>782</v>
      </c>
      <c r="BH14" s="182" t="s">
        <v>782</v>
      </c>
      <c r="BI14" s="182" t="s">
        <v>782</v>
      </c>
      <c r="BJ14" s="182" t="s">
        <v>782</v>
      </c>
      <c r="BK14" s="182" t="s">
        <v>782</v>
      </c>
      <c r="BL14" s="182" t="s">
        <v>782</v>
      </c>
      <c r="BM14" s="182" t="s">
        <v>782</v>
      </c>
      <c r="BN14" s="182" t="s">
        <v>782</v>
      </c>
      <c r="BO14" s="182" t="s">
        <v>782</v>
      </c>
      <c r="BP14" s="182" t="s">
        <v>782</v>
      </c>
      <c r="BQ14" s="182" t="s">
        <v>782</v>
      </c>
      <c r="BR14" s="182" t="s">
        <v>782</v>
      </c>
      <c r="BS14" s="182" t="s">
        <v>782</v>
      </c>
      <c r="BT14" s="182" t="s">
        <v>782</v>
      </c>
      <c r="BU14" s="182" t="s">
        <v>782</v>
      </c>
      <c r="BV14" s="182" t="s">
        <v>782</v>
      </c>
      <c r="BW14" s="182" t="s">
        <v>782</v>
      </c>
      <c r="BX14" s="182" t="s">
        <v>782</v>
      </c>
      <c r="BY14" s="182" t="s">
        <v>782</v>
      </c>
      <c r="BZ14" s="182" t="s">
        <v>782</v>
      </c>
      <c r="CA14" s="182" t="s">
        <v>782</v>
      </c>
      <c r="CB14" s="182" t="s">
        <v>782</v>
      </c>
      <c r="CC14" s="182" t="s">
        <v>782</v>
      </c>
      <c r="CD14" s="182" t="s">
        <v>782</v>
      </c>
      <c r="CE14" s="182" t="s">
        <v>782</v>
      </c>
      <c r="CF14" s="182" t="s">
        <v>782</v>
      </c>
      <c r="CG14" s="182" t="s">
        <v>782</v>
      </c>
      <c r="CH14" s="182" t="s">
        <v>782</v>
      </c>
      <c r="CI14" s="182" t="s">
        <v>782</v>
      </c>
      <c r="CJ14" s="182" t="s">
        <v>782</v>
      </c>
      <c r="CK14" s="182" t="s">
        <v>782</v>
      </c>
      <c r="CL14" s="182" t="s">
        <v>782</v>
      </c>
      <c r="CM14" s="182" t="s">
        <v>782</v>
      </c>
      <c r="CN14" s="182" t="s">
        <v>782</v>
      </c>
      <c r="CO14" s="182" t="s">
        <v>782</v>
      </c>
      <c r="CP14" s="182" t="s">
        <v>782</v>
      </c>
      <c r="CQ14" s="182" t="s">
        <v>782</v>
      </c>
      <c r="CR14" s="182" t="s">
        <v>782</v>
      </c>
      <c r="CS14" s="182" t="s">
        <v>782</v>
      </c>
      <c r="CT14" s="182" t="s">
        <v>782</v>
      </c>
      <c r="CU14" s="182" t="s">
        <v>782</v>
      </c>
      <c r="CV14" s="182" t="s">
        <v>782</v>
      </c>
      <c r="CW14" s="182" t="s">
        <v>782</v>
      </c>
      <c r="CX14" s="182" t="s">
        <v>782</v>
      </c>
      <c r="CY14" s="182" t="s">
        <v>782</v>
      </c>
      <c r="CZ14" s="182" t="s">
        <v>782</v>
      </c>
      <c r="DA14" s="182" t="s">
        <v>782</v>
      </c>
      <c r="DB14" s="182" t="s">
        <v>782</v>
      </c>
      <c r="DC14" s="182" t="s">
        <v>782</v>
      </c>
      <c r="DD14" s="182" t="s">
        <v>782</v>
      </c>
      <c r="DE14" s="182" t="s">
        <v>782</v>
      </c>
      <c r="DF14" s="182" t="s">
        <v>782</v>
      </c>
      <c r="DG14" s="182" t="s">
        <v>782</v>
      </c>
      <c r="DH14" s="182" t="s">
        <v>782</v>
      </c>
      <c r="DI14" s="182" t="s">
        <v>782</v>
      </c>
      <c r="DJ14" s="182" t="s">
        <v>782</v>
      </c>
      <c r="DK14" s="182" t="s">
        <v>782</v>
      </c>
      <c r="DL14" s="182" t="s">
        <v>782</v>
      </c>
      <c r="DM14" s="182" t="s">
        <v>782</v>
      </c>
      <c r="DN14" s="182" t="s">
        <v>782</v>
      </c>
      <c r="DO14" s="182" t="s">
        <v>782</v>
      </c>
      <c r="DP14" s="182" t="s">
        <v>782</v>
      </c>
      <c r="DQ14" s="182" t="s">
        <v>782</v>
      </c>
      <c r="DR14" s="182" t="s">
        <v>782</v>
      </c>
      <c r="DS14" s="182" t="s">
        <v>782</v>
      </c>
      <c r="DT14" s="182" t="s">
        <v>782</v>
      </c>
      <c r="DU14" s="182" t="s">
        <v>782</v>
      </c>
      <c r="DV14" s="182" t="s">
        <v>782</v>
      </c>
      <c r="DW14" s="182" t="s">
        <v>782</v>
      </c>
      <c r="DX14" s="182" t="s">
        <v>782</v>
      </c>
      <c r="DY14" s="182" t="s">
        <v>782</v>
      </c>
      <c r="DZ14" s="182" t="s">
        <v>782</v>
      </c>
      <c r="EA14" s="182" t="s">
        <v>782</v>
      </c>
      <c r="EB14" s="182" t="s">
        <v>782</v>
      </c>
      <c r="EC14" s="182" t="s">
        <v>782</v>
      </c>
      <c r="ED14" s="182" t="s">
        <v>782</v>
      </c>
      <c r="EE14" s="182" t="s">
        <v>782</v>
      </c>
      <c r="EF14" s="182" t="s">
        <v>782</v>
      </c>
      <c r="EG14" s="182" t="s">
        <v>782</v>
      </c>
      <c r="EH14" s="182" t="s">
        <v>782</v>
      </c>
    </row>
    <row r="15" spans="1:138" s="120" customFormat="1" ht="33.75" customHeight="1" x14ac:dyDescent="0.25">
      <c r="A15" s="452"/>
      <c r="B15" s="452"/>
      <c r="C15" s="452"/>
      <c r="D15" s="452"/>
      <c r="E15" s="462"/>
      <c r="F15" s="452"/>
      <c r="G15" s="452"/>
      <c r="H15" s="468"/>
      <c r="I15" s="180" t="s">
        <v>836</v>
      </c>
      <c r="J15" s="452" t="s">
        <v>837</v>
      </c>
      <c r="K15" s="452" t="s">
        <v>838</v>
      </c>
      <c r="L15" s="464">
        <v>1</v>
      </c>
      <c r="M15" s="454" t="s">
        <v>839</v>
      </c>
      <c r="N15" s="454" t="s">
        <v>839</v>
      </c>
      <c r="O15" s="452" t="s">
        <v>840</v>
      </c>
      <c r="P15" s="454" t="s">
        <v>839</v>
      </c>
      <c r="Q15" s="454" t="s">
        <v>839</v>
      </c>
      <c r="R15" s="452" t="s">
        <v>840</v>
      </c>
      <c r="S15" s="454" t="s">
        <v>839</v>
      </c>
      <c r="T15" s="454" t="s">
        <v>839</v>
      </c>
      <c r="U15" s="452" t="s">
        <v>840</v>
      </c>
      <c r="V15" s="454" t="s">
        <v>839</v>
      </c>
      <c r="W15" s="454" t="s">
        <v>839</v>
      </c>
      <c r="X15" s="452" t="s">
        <v>840</v>
      </c>
      <c r="Y15" s="454" t="s">
        <v>839</v>
      </c>
      <c r="Z15" s="454" t="s">
        <v>839</v>
      </c>
      <c r="AA15" s="452" t="s">
        <v>840</v>
      </c>
      <c r="AB15" s="454" t="s">
        <v>839</v>
      </c>
      <c r="AC15" s="454" t="s">
        <v>839</v>
      </c>
      <c r="AD15" s="452" t="s">
        <v>840</v>
      </c>
      <c r="AE15" s="121" t="s">
        <v>841</v>
      </c>
      <c r="AF15" s="121" t="s">
        <v>842</v>
      </c>
      <c r="AG15" s="149" t="s">
        <v>843</v>
      </c>
      <c r="AH15" s="142" t="s">
        <v>839</v>
      </c>
      <c r="AI15" s="142" t="s">
        <v>839</v>
      </c>
      <c r="AJ15" s="121" t="s">
        <v>790</v>
      </c>
      <c r="AK15" s="142" t="s">
        <v>839</v>
      </c>
      <c r="AL15" s="142" t="s">
        <v>839</v>
      </c>
      <c r="AM15" s="121" t="s">
        <v>790</v>
      </c>
      <c r="AN15" s="135">
        <v>0.35</v>
      </c>
      <c r="AO15" s="135">
        <v>0.49</v>
      </c>
      <c r="AP15" s="121" t="s">
        <v>790</v>
      </c>
      <c r="AQ15" s="142" t="s">
        <v>839</v>
      </c>
      <c r="AR15" s="142" t="s">
        <v>839</v>
      </c>
      <c r="AS15" s="121" t="s">
        <v>790</v>
      </c>
      <c r="AT15" s="142" t="s">
        <v>839</v>
      </c>
      <c r="AU15" s="142" t="s">
        <v>839</v>
      </c>
      <c r="AV15" s="121" t="s">
        <v>790</v>
      </c>
      <c r="AW15" s="135">
        <v>0.52327438881660271</v>
      </c>
      <c r="AX15" s="135">
        <v>0.73700618143183483</v>
      </c>
      <c r="AY15" s="121" t="s">
        <v>1358</v>
      </c>
      <c r="AZ15" s="121" t="s">
        <v>262</v>
      </c>
      <c r="BA15" s="121" t="s">
        <v>762</v>
      </c>
      <c r="BB15" s="182" t="s">
        <v>782</v>
      </c>
      <c r="BC15" s="182" t="s">
        <v>782</v>
      </c>
      <c r="BD15" s="182" t="s">
        <v>782</v>
      </c>
      <c r="BE15" s="182" t="s">
        <v>782</v>
      </c>
      <c r="BF15" s="182" t="s">
        <v>782</v>
      </c>
      <c r="BG15" s="182" t="s">
        <v>782</v>
      </c>
      <c r="BH15" s="182" t="s">
        <v>782</v>
      </c>
      <c r="BI15" s="182" t="s">
        <v>782</v>
      </c>
      <c r="BJ15" s="182" t="s">
        <v>782</v>
      </c>
      <c r="BK15" s="182" t="s">
        <v>782</v>
      </c>
      <c r="BL15" s="182" t="s">
        <v>782</v>
      </c>
      <c r="BM15" s="182" t="s">
        <v>782</v>
      </c>
      <c r="BN15" s="182" t="s">
        <v>782</v>
      </c>
      <c r="BO15" s="182" t="s">
        <v>782</v>
      </c>
      <c r="BP15" s="182" t="s">
        <v>782</v>
      </c>
      <c r="BQ15" s="182" t="s">
        <v>782</v>
      </c>
      <c r="BR15" s="182" t="s">
        <v>782</v>
      </c>
      <c r="BS15" s="182" t="s">
        <v>782</v>
      </c>
      <c r="BT15" s="182" t="s">
        <v>782</v>
      </c>
      <c r="BU15" s="182" t="s">
        <v>782</v>
      </c>
      <c r="BV15" s="182" t="s">
        <v>782</v>
      </c>
      <c r="BW15" s="182" t="s">
        <v>782</v>
      </c>
      <c r="BX15" s="182" t="s">
        <v>782</v>
      </c>
      <c r="BY15" s="182" t="s">
        <v>782</v>
      </c>
      <c r="BZ15" s="182" t="s">
        <v>782</v>
      </c>
      <c r="CA15" s="182" t="s">
        <v>782</v>
      </c>
      <c r="CB15" s="182" t="s">
        <v>782</v>
      </c>
      <c r="CC15" s="182" t="s">
        <v>782</v>
      </c>
      <c r="CD15" s="182" t="s">
        <v>782</v>
      </c>
      <c r="CE15" s="182" t="s">
        <v>782</v>
      </c>
      <c r="CF15" s="182" t="s">
        <v>782</v>
      </c>
      <c r="CG15" s="182" t="s">
        <v>782</v>
      </c>
      <c r="CH15" s="182" t="s">
        <v>782</v>
      </c>
      <c r="CI15" s="182" t="s">
        <v>782</v>
      </c>
      <c r="CJ15" s="182" t="s">
        <v>782</v>
      </c>
      <c r="CK15" s="182" t="s">
        <v>782</v>
      </c>
      <c r="CL15" s="182" t="s">
        <v>782</v>
      </c>
      <c r="CM15" s="182" t="s">
        <v>782</v>
      </c>
      <c r="CN15" s="182" t="s">
        <v>782</v>
      </c>
      <c r="CO15" s="182" t="s">
        <v>782</v>
      </c>
      <c r="CP15" s="182" t="s">
        <v>782</v>
      </c>
      <c r="CQ15" s="182" t="s">
        <v>782</v>
      </c>
      <c r="CR15" s="182" t="s">
        <v>782</v>
      </c>
      <c r="CS15" s="182" t="s">
        <v>782</v>
      </c>
      <c r="CT15" s="182" t="s">
        <v>782</v>
      </c>
      <c r="CU15" s="182" t="s">
        <v>782</v>
      </c>
      <c r="CV15" s="182" t="s">
        <v>782</v>
      </c>
      <c r="CW15" s="182" t="s">
        <v>782</v>
      </c>
      <c r="CX15" s="182" t="s">
        <v>782</v>
      </c>
      <c r="CY15" s="182" t="s">
        <v>782</v>
      </c>
      <c r="CZ15" s="182" t="s">
        <v>782</v>
      </c>
      <c r="DA15" s="182" t="s">
        <v>782</v>
      </c>
      <c r="DB15" s="182" t="s">
        <v>782</v>
      </c>
      <c r="DC15" s="182" t="s">
        <v>782</v>
      </c>
      <c r="DD15" s="182" t="s">
        <v>782</v>
      </c>
      <c r="DE15" s="182" t="s">
        <v>782</v>
      </c>
      <c r="DF15" s="182" t="s">
        <v>782</v>
      </c>
      <c r="DG15" s="182" t="s">
        <v>782</v>
      </c>
      <c r="DH15" s="182" t="s">
        <v>782</v>
      </c>
      <c r="DI15" s="182" t="s">
        <v>782</v>
      </c>
      <c r="DJ15" s="182" t="s">
        <v>782</v>
      </c>
      <c r="DK15" s="182" t="s">
        <v>782</v>
      </c>
      <c r="DL15" s="182" t="s">
        <v>782</v>
      </c>
      <c r="DM15" s="182" t="s">
        <v>782</v>
      </c>
      <c r="DN15" s="182" t="s">
        <v>782</v>
      </c>
      <c r="DO15" s="182" t="s">
        <v>782</v>
      </c>
      <c r="DP15" s="182" t="s">
        <v>782</v>
      </c>
      <c r="DQ15" s="182" t="s">
        <v>782</v>
      </c>
      <c r="DR15" s="182" t="s">
        <v>782</v>
      </c>
      <c r="DS15" s="182" t="s">
        <v>782</v>
      </c>
      <c r="DT15" s="182" t="s">
        <v>782</v>
      </c>
      <c r="DU15" s="182" t="s">
        <v>782</v>
      </c>
      <c r="DV15" s="182" t="s">
        <v>782</v>
      </c>
      <c r="DW15" s="182" t="s">
        <v>782</v>
      </c>
      <c r="DX15" s="182" t="s">
        <v>782</v>
      </c>
      <c r="DY15" s="182" t="s">
        <v>782</v>
      </c>
      <c r="DZ15" s="182" t="s">
        <v>782</v>
      </c>
      <c r="EA15" s="182" t="s">
        <v>782</v>
      </c>
      <c r="EB15" s="182" t="s">
        <v>782</v>
      </c>
      <c r="EC15" s="182" t="s">
        <v>782</v>
      </c>
      <c r="ED15" s="182" t="s">
        <v>782</v>
      </c>
      <c r="EE15" s="182" t="s">
        <v>782</v>
      </c>
      <c r="EF15" s="182" t="s">
        <v>782</v>
      </c>
      <c r="EG15" s="182" t="s">
        <v>782</v>
      </c>
      <c r="EH15" s="182" t="s">
        <v>782</v>
      </c>
    </row>
    <row r="16" spans="1:138" s="120" customFormat="1" ht="33.75" customHeight="1" x14ac:dyDescent="0.25">
      <c r="A16" s="453"/>
      <c r="B16" s="453"/>
      <c r="C16" s="453"/>
      <c r="D16" s="453"/>
      <c r="E16" s="463"/>
      <c r="F16" s="453"/>
      <c r="G16" s="453"/>
      <c r="H16" s="468"/>
      <c r="I16" s="127" t="s">
        <v>844</v>
      </c>
      <c r="J16" s="453"/>
      <c r="K16" s="453"/>
      <c r="L16" s="455"/>
      <c r="M16" s="455"/>
      <c r="N16" s="455"/>
      <c r="O16" s="453"/>
      <c r="P16" s="455"/>
      <c r="Q16" s="455"/>
      <c r="R16" s="453"/>
      <c r="S16" s="455"/>
      <c r="T16" s="455"/>
      <c r="U16" s="453"/>
      <c r="V16" s="455"/>
      <c r="W16" s="455"/>
      <c r="X16" s="453"/>
      <c r="Y16" s="455"/>
      <c r="Z16" s="455"/>
      <c r="AA16" s="453"/>
      <c r="AB16" s="455"/>
      <c r="AC16" s="455"/>
      <c r="AD16" s="453"/>
      <c r="AE16" s="121" t="s">
        <v>845</v>
      </c>
      <c r="AF16" s="121" t="s">
        <v>846</v>
      </c>
      <c r="AG16" s="134">
        <v>1</v>
      </c>
      <c r="AH16" s="142" t="s">
        <v>839</v>
      </c>
      <c r="AI16" s="142" t="s">
        <v>839</v>
      </c>
      <c r="AJ16" s="121" t="s">
        <v>790</v>
      </c>
      <c r="AK16" s="142" t="s">
        <v>839</v>
      </c>
      <c r="AL16" s="142" t="s">
        <v>839</v>
      </c>
      <c r="AM16" s="121" t="s">
        <v>790</v>
      </c>
      <c r="AN16" s="135">
        <v>0.16</v>
      </c>
      <c r="AO16" s="135">
        <v>0.16</v>
      </c>
      <c r="AP16" s="121" t="s">
        <v>847</v>
      </c>
      <c r="AQ16" s="142" t="s">
        <v>839</v>
      </c>
      <c r="AR16" s="142" t="s">
        <v>839</v>
      </c>
      <c r="AS16" s="121" t="s">
        <v>790</v>
      </c>
      <c r="AT16" s="142" t="s">
        <v>839</v>
      </c>
      <c r="AU16" s="142" t="s">
        <v>839</v>
      </c>
      <c r="AV16" s="121" t="s">
        <v>790</v>
      </c>
      <c r="AW16" s="135">
        <v>0.39</v>
      </c>
      <c r="AX16" s="135">
        <v>0.39</v>
      </c>
      <c r="AY16" s="121" t="s">
        <v>1359</v>
      </c>
      <c r="AZ16" s="121" t="s">
        <v>262</v>
      </c>
      <c r="BA16" s="121" t="s">
        <v>762</v>
      </c>
      <c r="BB16" s="182" t="s">
        <v>782</v>
      </c>
      <c r="BC16" s="182" t="s">
        <v>782</v>
      </c>
      <c r="BD16" s="182" t="s">
        <v>782</v>
      </c>
      <c r="BE16" s="182" t="s">
        <v>782</v>
      </c>
      <c r="BF16" s="182" t="s">
        <v>782</v>
      </c>
      <c r="BG16" s="182" t="s">
        <v>782</v>
      </c>
      <c r="BH16" s="182" t="s">
        <v>782</v>
      </c>
      <c r="BI16" s="182" t="s">
        <v>782</v>
      </c>
      <c r="BJ16" s="182" t="s">
        <v>782</v>
      </c>
      <c r="BK16" s="182" t="s">
        <v>782</v>
      </c>
      <c r="BL16" s="182" t="s">
        <v>782</v>
      </c>
      <c r="BM16" s="182" t="s">
        <v>782</v>
      </c>
      <c r="BN16" s="182" t="s">
        <v>782</v>
      </c>
      <c r="BO16" s="182" t="s">
        <v>782</v>
      </c>
      <c r="BP16" s="182" t="s">
        <v>782</v>
      </c>
      <c r="BQ16" s="182" t="s">
        <v>782</v>
      </c>
      <c r="BR16" s="182" t="s">
        <v>782</v>
      </c>
      <c r="BS16" s="182" t="s">
        <v>782</v>
      </c>
      <c r="BT16" s="182" t="s">
        <v>782</v>
      </c>
      <c r="BU16" s="182" t="s">
        <v>782</v>
      </c>
      <c r="BV16" s="182" t="s">
        <v>782</v>
      </c>
      <c r="BW16" s="182" t="s">
        <v>782</v>
      </c>
      <c r="BX16" s="182" t="s">
        <v>782</v>
      </c>
      <c r="BY16" s="182" t="s">
        <v>782</v>
      </c>
      <c r="BZ16" s="182" t="s">
        <v>782</v>
      </c>
      <c r="CA16" s="182" t="s">
        <v>782</v>
      </c>
      <c r="CB16" s="182" t="s">
        <v>782</v>
      </c>
      <c r="CC16" s="182" t="s">
        <v>782</v>
      </c>
      <c r="CD16" s="182" t="s">
        <v>782</v>
      </c>
      <c r="CE16" s="182" t="s">
        <v>782</v>
      </c>
      <c r="CF16" s="182" t="s">
        <v>782</v>
      </c>
      <c r="CG16" s="182" t="s">
        <v>782</v>
      </c>
      <c r="CH16" s="182" t="s">
        <v>782</v>
      </c>
      <c r="CI16" s="182" t="s">
        <v>782</v>
      </c>
      <c r="CJ16" s="182" t="s">
        <v>782</v>
      </c>
      <c r="CK16" s="182" t="s">
        <v>782</v>
      </c>
      <c r="CL16" s="182" t="s">
        <v>782</v>
      </c>
      <c r="CM16" s="182" t="s">
        <v>782</v>
      </c>
      <c r="CN16" s="182" t="s">
        <v>782</v>
      </c>
      <c r="CO16" s="182" t="s">
        <v>782</v>
      </c>
      <c r="CP16" s="182" t="s">
        <v>782</v>
      </c>
      <c r="CQ16" s="182" t="s">
        <v>782</v>
      </c>
      <c r="CR16" s="182" t="s">
        <v>782</v>
      </c>
      <c r="CS16" s="182" t="s">
        <v>782</v>
      </c>
      <c r="CT16" s="182" t="s">
        <v>782</v>
      </c>
      <c r="CU16" s="182" t="s">
        <v>782</v>
      </c>
      <c r="CV16" s="182" t="s">
        <v>782</v>
      </c>
      <c r="CW16" s="182" t="s">
        <v>782</v>
      </c>
      <c r="CX16" s="182" t="s">
        <v>782</v>
      </c>
      <c r="CY16" s="182" t="s">
        <v>782</v>
      </c>
      <c r="CZ16" s="182" t="s">
        <v>782</v>
      </c>
      <c r="DA16" s="182" t="s">
        <v>782</v>
      </c>
      <c r="DB16" s="182" t="s">
        <v>782</v>
      </c>
      <c r="DC16" s="182" t="s">
        <v>782</v>
      </c>
      <c r="DD16" s="182" t="s">
        <v>782</v>
      </c>
      <c r="DE16" s="182" t="s">
        <v>782</v>
      </c>
      <c r="DF16" s="182" t="s">
        <v>782</v>
      </c>
      <c r="DG16" s="182" t="s">
        <v>782</v>
      </c>
      <c r="DH16" s="182" t="s">
        <v>782</v>
      </c>
      <c r="DI16" s="182" t="s">
        <v>782</v>
      </c>
      <c r="DJ16" s="182" t="s">
        <v>782</v>
      </c>
      <c r="DK16" s="182" t="s">
        <v>782</v>
      </c>
      <c r="DL16" s="182" t="s">
        <v>782</v>
      </c>
      <c r="DM16" s="182" t="s">
        <v>782</v>
      </c>
      <c r="DN16" s="182" t="s">
        <v>782</v>
      </c>
      <c r="DO16" s="182" t="s">
        <v>782</v>
      </c>
      <c r="DP16" s="182" t="s">
        <v>782</v>
      </c>
      <c r="DQ16" s="182" t="s">
        <v>782</v>
      </c>
      <c r="DR16" s="182" t="s">
        <v>782</v>
      </c>
      <c r="DS16" s="182" t="s">
        <v>782</v>
      </c>
      <c r="DT16" s="182" t="s">
        <v>782</v>
      </c>
      <c r="DU16" s="182" t="s">
        <v>782</v>
      </c>
      <c r="DV16" s="182" t="s">
        <v>782</v>
      </c>
      <c r="DW16" s="182" t="s">
        <v>782</v>
      </c>
      <c r="DX16" s="182" t="s">
        <v>782</v>
      </c>
      <c r="DY16" s="182" t="s">
        <v>782</v>
      </c>
      <c r="DZ16" s="182" t="s">
        <v>782</v>
      </c>
      <c r="EA16" s="182" t="s">
        <v>782</v>
      </c>
      <c r="EB16" s="182" t="s">
        <v>782</v>
      </c>
      <c r="EC16" s="182" t="s">
        <v>782</v>
      </c>
      <c r="ED16" s="182" t="s">
        <v>782</v>
      </c>
      <c r="EE16" s="182" t="s">
        <v>782</v>
      </c>
      <c r="EF16" s="182" t="s">
        <v>782</v>
      </c>
      <c r="EG16" s="182" t="s">
        <v>782</v>
      </c>
      <c r="EH16" s="182" t="s">
        <v>782</v>
      </c>
    </row>
    <row r="17" spans="1:138" s="3" customFormat="1" ht="75" customHeight="1" x14ac:dyDescent="0.25">
      <c r="A17" s="124"/>
      <c r="B17" s="124"/>
      <c r="C17" s="124"/>
      <c r="D17" s="124"/>
      <c r="E17" s="124"/>
      <c r="F17" s="124"/>
      <c r="G17" s="124"/>
      <c r="H17" s="468"/>
      <c r="I17" s="124"/>
      <c r="J17" s="124"/>
      <c r="K17" s="124"/>
      <c r="L17" s="137"/>
      <c r="M17" s="138" t="s">
        <v>164</v>
      </c>
      <c r="N17" s="139" t="s">
        <v>848</v>
      </c>
      <c r="O17" s="125"/>
      <c r="P17" s="138" t="s">
        <v>164</v>
      </c>
      <c r="Q17" s="139" t="s">
        <v>849</v>
      </c>
      <c r="R17" s="125"/>
      <c r="S17" s="138" t="s">
        <v>164</v>
      </c>
      <c r="T17" s="139" t="s">
        <v>850</v>
      </c>
      <c r="U17" s="125"/>
      <c r="V17" s="138" t="s">
        <v>164</v>
      </c>
      <c r="W17" s="207">
        <f>+AVERAGE(W12:W16)</f>
        <v>0.41631660175717222</v>
      </c>
      <c r="X17" s="125"/>
      <c r="Y17" s="138" t="s">
        <v>164</v>
      </c>
      <c r="Z17" s="207">
        <f>+AVERAGE(Z12:Z16)</f>
        <v>0.48857432083442393</v>
      </c>
      <c r="AA17" s="125"/>
      <c r="AB17" s="138" t="s">
        <v>164</v>
      </c>
      <c r="AC17" s="207">
        <f>+AVERAGE(AC12:AC16)</f>
        <v>0.54894609328999699</v>
      </c>
      <c r="AD17" s="125"/>
      <c r="AE17" s="124"/>
      <c r="AF17" s="124"/>
      <c r="AG17" s="137"/>
      <c r="AH17" s="138" t="s">
        <v>165</v>
      </c>
      <c r="AI17" s="139" t="s">
        <v>851</v>
      </c>
      <c r="AJ17" s="125"/>
      <c r="AK17" s="138" t="s">
        <v>165</v>
      </c>
      <c r="AL17" s="139" t="s">
        <v>852</v>
      </c>
      <c r="AM17" s="125"/>
      <c r="AN17" s="138" t="s">
        <v>165</v>
      </c>
      <c r="AO17" s="204">
        <v>0.23300000000000001</v>
      </c>
      <c r="AP17" s="126" t="s">
        <v>782</v>
      </c>
      <c r="AQ17" s="138" t="s">
        <v>165</v>
      </c>
      <c r="AR17" s="204">
        <f>+AVERAGE(AR12:AR16)</f>
        <v>0.21930737193156782</v>
      </c>
      <c r="AS17" s="125"/>
      <c r="AT17" s="138" t="s">
        <v>165</v>
      </c>
      <c r="AU17" s="204">
        <f>+AVERAGE(AU12:AU16)</f>
        <v>0.30417726836587966</v>
      </c>
      <c r="AV17" s="125"/>
      <c r="AW17" s="138" t="s">
        <v>165</v>
      </c>
      <c r="AX17" s="204">
        <f>+AVERAGE(AX12:AX16)</f>
        <v>0.46823518729148506</v>
      </c>
      <c r="AY17" s="126" t="s">
        <v>782</v>
      </c>
      <c r="AZ17" s="126" t="s">
        <v>782</v>
      </c>
      <c r="BA17" s="126" t="s">
        <v>782</v>
      </c>
      <c r="BB17" s="126" t="s">
        <v>782</v>
      </c>
      <c r="BC17" s="126" t="s">
        <v>782</v>
      </c>
      <c r="BD17" s="126" t="s">
        <v>782</v>
      </c>
      <c r="BE17" s="126" t="s">
        <v>782</v>
      </c>
      <c r="BF17" s="126" t="s">
        <v>782</v>
      </c>
      <c r="BG17" s="126" t="s">
        <v>782</v>
      </c>
      <c r="BH17" s="126" t="s">
        <v>782</v>
      </c>
      <c r="BI17" s="126" t="s">
        <v>782</v>
      </c>
      <c r="BJ17" s="126" t="s">
        <v>782</v>
      </c>
      <c r="BK17" s="126" t="s">
        <v>782</v>
      </c>
      <c r="BL17" s="126" t="s">
        <v>782</v>
      </c>
      <c r="BM17" s="126" t="s">
        <v>782</v>
      </c>
      <c r="BN17" s="126" t="s">
        <v>782</v>
      </c>
      <c r="BO17" s="126" t="s">
        <v>782</v>
      </c>
      <c r="BP17" s="126" t="s">
        <v>782</v>
      </c>
      <c r="BQ17" s="126" t="s">
        <v>782</v>
      </c>
      <c r="BR17" s="126" t="s">
        <v>782</v>
      </c>
      <c r="BS17" s="126" t="s">
        <v>782</v>
      </c>
      <c r="BT17" s="126" t="s">
        <v>782</v>
      </c>
      <c r="BU17" s="126" t="s">
        <v>782</v>
      </c>
      <c r="BV17" s="126" t="s">
        <v>782</v>
      </c>
      <c r="BW17" s="126" t="s">
        <v>782</v>
      </c>
      <c r="BX17" s="126" t="s">
        <v>782</v>
      </c>
      <c r="BY17" s="126" t="s">
        <v>782</v>
      </c>
      <c r="BZ17" s="126" t="s">
        <v>782</v>
      </c>
      <c r="CA17" s="126" t="s">
        <v>782</v>
      </c>
      <c r="CB17" s="126" t="s">
        <v>782</v>
      </c>
      <c r="CC17" s="126" t="s">
        <v>782</v>
      </c>
      <c r="CD17" s="126" t="s">
        <v>782</v>
      </c>
      <c r="CE17" s="126" t="s">
        <v>782</v>
      </c>
      <c r="CF17" s="126" t="s">
        <v>782</v>
      </c>
      <c r="CG17" s="126" t="s">
        <v>782</v>
      </c>
      <c r="CH17" s="126" t="s">
        <v>782</v>
      </c>
      <c r="CI17" s="126" t="s">
        <v>782</v>
      </c>
      <c r="CJ17" s="126" t="s">
        <v>782</v>
      </c>
      <c r="CK17" s="126" t="s">
        <v>782</v>
      </c>
      <c r="CL17" s="126" t="s">
        <v>782</v>
      </c>
      <c r="CM17" s="126" t="s">
        <v>782</v>
      </c>
      <c r="CN17" s="126" t="s">
        <v>782</v>
      </c>
      <c r="CO17" s="126" t="s">
        <v>782</v>
      </c>
      <c r="CP17" s="126" t="s">
        <v>782</v>
      </c>
      <c r="CQ17" s="126" t="s">
        <v>782</v>
      </c>
      <c r="CR17" s="126" t="s">
        <v>782</v>
      </c>
      <c r="CS17" s="126" t="s">
        <v>782</v>
      </c>
      <c r="CT17" s="126" t="s">
        <v>782</v>
      </c>
      <c r="CU17" s="126" t="s">
        <v>782</v>
      </c>
      <c r="CV17" s="126" t="s">
        <v>782</v>
      </c>
      <c r="CW17" s="126" t="s">
        <v>782</v>
      </c>
      <c r="CX17" s="126" t="s">
        <v>782</v>
      </c>
      <c r="CY17" s="126" t="s">
        <v>782</v>
      </c>
      <c r="CZ17" s="126" t="s">
        <v>782</v>
      </c>
      <c r="DA17" s="126" t="s">
        <v>782</v>
      </c>
      <c r="DB17" s="126" t="s">
        <v>782</v>
      </c>
      <c r="DC17" s="126" t="s">
        <v>782</v>
      </c>
      <c r="DD17" s="126" t="s">
        <v>782</v>
      </c>
      <c r="DE17" s="126" t="s">
        <v>782</v>
      </c>
      <c r="DF17" s="126" t="s">
        <v>782</v>
      </c>
      <c r="DG17" s="126" t="s">
        <v>782</v>
      </c>
      <c r="DH17" s="126" t="s">
        <v>782</v>
      </c>
      <c r="DI17" s="126" t="s">
        <v>782</v>
      </c>
      <c r="DJ17" s="126" t="s">
        <v>782</v>
      </c>
      <c r="DK17" s="126" t="s">
        <v>782</v>
      </c>
      <c r="DL17" s="126" t="s">
        <v>782</v>
      </c>
      <c r="DM17" s="126" t="s">
        <v>782</v>
      </c>
      <c r="DN17" s="126" t="s">
        <v>782</v>
      </c>
      <c r="DO17" s="126" t="s">
        <v>782</v>
      </c>
      <c r="DP17" s="126" t="s">
        <v>782</v>
      </c>
      <c r="DQ17" s="126" t="s">
        <v>782</v>
      </c>
      <c r="DR17" s="126" t="s">
        <v>782</v>
      </c>
      <c r="DS17" s="126" t="s">
        <v>782</v>
      </c>
      <c r="DT17" s="126" t="s">
        <v>782</v>
      </c>
      <c r="DU17" s="126" t="s">
        <v>782</v>
      </c>
      <c r="DV17" s="126" t="s">
        <v>782</v>
      </c>
      <c r="DW17" s="126" t="s">
        <v>782</v>
      </c>
      <c r="DX17" s="126" t="s">
        <v>782</v>
      </c>
      <c r="DY17" s="126" t="s">
        <v>782</v>
      </c>
      <c r="DZ17" s="126" t="s">
        <v>782</v>
      </c>
      <c r="EA17" s="126" t="s">
        <v>782</v>
      </c>
      <c r="EB17" s="126" t="s">
        <v>782</v>
      </c>
      <c r="EC17" s="126" t="s">
        <v>782</v>
      </c>
      <c r="ED17" s="126" t="s">
        <v>782</v>
      </c>
      <c r="EE17" s="124"/>
      <c r="EF17" s="124"/>
      <c r="EG17" s="124"/>
      <c r="EH17" s="124"/>
    </row>
    <row r="18" spans="1:138" s="120" customFormat="1" ht="60" customHeight="1" x14ac:dyDescent="0.25">
      <c r="A18" s="459" t="s">
        <v>86</v>
      </c>
      <c r="B18" s="459" t="s">
        <v>87</v>
      </c>
      <c r="C18" s="465" t="s">
        <v>1643</v>
      </c>
      <c r="D18" s="459" t="s">
        <v>22</v>
      </c>
      <c r="E18" s="461" t="s">
        <v>853</v>
      </c>
      <c r="F18" s="179" t="s">
        <v>90</v>
      </c>
      <c r="G18" s="179" t="s">
        <v>91</v>
      </c>
      <c r="H18" s="468"/>
      <c r="I18" s="117" t="s">
        <v>854</v>
      </c>
      <c r="J18" s="459" t="s">
        <v>855</v>
      </c>
      <c r="K18" s="459" t="s">
        <v>856</v>
      </c>
      <c r="L18" s="469">
        <v>1</v>
      </c>
      <c r="M18" s="456">
        <v>0</v>
      </c>
      <c r="N18" s="458" t="s">
        <v>839</v>
      </c>
      <c r="O18" s="459" t="s">
        <v>857</v>
      </c>
      <c r="P18" s="456">
        <v>0</v>
      </c>
      <c r="Q18" s="458" t="s">
        <v>839</v>
      </c>
      <c r="R18" s="459" t="s">
        <v>858</v>
      </c>
      <c r="S18" s="458" t="s">
        <v>839</v>
      </c>
      <c r="T18" s="458" t="s">
        <v>839</v>
      </c>
      <c r="U18" s="459" t="s">
        <v>859</v>
      </c>
      <c r="V18" s="456">
        <v>0</v>
      </c>
      <c r="W18" s="458" t="s">
        <v>839</v>
      </c>
      <c r="X18" s="459" t="s">
        <v>1301</v>
      </c>
      <c r="Y18" s="456">
        <v>0.05</v>
      </c>
      <c r="Z18" s="458">
        <v>0.05</v>
      </c>
      <c r="AA18" s="459" t="s">
        <v>1322</v>
      </c>
      <c r="AB18" s="458">
        <v>0.05</v>
      </c>
      <c r="AC18" s="458">
        <v>0.05</v>
      </c>
      <c r="AD18" s="459" t="s">
        <v>1346</v>
      </c>
      <c r="AE18" s="179" t="s">
        <v>860</v>
      </c>
      <c r="AF18" s="179" t="s">
        <v>861</v>
      </c>
      <c r="AG18" s="132">
        <v>1</v>
      </c>
      <c r="AH18" s="140">
        <v>0.05</v>
      </c>
      <c r="AI18" s="140">
        <v>0.05</v>
      </c>
      <c r="AJ18" s="179" t="s">
        <v>862</v>
      </c>
      <c r="AK18" s="140">
        <v>0.4</v>
      </c>
      <c r="AL18" s="140">
        <v>0.4</v>
      </c>
      <c r="AM18" s="179" t="s">
        <v>863</v>
      </c>
      <c r="AN18" s="140">
        <v>0.45</v>
      </c>
      <c r="AO18" s="140">
        <v>0.45</v>
      </c>
      <c r="AP18" s="179" t="s">
        <v>859</v>
      </c>
      <c r="AQ18" s="140">
        <v>0.45</v>
      </c>
      <c r="AR18" s="140">
        <v>0.45</v>
      </c>
      <c r="AS18" s="195" t="s">
        <v>1312</v>
      </c>
      <c r="AT18" s="140">
        <v>0.05</v>
      </c>
      <c r="AU18" s="140">
        <v>0.05</v>
      </c>
      <c r="AV18" s="195" t="s">
        <v>1334</v>
      </c>
      <c r="AW18" s="140">
        <v>0.2286</v>
      </c>
      <c r="AX18" s="140">
        <v>0.2286</v>
      </c>
      <c r="AY18" s="195" t="s">
        <v>1360</v>
      </c>
      <c r="AZ18" s="179" t="s">
        <v>864</v>
      </c>
      <c r="BA18" s="179" t="s">
        <v>865</v>
      </c>
      <c r="BB18" s="182" t="s">
        <v>782</v>
      </c>
      <c r="BC18" s="182" t="s">
        <v>782</v>
      </c>
      <c r="BD18" s="182" t="s">
        <v>782</v>
      </c>
      <c r="BE18" s="182" t="s">
        <v>782</v>
      </c>
      <c r="BF18" s="182" t="s">
        <v>782</v>
      </c>
      <c r="BG18" s="182" t="s">
        <v>782</v>
      </c>
      <c r="BH18" s="182" t="s">
        <v>782</v>
      </c>
      <c r="BI18" s="182" t="s">
        <v>782</v>
      </c>
      <c r="BJ18" s="182" t="s">
        <v>782</v>
      </c>
      <c r="BK18" s="182" t="s">
        <v>782</v>
      </c>
      <c r="BL18" s="182" t="s">
        <v>782</v>
      </c>
      <c r="BM18" s="182" t="s">
        <v>782</v>
      </c>
      <c r="BN18" s="182" t="s">
        <v>782</v>
      </c>
      <c r="BO18" s="182" t="s">
        <v>782</v>
      </c>
      <c r="BP18" s="182" t="s">
        <v>782</v>
      </c>
      <c r="BQ18" s="182" t="s">
        <v>782</v>
      </c>
      <c r="BR18" s="182" t="s">
        <v>782</v>
      </c>
      <c r="BS18" s="182" t="s">
        <v>782</v>
      </c>
      <c r="BT18" s="182" t="s">
        <v>782</v>
      </c>
      <c r="BU18" s="182" t="s">
        <v>782</v>
      </c>
      <c r="BV18" s="182" t="s">
        <v>782</v>
      </c>
      <c r="BW18" s="182" t="s">
        <v>782</v>
      </c>
      <c r="BX18" s="182" t="s">
        <v>782</v>
      </c>
      <c r="BY18" s="182" t="s">
        <v>782</v>
      </c>
      <c r="BZ18" s="182" t="s">
        <v>782</v>
      </c>
      <c r="CA18" s="182" t="s">
        <v>782</v>
      </c>
      <c r="CB18" s="182" t="s">
        <v>782</v>
      </c>
      <c r="CC18" s="182" t="s">
        <v>782</v>
      </c>
      <c r="CD18" s="182" t="s">
        <v>782</v>
      </c>
      <c r="CE18" s="182" t="s">
        <v>782</v>
      </c>
      <c r="CF18" s="182" t="s">
        <v>782</v>
      </c>
      <c r="CG18" s="182" t="s">
        <v>782</v>
      </c>
      <c r="CH18" s="182" t="s">
        <v>782</v>
      </c>
      <c r="CI18" s="182" t="s">
        <v>782</v>
      </c>
      <c r="CJ18" s="182" t="s">
        <v>782</v>
      </c>
      <c r="CK18" s="182" t="s">
        <v>782</v>
      </c>
      <c r="CL18" s="182" t="s">
        <v>782</v>
      </c>
      <c r="CM18" s="182" t="s">
        <v>782</v>
      </c>
      <c r="CN18" s="182" t="s">
        <v>782</v>
      </c>
      <c r="CO18" s="182" t="s">
        <v>782</v>
      </c>
      <c r="CP18" s="182" t="s">
        <v>782</v>
      </c>
      <c r="CQ18" s="182" t="s">
        <v>782</v>
      </c>
      <c r="CR18" s="182" t="s">
        <v>782</v>
      </c>
      <c r="CS18" s="182" t="s">
        <v>782</v>
      </c>
      <c r="CT18" s="182" t="s">
        <v>782</v>
      </c>
      <c r="CU18" s="182" t="s">
        <v>782</v>
      </c>
      <c r="CV18" s="182" t="s">
        <v>782</v>
      </c>
      <c r="CW18" s="182" t="s">
        <v>782</v>
      </c>
      <c r="CX18" s="182" t="s">
        <v>782</v>
      </c>
      <c r="CY18" s="182" t="s">
        <v>782</v>
      </c>
      <c r="CZ18" s="182" t="s">
        <v>782</v>
      </c>
      <c r="DA18" s="182" t="s">
        <v>782</v>
      </c>
      <c r="DB18" s="182" t="s">
        <v>782</v>
      </c>
      <c r="DC18" s="182" t="s">
        <v>782</v>
      </c>
      <c r="DD18" s="182" t="s">
        <v>782</v>
      </c>
      <c r="DE18" s="182" t="s">
        <v>782</v>
      </c>
      <c r="DF18" s="182" t="s">
        <v>782</v>
      </c>
      <c r="DG18" s="182" t="s">
        <v>782</v>
      </c>
      <c r="DH18" s="182" t="s">
        <v>782</v>
      </c>
      <c r="DI18" s="182" t="s">
        <v>782</v>
      </c>
      <c r="DJ18" s="182" t="s">
        <v>782</v>
      </c>
      <c r="DK18" s="182" t="s">
        <v>782</v>
      </c>
      <c r="DL18" s="182" t="s">
        <v>782</v>
      </c>
      <c r="DM18" s="182" t="s">
        <v>782</v>
      </c>
      <c r="DN18" s="182" t="s">
        <v>782</v>
      </c>
      <c r="DO18" s="182" t="s">
        <v>782</v>
      </c>
      <c r="DP18" s="182" t="s">
        <v>782</v>
      </c>
      <c r="DQ18" s="182" t="s">
        <v>782</v>
      </c>
      <c r="DR18" s="182" t="s">
        <v>782</v>
      </c>
      <c r="DS18" s="182" t="s">
        <v>782</v>
      </c>
      <c r="DT18" s="182" t="s">
        <v>782</v>
      </c>
      <c r="DU18" s="182" t="s">
        <v>782</v>
      </c>
      <c r="DV18" s="182" t="s">
        <v>782</v>
      </c>
      <c r="DW18" s="182" t="s">
        <v>782</v>
      </c>
      <c r="DX18" s="182" t="s">
        <v>782</v>
      </c>
      <c r="DY18" s="182" t="s">
        <v>782</v>
      </c>
      <c r="DZ18" s="182" t="s">
        <v>782</v>
      </c>
      <c r="EA18" s="182" t="s">
        <v>782</v>
      </c>
      <c r="EB18" s="182" t="s">
        <v>782</v>
      </c>
      <c r="EC18" s="182" t="s">
        <v>782</v>
      </c>
      <c r="ED18" s="182" t="s">
        <v>782</v>
      </c>
      <c r="EE18" s="182" t="s">
        <v>782</v>
      </c>
      <c r="EF18" s="182" t="s">
        <v>782</v>
      </c>
      <c r="EG18" s="182" t="s">
        <v>782</v>
      </c>
      <c r="EH18" s="182" t="s">
        <v>782</v>
      </c>
    </row>
    <row r="19" spans="1:138" s="120" customFormat="1" ht="84" x14ac:dyDescent="0.25">
      <c r="A19" s="452"/>
      <c r="B19" s="452"/>
      <c r="C19" s="452"/>
      <c r="D19" s="452"/>
      <c r="E19" s="462"/>
      <c r="F19" s="121" t="s">
        <v>90</v>
      </c>
      <c r="G19" s="121" t="s">
        <v>91</v>
      </c>
      <c r="H19" s="468"/>
      <c r="I19" s="181" t="s">
        <v>866</v>
      </c>
      <c r="J19" s="453"/>
      <c r="K19" s="453"/>
      <c r="L19" s="455"/>
      <c r="M19" s="457"/>
      <c r="N19" s="457"/>
      <c r="O19" s="453"/>
      <c r="P19" s="457"/>
      <c r="Q19" s="457"/>
      <c r="R19" s="453"/>
      <c r="S19" s="457"/>
      <c r="T19" s="457"/>
      <c r="U19" s="453"/>
      <c r="V19" s="457"/>
      <c r="W19" s="457"/>
      <c r="X19" s="453"/>
      <c r="Y19" s="457"/>
      <c r="Z19" s="457"/>
      <c r="AA19" s="453"/>
      <c r="AB19" s="457"/>
      <c r="AC19" s="457"/>
      <c r="AD19" s="453"/>
      <c r="AE19" s="121" t="s">
        <v>867</v>
      </c>
      <c r="AF19" s="121" t="s">
        <v>868</v>
      </c>
      <c r="AG19" s="149">
        <v>350</v>
      </c>
      <c r="AH19" s="135">
        <v>0</v>
      </c>
      <c r="AI19" s="142" t="s">
        <v>839</v>
      </c>
      <c r="AJ19" s="121" t="s">
        <v>869</v>
      </c>
      <c r="AK19" s="135">
        <v>0</v>
      </c>
      <c r="AL19" s="142" t="s">
        <v>839</v>
      </c>
      <c r="AM19" s="121" t="s">
        <v>870</v>
      </c>
      <c r="AN19" s="142" t="s">
        <v>839</v>
      </c>
      <c r="AO19" s="142" t="s">
        <v>839</v>
      </c>
      <c r="AP19" s="121" t="s">
        <v>870</v>
      </c>
      <c r="AQ19" s="135"/>
      <c r="AR19" s="142" t="s">
        <v>839</v>
      </c>
      <c r="AS19" s="121" t="s">
        <v>1301</v>
      </c>
      <c r="AT19" s="205" t="s">
        <v>839</v>
      </c>
      <c r="AU19" s="142" t="s">
        <v>839</v>
      </c>
      <c r="AV19" s="121" t="s">
        <v>1335</v>
      </c>
      <c r="AW19" s="142" t="s">
        <v>839</v>
      </c>
      <c r="AX19" s="142" t="s">
        <v>839</v>
      </c>
      <c r="AY19" s="121" t="s">
        <v>1361</v>
      </c>
      <c r="AZ19" s="121" t="s">
        <v>864</v>
      </c>
      <c r="BA19" s="121" t="s">
        <v>865</v>
      </c>
      <c r="BB19" s="182" t="s">
        <v>782</v>
      </c>
      <c r="BC19" s="182" t="s">
        <v>782</v>
      </c>
      <c r="BD19" s="182" t="s">
        <v>782</v>
      </c>
      <c r="BE19" s="182" t="s">
        <v>782</v>
      </c>
      <c r="BF19" s="182" t="s">
        <v>782</v>
      </c>
      <c r="BG19" s="182" t="s">
        <v>782</v>
      </c>
      <c r="BH19" s="182" t="s">
        <v>782</v>
      </c>
      <c r="BI19" s="182" t="s">
        <v>782</v>
      </c>
      <c r="BJ19" s="182" t="s">
        <v>782</v>
      </c>
      <c r="BK19" s="182" t="s">
        <v>782</v>
      </c>
      <c r="BL19" s="182" t="s">
        <v>782</v>
      </c>
      <c r="BM19" s="182" t="s">
        <v>782</v>
      </c>
      <c r="BN19" s="182" t="s">
        <v>782</v>
      </c>
      <c r="BO19" s="182" t="s">
        <v>782</v>
      </c>
      <c r="BP19" s="182" t="s">
        <v>782</v>
      </c>
      <c r="BQ19" s="182" t="s">
        <v>782</v>
      </c>
      <c r="BR19" s="182" t="s">
        <v>782</v>
      </c>
      <c r="BS19" s="182" t="s">
        <v>782</v>
      </c>
      <c r="BT19" s="182" t="s">
        <v>782</v>
      </c>
      <c r="BU19" s="182" t="s">
        <v>782</v>
      </c>
      <c r="BV19" s="182" t="s">
        <v>782</v>
      </c>
      <c r="BW19" s="182" t="s">
        <v>782</v>
      </c>
      <c r="BX19" s="182" t="s">
        <v>782</v>
      </c>
      <c r="BY19" s="182" t="s">
        <v>782</v>
      </c>
      <c r="BZ19" s="182" t="s">
        <v>782</v>
      </c>
      <c r="CA19" s="182" t="s">
        <v>782</v>
      </c>
      <c r="CB19" s="182" t="s">
        <v>782</v>
      </c>
      <c r="CC19" s="182" t="s">
        <v>782</v>
      </c>
      <c r="CD19" s="182" t="s">
        <v>782</v>
      </c>
      <c r="CE19" s="182" t="s">
        <v>782</v>
      </c>
      <c r="CF19" s="182" t="s">
        <v>782</v>
      </c>
      <c r="CG19" s="182" t="s">
        <v>782</v>
      </c>
      <c r="CH19" s="182" t="s">
        <v>782</v>
      </c>
      <c r="CI19" s="182" t="s">
        <v>782</v>
      </c>
      <c r="CJ19" s="182" t="s">
        <v>782</v>
      </c>
      <c r="CK19" s="182" t="s">
        <v>782</v>
      </c>
      <c r="CL19" s="182" t="s">
        <v>782</v>
      </c>
      <c r="CM19" s="182" t="s">
        <v>782</v>
      </c>
      <c r="CN19" s="182" t="s">
        <v>782</v>
      </c>
      <c r="CO19" s="182" t="s">
        <v>782</v>
      </c>
      <c r="CP19" s="182" t="s">
        <v>782</v>
      </c>
      <c r="CQ19" s="182" t="s">
        <v>782</v>
      </c>
      <c r="CR19" s="182" t="s">
        <v>782</v>
      </c>
      <c r="CS19" s="182" t="s">
        <v>782</v>
      </c>
      <c r="CT19" s="182" t="s">
        <v>782</v>
      </c>
      <c r="CU19" s="182" t="s">
        <v>782</v>
      </c>
      <c r="CV19" s="182" t="s">
        <v>782</v>
      </c>
      <c r="CW19" s="182" t="s">
        <v>782</v>
      </c>
      <c r="CX19" s="182" t="s">
        <v>782</v>
      </c>
      <c r="CY19" s="182" t="s">
        <v>782</v>
      </c>
      <c r="CZ19" s="182" t="s">
        <v>782</v>
      </c>
      <c r="DA19" s="182" t="s">
        <v>782</v>
      </c>
      <c r="DB19" s="182" t="s">
        <v>782</v>
      </c>
      <c r="DC19" s="182" t="s">
        <v>782</v>
      </c>
      <c r="DD19" s="182" t="s">
        <v>782</v>
      </c>
      <c r="DE19" s="182" t="s">
        <v>782</v>
      </c>
      <c r="DF19" s="182" t="s">
        <v>782</v>
      </c>
      <c r="DG19" s="182" t="s">
        <v>782</v>
      </c>
      <c r="DH19" s="182" t="s">
        <v>782</v>
      </c>
      <c r="DI19" s="182" t="s">
        <v>782</v>
      </c>
      <c r="DJ19" s="182" t="s">
        <v>782</v>
      </c>
      <c r="DK19" s="182" t="s">
        <v>782</v>
      </c>
      <c r="DL19" s="182" t="s">
        <v>782</v>
      </c>
      <c r="DM19" s="182" t="s">
        <v>782</v>
      </c>
      <c r="DN19" s="182" t="s">
        <v>782</v>
      </c>
      <c r="DO19" s="182" t="s">
        <v>782</v>
      </c>
      <c r="DP19" s="182" t="s">
        <v>782</v>
      </c>
      <c r="DQ19" s="182" t="s">
        <v>782</v>
      </c>
      <c r="DR19" s="182" t="s">
        <v>782</v>
      </c>
      <c r="DS19" s="182" t="s">
        <v>782</v>
      </c>
      <c r="DT19" s="182" t="s">
        <v>782</v>
      </c>
      <c r="DU19" s="182" t="s">
        <v>782</v>
      </c>
      <c r="DV19" s="182" t="s">
        <v>782</v>
      </c>
      <c r="DW19" s="182" t="s">
        <v>782</v>
      </c>
      <c r="DX19" s="182" t="s">
        <v>782</v>
      </c>
      <c r="DY19" s="182" t="s">
        <v>782</v>
      </c>
      <c r="DZ19" s="182" t="s">
        <v>782</v>
      </c>
      <c r="EA19" s="182" t="s">
        <v>782</v>
      </c>
      <c r="EB19" s="182" t="s">
        <v>782</v>
      </c>
      <c r="EC19" s="182" t="s">
        <v>782</v>
      </c>
      <c r="ED19" s="182" t="s">
        <v>782</v>
      </c>
      <c r="EE19" s="182" t="s">
        <v>782</v>
      </c>
      <c r="EF19" s="182" t="s">
        <v>782</v>
      </c>
      <c r="EG19" s="182" t="s">
        <v>782</v>
      </c>
      <c r="EH19" s="182" t="s">
        <v>782</v>
      </c>
    </row>
    <row r="20" spans="1:138" s="120" customFormat="1" ht="33.75" customHeight="1" x14ac:dyDescent="0.25">
      <c r="A20" s="452"/>
      <c r="B20" s="452"/>
      <c r="C20" s="452"/>
      <c r="D20" s="452"/>
      <c r="E20" s="462"/>
      <c r="F20" s="121" t="s">
        <v>806</v>
      </c>
      <c r="G20" s="121" t="s">
        <v>807</v>
      </c>
      <c r="H20" s="468"/>
      <c r="I20" s="181" t="s">
        <v>871</v>
      </c>
      <c r="J20" s="452" t="s">
        <v>872</v>
      </c>
      <c r="K20" s="452" t="s">
        <v>873</v>
      </c>
      <c r="L20" s="466">
        <v>1</v>
      </c>
      <c r="M20" s="460">
        <v>0.08</v>
      </c>
      <c r="N20" s="460">
        <v>0.08</v>
      </c>
      <c r="O20" s="452" t="s">
        <v>874</v>
      </c>
      <c r="P20" s="460">
        <v>0.17</v>
      </c>
      <c r="Q20" s="460">
        <v>0.17</v>
      </c>
      <c r="R20" s="452" t="s">
        <v>875</v>
      </c>
      <c r="S20" s="460">
        <v>0.26</v>
      </c>
      <c r="T20" s="460">
        <v>0.26</v>
      </c>
      <c r="U20" s="452" t="s">
        <v>876</v>
      </c>
      <c r="V20" s="460">
        <v>0.32140000000000002</v>
      </c>
      <c r="W20" s="460">
        <v>0.32140000000000002</v>
      </c>
      <c r="X20" s="452" t="s">
        <v>1302</v>
      </c>
      <c r="Y20" s="460">
        <v>0.35709999999999997</v>
      </c>
      <c r="Z20" s="460">
        <v>0.35709999999999997</v>
      </c>
      <c r="AA20" s="459" t="s">
        <v>1323</v>
      </c>
      <c r="AB20" s="460">
        <v>0.38990000000000002</v>
      </c>
      <c r="AC20" s="460">
        <v>0.38990000000000002</v>
      </c>
      <c r="AD20" s="452" t="s">
        <v>1347</v>
      </c>
      <c r="AE20" s="121" t="s">
        <v>877</v>
      </c>
      <c r="AF20" s="121" t="s">
        <v>878</v>
      </c>
      <c r="AG20" s="134">
        <v>1</v>
      </c>
      <c r="AH20" s="135">
        <v>7.0000000000000007E-2</v>
      </c>
      <c r="AI20" s="135">
        <v>7.0000000000000007E-2</v>
      </c>
      <c r="AJ20" s="121" t="s">
        <v>879</v>
      </c>
      <c r="AK20" s="135">
        <v>0.16</v>
      </c>
      <c r="AL20" s="135">
        <v>0.16</v>
      </c>
      <c r="AM20" s="121" t="s">
        <v>880</v>
      </c>
      <c r="AN20" s="135">
        <v>0.22</v>
      </c>
      <c r="AO20" s="135">
        <v>0.22</v>
      </c>
      <c r="AP20" s="121" t="s">
        <v>881</v>
      </c>
      <c r="AQ20" s="135">
        <v>0.27129999999999999</v>
      </c>
      <c r="AR20" s="135">
        <v>0.27129999999999999</v>
      </c>
      <c r="AS20" s="121" t="s">
        <v>1313</v>
      </c>
      <c r="AT20" s="135">
        <v>0.32379999999999998</v>
      </c>
      <c r="AU20" s="135">
        <v>0.32379999999999998</v>
      </c>
      <c r="AV20" s="121" t="s">
        <v>1336</v>
      </c>
      <c r="AW20" s="135">
        <v>0.38850000000000001</v>
      </c>
      <c r="AX20" s="135">
        <v>0.38850000000000001</v>
      </c>
      <c r="AY20" s="121" t="s">
        <v>1362</v>
      </c>
      <c r="AZ20" s="121" t="s">
        <v>864</v>
      </c>
      <c r="BA20" s="121" t="s">
        <v>865</v>
      </c>
      <c r="BB20" s="182" t="s">
        <v>782</v>
      </c>
      <c r="BC20" s="182" t="s">
        <v>782</v>
      </c>
      <c r="BD20" s="182" t="s">
        <v>782</v>
      </c>
      <c r="BE20" s="182" t="s">
        <v>782</v>
      </c>
      <c r="BF20" s="182" t="s">
        <v>782</v>
      </c>
      <c r="BG20" s="182" t="s">
        <v>782</v>
      </c>
      <c r="BH20" s="182" t="s">
        <v>782</v>
      </c>
      <c r="BI20" s="182" t="s">
        <v>782</v>
      </c>
      <c r="BJ20" s="182" t="s">
        <v>782</v>
      </c>
      <c r="BK20" s="182" t="s">
        <v>782</v>
      </c>
      <c r="BL20" s="182" t="s">
        <v>782</v>
      </c>
      <c r="BM20" s="182" t="s">
        <v>782</v>
      </c>
      <c r="BN20" s="182" t="s">
        <v>782</v>
      </c>
      <c r="BO20" s="182" t="s">
        <v>782</v>
      </c>
      <c r="BP20" s="182" t="s">
        <v>782</v>
      </c>
      <c r="BQ20" s="182" t="s">
        <v>782</v>
      </c>
      <c r="BR20" s="182" t="s">
        <v>782</v>
      </c>
      <c r="BS20" s="182" t="s">
        <v>782</v>
      </c>
      <c r="BT20" s="182" t="s">
        <v>782</v>
      </c>
      <c r="BU20" s="182" t="s">
        <v>782</v>
      </c>
      <c r="BV20" s="182" t="s">
        <v>782</v>
      </c>
      <c r="BW20" s="182" t="s">
        <v>782</v>
      </c>
      <c r="BX20" s="182" t="s">
        <v>782</v>
      </c>
      <c r="BY20" s="182" t="s">
        <v>782</v>
      </c>
      <c r="BZ20" s="182" t="s">
        <v>782</v>
      </c>
      <c r="CA20" s="182" t="s">
        <v>782</v>
      </c>
      <c r="CB20" s="182" t="s">
        <v>782</v>
      </c>
      <c r="CC20" s="182" t="s">
        <v>782</v>
      </c>
      <c r="CD20" s="182" t="s">
        <v>782</v>
      </c>
      <c r="CE20" s="182" t="s">
        <v>782</v>
      </c>
      <c r="CF20" s="182" t="s">
        <v>782</v>
      </c>
      <c r="CG20" s="182" t="s">
        <v>782</v>
      </c>
      <c r="CH20" s="182" t="s">
        <v>782</v>
      </c>
      <c r="CI20" s="182" t="s">
        <v>782</v>
      </c>
      <c r="CJ20" s="182" t="s">
        <v>782</v>
      </c>
      <c r="CK20" s="182" t="s">
        <v>782</v>
      </c>
      <c r="CL20" s="182" t="s">
        <v>782</v>
      </c>
      <c r="CM20" s="182" t="s">
        <v>782</v>
      </c>
      <c r="CN20" s="182" t="s">
        <v>782</v>
      </c>
      <c r="CO20" s="182" t="s">
        <v>782</v>
      </c>
      <c r="CP20" s="182" t="s">
        <v>782</v>
      </c>
      <c r="CQ20" s="182" t="s">
        <v>782</v>
      </c>
      <c r="CR20" s="182" t="s">
        <v>782</v>
      </c>
      <c r="CS20" s="182" t="s">
        <v>782</v>
      </c>
      <c r="CT20" s="182" t="s">
        <v>782</v>
      </c>
      <c r="CU20" s="182" t="s">
        <v>782</v>
      </c>
      <c r="CV20" s="182" t="s">
        <v>782</v>
      </c>
      <c r="CW20" s="182" t="s">
        <v>782</v>
      </c>
      <c r="CX20" s="182" t="s">
        <v>782</v>
      </c>
      <c r="CY20" s="182" t="s">
        <v>782</v>
      </c>
      <c r="CZ20" s="182" t="s">
        <v>782</v>
      </c>
      <c r="DA20" s="182" t="s">
        <v>782</v>
      </c>
      <c r="DB20" s="182" t="s">
        <v>782</v>
      </c>
      <c r="DC20" s="182" t="s">
        <v>782</v>
      </c>
      <c r="DD20" s="182" t="s">
        <v>782</v>
      </c>
      <c r="DE20" s="182" t="s">
        <v>782</v>
      </c>
      <c r="DF20" s="182" t="s">
        <v>782</v>
      </c>
      <c r="DG20" s="182" t="s">
        <v>782</v>
      </c>
      <c r="DH20" s="182" t="s">
        <v>782</v>
      </c>
      <c r="DI20" s="182" t="s">
        <v>782</v>
      </c>
      <c r="DJ20" s="182" t="s">
        <v>782</v>
      </c>
      <c r="DK20" s="182" t="s">
        <v>782</v>
      </c>
      <c r="DL20" s="182" t="s">
        <v>782</v>
      </c>
      <c r="DM20" s="182" t="s">
        <v>782</v>
      </c>
      <c r="DN20" s="182" t="s">
        <v>782</v>
      </c>
      <c r="DO20" s="182" t="s">
        <v>782</v>
      </c>
      <c r="DP20" s="182" t="s">
        <v>782</v>
      </c>
      <c r="DQ20" s="182" t="s">
        <v>782</v>
      </c>
      <c r="DR20" s="182" t="s">
        <v>782</v>
      </c>
      <c r="DS20" s="182" t="s">
        <v>782</v>
      </c>
      <c r="DT20" s="182" t="s">
        <v>782</v>
      </c>
      <c r="DU20" s="182" t="s">
        <v>782</v>
      </c>
      <c r="DV20" s="182" t="s">
        <v>782</v>
      </c>
      <c r="DW20" s="182" t="s">
        <v>782</v>
      </c>
      <c r="DX20" s="182" t="s">
        <v>782</v>
      </c>
      <c r="DY20" s="182" t="s">
        <v>782</v>
      </c>
      <c r="DZ20" s="182" t="s">
        <v>782</v>
      </c>
      <c r="EA20" s="182" t="s">
        <v>782</v>
      </c>
      <c r="EB20" s="182" t="s">
        <v>782</v>
      </c>
      <c r="EC20" s="182" t="s">
        <v>782</v>
      </c>
      <c r="ED20" s="182" t="s">
        <v>782</v>
      </c>
      <c r="EE20" s="182" t="s">
        <v>782</v>
      </c>
      <c r="EF20" s="182" t="s">
        <v>782</v>
      </c>
      <c r="EG20" s="182" t="s">
        <v>782</v>
      </c>
      <c r="EH20" s="182" t="s">
        <v>782</v>
      </c>
    </row>
    <row r="21" spans="1:138" s="120" customFormat="1" ht="33.75" customHeight="1" x14ac:dyDescent="0.25">
      <c r="A21" s="453"/>
      <c r="B21" s="453"/>
      <c r="C21" s="453"/>
      <c r="D21" s="453"/>
      <c r="E21" s="463"/>
      <c r="F21" s="121" t="s">
        <v>90</v>
      </c>
      <c r="G21" s="121" t="s">
        <v>91</v>
      </c>
      <c r="H21" s="468"/>
      <c r="I21" s="181" t="s">
        <v>882</v>
      </c>
      <c r="J21" s="453"/>
      <c r="K21" s="453"/>
      <c r="L21" s="455"/>
      <c r="M21" s="457"/>
      <c r="N21" s="457"/>
      <c r="O21" s="453"/>
      <c r="P21" s="457"/>
      <c r="Q21" s="457"/>
      <c r="R21" s="453"/>
      <c r="S21" s="457"/>
      <c r="T21" s="457"/>
      <c r="U21" s="453"/>
      <c r="V21" s="457"/>
      <c r="W21" s="457"/>
      <c r="X21" s="453"/>
      <c r="Y21" s="457"/>
      <c r="Z21" s="457"/>
      <c r="AA21" s="453"/>
      <c r="AB21" s="457"/>
      <c r="AC21" s="457"/>
      <c r="AD21" s="453"/>
      <c r="AE21" s="121" t="s">
        <v>883</v>
      </c>
      <c r="AF21" s="121" t="s">
        <v>884</v>
      </c>
      <c r="AG21" s="134">
        <v>1</v>
      </c>
      <c r="AH21" s="135">
        <v>0.05</v>
      </c>
      <c r="AI21" s="135">
        <v>0.05</v>
      </c>
      <c r="AJ21" s="121" t="s">
        <v>862</v>
      </c>
      <c r="AK21" s="142" t="s">
        <v>839</v>
      </c>
      <c r="AL21" s="142" t="s">
        <v>839</v>
      </c>
      <c r="AM21" s="121" t="s">
        <v>885</v>
      </c>
      <c r="AN21" s="142" t="s">
        <v>839</v>
      </c>
      <c r="AO21" s="142" t="s">
        <v>839</v>
      </c>
      <c r="AP21" s="121" t="s">
        <v>886</v>
      </c>
      <c r="AQ21" s="148" t="s">
        <v>839</v>
      </c>
      <c r="AR21" s="148" t="s">
        <v>839</v>
      </c>
      <c r="AS21" s="123" t="s">
        <v>885</v>
      </c>
      <c r="AT21" s="148" t="s">
        <v>839</v>
      </c>
      <c r="AU21" s="148" t="s">
        <v>839</v>
      </c>
      <c r="AV21" s="123" t="s">
        <v>886</v>
      </c>
      <c r="AW21" s="148" t="s">
        <v>839</v>
      </c>
      <c r="AX21" s="148" t="s">
        <v>839</v>
      </c>
      <c r="AY21" s="123" t="s">
        <v>886</v>
      </c>
      <c r="AZ21" s="121" t="s">
        <v>864</v>
      </c>
      <c r="BA21" s="121" t="s">
        <v>865</v>
      </c>
      <c r="BB21" s="182" t="s">
        <v>782</v>
      </c>
      <c r="BC21" s="182" t="s">
        <v>782</v>
      </c>
      <c r="BD21" s="182" t="s">
        <v>782</v>
      </c>
      <c r="BE21" s="182" t="s">
        <v>782</v>
      </c>
      <c r="BF21" s="182" t="s">
        <v>782</v>
      </c>
      <c r="BG21" s="182" t="s">
        <v>782</v>
      </c>
      <c r="BH21" s="182" t="s">
        <v>782</v>
      </c>
      <c r="BI21" s="182" t="s">
        <v>782</v>
      </c>
      <c r="BJ21" s="182" t="s">
        <v>782</v>
      </c>
      <c r="BK21" s="182" t="s">
        <v>782</v>
      </c>
      <c r="BL21" s="182" t="s">
        <v>782</v>
      </c>
      <c r="BM21" s="182" t="s">
        <v>782</v>
      </c>
      <c r="BN21" s="182" t="s">
        <v>782</v>
      </c>
      <c r="BO21" s="182" t="s">
        <v>782</v>
      </c>
      <c r="BP21" s="182" t="s">
        <v>782</v>
      </c>
      <c r="BQ21" s="182" t="s">
        <v>782</v>
      </c>
      <c r="BR21" s="182" t="s">
        <v>782</v>
      </c>
      <c r="BS21" s="182" t="s">
        <v>782</v>
      </c>
      <c r="BT21" s="182" t="s">
        <v>782</v>
      </c>
      <c r="BU21" s="182" t="s">
        <v>782</v>
      </c>
      <c r="BV21" s="182" t="s">
        <v>782</v>
      </c>
      <c r="BW21" s="182" t="s">
        <v>782</v>
      </c>
      <c r="BX21" s="182" t="s">
        <v>782</v>
      </c>
      <c r="BY21" s="182" t="s">
        <v>782</v>
      </c>
      <c r="BZ21" s="182" t="s">
        <v>782</v>
      </c>
      <c r="CA21" s="182" t="s">
        <v>782</v>
      </c>
      <c r="CB21" s="182" t="s">
        <v>782</v>
      </c>
      <c r="CC21" s="182" t="s">
        <v>782</v>
      </c>
      <c r="CD21" s="182" t="s">
        <v>782</v>
      </c>
      <c r="CE21" s="182" t="s">
        <v>782</v>
      </c>
      <c r="CF21" s="182" t="s">
        <v>782</v>
      </c>
      <c r="CG21" s="182" t="s">
        <v>782</v>
      </c>
      <c r="CH21" s="182" t="s">
        <v>782</v>
      </c>
      <c r="CI21" s="182" t="s">
        <v>782</v>
      </c>
      <c r="CJ21" s="182" t="s">
        <v>782</v>
      </c>
      <c r="CK21" s="182" t="s">
        <v>782</v>
      </c>
      <c r="CL21" s="182" t="s">
        <v>782</v>
      </c>
      <c r="CM21" s="182" t="s">
        <v>782</v>
      </c>
      <c r="CN21" s="182" t="s">
        <v>782</v>
      </c>
      <c r="CO21" s="182" t="s">
        <v>782</v>
      </c>
      <c r="CP21" s="182" t="s">
        <v>782</v>
      </c>
      <c r="CQ21" s="182" t="s">
        <v>782</v>
      </c>
      <c r="CR21" s="182" t="s">
        <v>782</v>
      </c>
      <c r="CS21" s="182" t="s">
        <v>782</v>
      </c>
      <c r="CT21" s="182" t="s">
        <v>782</v>
      </c>
      <c r="CU21" s="182" t="s">
        <v>782</v>
      </c>
      <c r="CV21" s="182" t="s">
        <v>782</v>
      </c>
      <c r="CW21" s="182" t="s">
        <v>782</v>
      </c>
      <c r="CX21" s="182" t="s">
        <v>782</v>
      </c>
      <c r="CY21" s="182" t="s">
        <v>782</v>
      </c>
      <c r="CZ21" s="182" t="s">
        <v>782</v>
      </c>
      <c r="DA21" s="182" t="s">
        <v>782</v>
      </c>
      <c r="DB21" s="182" t="s">
        <v>782</v>
      </c>
      <c r="DC21" s="182" t="s">
        <v>782</v>
      </c>
      <c r="DD21" s="182" t="s">
        <v>782</v>
      </c>
      <c r="DE21" s="182" t="s">
        <v>782</v>
      </c>
      <c r="DF21" s="182" t="s">
        <v>782</v>
      </c>
      <c r="DG21" s="182" t="s">
        <v>782</v>
      </c>
      <c r="DH21" s="182" t="s">
        <v>782</v>
      </c>
      <c r="DI21" s="182" t="s">
        <v>782</v>
      </c>
      <c r="DJ21" s="182" t="s">
        <v>782</v>
      </c>
      <c r="DK21" s="182" t="s">
        <v>782</v>
      </c>
      <c r="DL21" s="182" t="s">
        <v>782</v>
      </c>
      <c r="DM21" s="182" t="s">
        <v>782</v>
      </c>
      <c r="DN21" s="182" t="s">
        <v>782</v>
      </c>
      <c r="DO21" s="182" t="s">
        <v>782</v>
      </c>
      <c r="DP21" s="182" t="s">
        <v>782</v>
      </c>
      <c r="DQ21" s="182" t="s">
        <v>782</v>
      </c>
      <c r="DR21" s="182" t="s">
        <v>782</v>
      </c>
      <c r="DS21" s="182" t="s">
        <v>782</v>
      </c>
      <c r="DT21" s="182" t="s">
        <v>782</v>
      </c>
      <c r="DU21" s="182" t="s">
        <v>782</v>
      </c>
      <c r="DV21" s="182" t="s">
        <v>782</v>
      </c>
      <c r="DW21" s="182" t="s">
        <v>782</v>
      </c>
      <c r="DX21" s="182" t="s">
        <v>782</v>
      </c>
      <c r="DY21" s="182" t="s">
        <v>782</v>
      </c>
      <c r="DZ21" s="182" t="s">
        <v>782</v>
      </c>
      <c r="EA21" s="182" t="s">
        <v>782</v>
      </c>
      <c r="EB21" s="182" t="s">
        <v>782</v>
      </c>
      <c r="EC21" s="182" t="s">
        <v>782</v>
      </c>
      <c r="ED21" s="182" t="s">
        <v>782</v>
      </c>
      <c r="EE21" s="182" t="s">
        <v>782</v>
      </c>
      <c r="EF21" s="182" t="s">
        <v>782</v>
      </c>
      <c r="EG21" s="182" t="s">
        <v>782</v>
      </c>
      <c r="EH21" s="182" t="s">
        <v>782</v>
      </c>
    </row>
    <row r="22" spans="1:138" s="3" customFormat="1" ht="75" customHeight="1" x14ac:dyDescent="0.25">
      <c r="A22" s="124"/>
      <c r="B22" s="124"/>
      <c r="C22" s="124"/>
      <c r="D22" s="124"/>
      <c r="E22" s="124"/>
      <c r="F22" s="124"/>
      <c r="G22" s="124"/>
      <c r="H22" s="468"/>
      <c r="I22" s="124"/>
      <c r="J22" s="124"/>
      <c r="K22" s="124"/>
      <c r="L22" s="137"/>
      <c r="M22" s="138" t="s">
        <v>164</v>
      </c>
      <c r="N22" s="139" t="s">
        <v>887</v>
      </c>
      <c r="O22" s="125"/>
      <c r="P22" s="138" t="s">
        <v>164</v>
      </c>
      <c r="Q22" s="139" t="s">
        <v>888</v>
      </c>
      <c r="R22" s="125"/>
      <c r="S22" s="138" t="s">
        <v>164</v>
      </c>
      <c r="T22" s="139" t="s">
        <v>889</v>
      </c>
      <c r="U22" s="125"/>
      <c r="V22" s="138" t="s">
        <v>164</v>
      </c>
      <c r="W22" s="206">
        <f>+AVERAGE(W18:W21)</f>
        <v>0.32140000000000002</v>
      </c>
      <c r="X22" s="125"/>
      <c r="Y22" s="138" t="s">
        <v>164</v>
      </c>
      <c r="Z22" s="206">
        <f>+AVERAGE(Z18:Z21)</f>
        <v>0.20354999999999998</v>
      </c>
      <c r="AA22" s="125"/>
      <c r="AB22" s="138" t="s">
        <v>164</v>
      </c>
      <c r="AC22" s="206">
        <f>+AVERAGE(AC18:AC21)</f>
        <v>0.21995000000000001</v>
      </c>
      <c r="AD22" s="125"/>
      <c r="AE22" s="124"/>
      <c r="AF22" s="124"/>
      <c r="AG22" s="137"/>
      <c r="AH22" s="138" t="s">
        <v>165</v>
      </c>
      <c r="AI22" s="139" t="s">
        <v>890</v>
      </c>
      <c r="AJ22" s="125"/>
      <c r="AK22" s="138" t="s">
        <v>165</v>
      </c>
      <c r="AL22" s="139" t="s">
        <v>891</v>
      </c>
      <c r="AM22" s="125"/>
      <c r="AN22" s="138" t="s">
        <v>165</v>
      </c>
      <c r="AO22" s="204">
        <v>0.33700000000000002</v>
      </c>
      <c r="AP22" s="126" t="s">
        <v>782</v>
      </c>
      <c r="AQ22" s="138" t="s">
        <v>165</v>
      </c>
      <c r="AR22" s="204">
        <f>+AVERAGE(AR18:AR20)</f>
        <v>0.36065000000000003</v>
      </c>
      <c r="AS22" s="125"/>
      <c r="AT22" s="138" t="s">
        <v>165</v>
      </c>
      <c r="AU22" s="204">
        <f>+AVERAGE(AU18:AU20)</f>
        <v>0.18689999999999998</v>
      </c>
      <c r="AV22" s="125"/>
      <c r="AW22" s="138" t="s">
        <v>165</v>
      </c>
      <c r="AX22" s="204">
        <f>+AVERAGE(AX18:AX20)</f>
        <v>0.30854999999999999</v>
      </c>
      <c r="AY22" s="126" t="s">
        <v>782</v>
      </c>
      <c r="AZ22" s="126" t="s">
        <v>782</v>
      </c>
      <c r="BA22" s="126" t="s">
        <v>782</v>
      </c>
      <c r="BB22" s="126" t="s">
        <v>782</v>
      </c>
      <c r="BC22" s="126" t="s">
        <v>782</v>
      </c>
      <c r="BD22" s="126" t="s">
        <v>782</v>
      </c>
      <c r="BE22" s="126" t="s">
        <v>782</v>
      </c>
      <c r="BF22" s="126" t="s">
        <v>782</v>
      </c>
      <c r="BG22" s="126" t="s">
        <v>782</v>
      </c>
      <c r="BH22" s="126" t="s">
        <v>782</v>
      </c>
      <c r="BI22" s="126" t="s">
        <v>782</v>
      </c>
      <c r="BJ22" s="126" t="s">
        <v>782</v>
      </c>
      <c r="BK22" s="126" t="s">
        <v>782</v>
      </c>
      <c r="BL22" s="126" t="s">
        <v>782</v>
      </c>
      <c r="BM22" s="126" t="s">
        <v>782</v>
      </c>
      <c r="BN22" s="126" t="s">
        <v>782</v>
      </c>
      <c r="BO22" s="126" t="s">
        <v>782</v>
      </c>
      <c r="BP22" s="126" t="s">
        <v>782</v>
      </c>
      <c r="BQ22" s="126" t="s">
        <v>782</v>
      </c>
      <c r="BR22" s="126" t="s">
        <v>782</v>
      </c>
      <c r="BS22" s="126" t="s">
        <v>782</v>
      </c>
      <c r="BT22" s="126" t="s">
        <v>782</v>
      </c>
      <c r="BU22" s="126" t="s">
        <v>782</v>
      </c>
      <c r="BV22" s="126" t="s">
        <v>782</v>
      </c>
      <c r="BW22" s="126" t="s">
        <v>782</v>
      </c>
      <c r="BX22" s="126" t="s">
        <v>782</v>
      </c>
      <c r="BY22" s="126" t="s">
        <v>782</v>
      </c>
      <c r="BZ22" s="126" t="s">
        <v>782</v>
      </c>
      <c r="CA22" s="126" t="s">
        <v>782</v>
      </c>
      <c r="CB22" s="126" t="s">
        <v>782</v>
      </c>
      <c r="CC22" s="126" t="s">
        <v>782</v>
      </c>
      <c r="CD22" s="126" t="s">
        <v>782</v>
      </c>
      <c r="CE22" s="126" t="s">
        <v>782</v>
      </c>
      <c r="CF22" s="126" t="s">
        <v>782</v>
      </c>
      <c r="CG22" s="126" t="s">
        <v>782</v>
      </c>
      <c r="CH22" s="126" t="s">
        <v>782</v>
      </c>
      <c r="CI22" s="126" t="s">
        <v>782</v>
      </c>
      <c r="CJ22" s="126" t="s">
        <v>782</v>
      </c>
      <c r="CK22" s="126" t="s">
        <v>782</v>
      </c>
      <c r="CL22" s="126" t="s">
        <v>782</v>
      </c>
      <c r="CM22" s="126" t="s">
        <v>782</v>
      </c>
      <c r="CN22" s="126" t="s">
        <v>782</v>
      </c>
      <c r="CO22" s="126" t="s">
        <v>782</v>
      </c>
      <c r="CP22" s="126" t="s">
        <v>782</v>
      </c>
      <c r="CQ22" s="126" t="s">
        <v>782</v>
      </c>
      <c r="CR22" s="126" t="s">
        <v>782</v>
      </c>
      <c r="CS22" s="126" t="s">
        <v>782</v>
      </c>
      <c r="CT22" s="126" t="s">
        <v>782</v>
      </c>
      <c r="CU22" s="126" t="s">
        <v>782</v>
      </c>
      <c r="CV22" s="126" t="s">
        <v>782</v>
      </c>
      <c r="CW22" s="126" t="s">
        <v>782</v>
      </c>
      <c r="CX22" s="126" t="s">
        <v>782</v>
      </c>
      <c r="CY22" s="126" t="s">
        <v>782</v>
      </c>
      <c r="CZ22" s="126" t="s">
        <v>782</v>
      </c>
      <c r="DA22" s="126" t="s">
        <v>782</v>
      </c>
      <c r="DB22" s="126" t="s">
        <v>782</v>
      </c>
      <c r="DC22" s="126" t="s">
        <v>782</v>
      </c>
      <c r="DD22" s="126" t="s">
        <v>782</v>
      </c>
      <c r="DE22" s="126" t="s">
        <v>782</v>
      </c>
      <c r="DF22" s="126" t="s">
        <v>782</v>
      </c>
      <c r="DG22" s="126" t="s">
        <v>782</v>
      </c>
      <c r="DH22" s="126" t="s">
        <v>782</v>
      </c>
      <c r="DI22" s="126" t="s">
        <v>782</v>
      </c>
      <c r="DJ22" s="126" t="s">
        <v>782</v>
      </c>
      <c r="DK22" s="126" t="s">
        <v>782</v>
      </c>
      <c r="DL22" s="126" t="s">
        <v>782</v>
      </c>
      <c r="DM22" s="126" t="s">
        <v>782</v>
      </c>
      <c r="DN22" s="126" t="s">
        <v>782</v>
      </c>
      <c r="DO22" s="126" t="s">
        <v>782</v>
      </c>
      <c r="DP22" s="126" t="s">
        <v>782</v>
      </c>
      <c r="DQ22" s="126" t="s">
        <v>782</v>
      </c>
      <c r="DR22" s="126" t="s">
        <v>782</v>
      </c>
      <c r="DS22" s="126" t="s">
        <v>782</v>
      </c>
      <c r="DT22" s="126" t="s">
        <v>782</v>
      </c>
      <c r="DU22" s="126" t="s">
        <v>782</v>
      </c>
      <c r="DV22" s="126" t="s">
        <v>782</v>
      </c>
      <c r="DW22" s="126" t="s">
        <v>782</v>
      </c>
      <c r="DX22" s="126" t="s">
        <v>782</v>
      </c>
      <c r="DY22" s="126" t="s">
        <v>782</v>
      </c>
      <c r="DZ22" s="126" t="s">
        <v>782</v>
      </c>
      <c r="EA22" s="126" t="s">
        <v>782</v>
      </c>
      <c r="EB22" s="126" t="s">
        <v>782</v>
      </c>
      <c r="EC22" s="126" t="s">
        <v>782</v>
      </c>
      <c r="ED22" s="126" t="s">
        <v>782</v>
      </c>
      <c r="EE22" s="124"/>
      <c r="EF22" s="124"/>
      <c r="EG22" s="124"/>
      <c r="EH22" s="124"/>
    </row>
    <row r="23" spans="1:138" s="120" customFormat="1" ht="68.45" customHeight="1" x14ac:dyDescent="0.25">
      <c r="A23" s="459" t="s">
        <v>86</v>
      </c>
      <c r="B23" s="459" t="s">
        <v>87</v>
      </c>
      <c r="C23" s="459" t="s">
        <v>1631</v>
      </c>
      <c r="D23" s="459" t="s">
        <v>22</v>
      </c>
      <c r="E23" s="461" t="s">
        <v>892</v>
      </c>
      <c r="F23" s="459" t="s">
        <v>90</v>
      </c>
      <c r="G23" s="459" t="s">
        <v>91</v>
      </c>
      <c r="H23" s="468"/>
      <c r="I23" s="117" t="s">
        <v>893</v>
      </c>
      <c r="J23" s="179" t="s">
        <v>894</v>
      </c>
      <c r="K23" s="179" t="s">
        <v>147</v>
      </c>
      <c r="L23" s="132">
        <v>1</v>
      </c>
      <c r="M23" s="141" t="s">
        <v>839</v>
      </c>
      <c r="N23" s="141" t="s">
        <v>839</v>
      </c>
      <c r="O23" s="179" t="s">
        <v>895</v>
      </c>
      <c r="P23" s="140">
        <v>0.11</v>
      </c>
      <c r="Q23" s="140">
        <v>0.11</v>
      </c>
      <c r="R23" s="179" t="s">
        <v>896</v>
      </c>
      <c r="S23" s="140">
        <v>0.18</v>
      </c>
      <c r="T23" s="140">
        <v>0.18</v>
      </c>
      <c r="U23" s="179" t="s">
        <v>897</v>
      </c>
      <c r="V23" s="202">
        <v>0.28000000000000003</v>
      </c>
      <c r="W23" s="202">
        <v>0.28000000000000003</v>
      </c>
      <c r="X23" s="195" t="s">
        <v>1303</v>
      </c>
      <c r="Y23" s="140">
        <v>0.34200000000000003</v>
      </c>
      <c r="Z23" s="140">
        <v>0.34200000000000003</v>
      </c>
      <c r="AA23" s="195" t="s">
        <v>1324</v>
      </c>
      <c r="AB23" s="140">
        <v>0.45569620253164561</v>
      </c>
      <c r="AC23" s="140">
        <v>0.45569620253164561</v>
      </c>
      <c r="AD23" s="195" t="s">
        <v>1348</v>
      </c>
      <c r="AE23" s="179" t="s">
        <v>898</v>
      </c>
      <c r="AF23" s="179" t="s">
        <v>846</v>
      </c>
      <c r="AG23" s="140">
        <v>0.35</v>
      </c>
      <c r="AH23" s="140">
        <v>0.35</v>
      </c>
      <c r="AI23" s="140">
        <v>1</v>
      </c>
      <c r="AJ23" s="179" t="s">
        <v>899</v>
      </c>
      <c r="AK23" s="140">
        <v>0.4</v>
      </c>
      <c r="AL23" s="140">
        <v>1.1399999999999999</v>
      </c>
      <c r="AM23" s="179" t="s">
        <v>900</v>
      </c>
      <c r="AN23" s="140">
        <v>0.4</v>
      </c>
      <c r="AO23" s="140">
        <v>1.1299999999999999</v>
      </c>
      <c r="AP23" s="179" t="s">
        <v>901</v>
      </c>
      <c r="AQ23" s="140">
        <v>0.37319999999999998</v>
      </c>
      <c r="AR23" s="140">
        <v>1.0662857142857143</v>
      </c>
      <c r="AS23" s="195" t="s">
        <v>1314</v>
      </c>
      <c r="AT23" s="140">
        <v>0.36899999999999999</v>
      </c>
      <c r="AU23" s="140">
        <v>1.0542857142857143</v>
      </c>
      <c r="AV23" s="195" t="s">
        <v>1337</v>
      </c>
      <c r="AW23" s="140">
        <v>0.33</v>
      </c>
      <c r="AX23" s="140">
        <v>0.94285714285714295</v>
      </c>
      <c r="AY23" s="195" t="s">
        <v>1365</v>
      </c>
      <c r="AZ23" s="179" t="s">
        <v>162</v>
      </c>
      <c r="BA23" s="179" t="s">
        <v>792</v>
      </c>
      <c r="BB23" s="128" t="s">
        <v>782</v>
      </c>
      <c r="BC23" s="182" t="s">
        <v>782</v>
      </c>
      <c r="BD23" s="182" t="s">
        <v>782</v>
      </c>
      <c r="BE23" s="182" t="s">
        <v>782</v>
      </c>
      <c r="BF23" s="182" t="s">
        <v>782</v>
      </c>
      <c r="BG23" s="182" t="s">
        <v>782</v>
      </c>
      <c r="BH23" s="182" t="s">
        <v>782</v>
      </c>
      <c r="BI23" s="182" t="s">
        <v>782</v>
      </c>
      <c r="BJ23" s="182" t="s">
        <v>782</v>
      </c>
      <c r="BK23" s="182" t="s">
        <v>782</v>
      </c>
      <c r="BL23" s="182" t="s">
        <v>782</v>
      </c>
      <c r="BM23" s="182" t="s">
        <v>782</v>
      </c>
      <c r="BN23" s="182" t="s">
        <v>782</v>
      </c>
      <c r="BO23" s="182" t="s">
        <v>782</v>
      </c>
      <c r="BP23" s="182" t="s">
        <v>782</v>
      </c>
      <c r="BQ23" s="182" t="s">
        <v>782</v>
      </c>
      <c r="BR23" s="182" t="s">
        <v>782</v>
      </c>
      <c r="BS23" s="182" t="s">
        <v>782</v>
      </c>
      <c r="BT23" s="182" t="s">
        <v>782</v>
      </c>
      <c r="BU23" s="182" t="s">
        <v>782</v>
      </c>
      <c r="BV23" s="182" t="s">
        <v>782</v>
      </c>
      <c r="BW23" s="182" t="s">
        <v>782</v>
      </c>
      <c r="BX23" s="182" t="s">
        <v>782</v>
      </c>
      <c r="BY23" s="182" t="s">
        <v>782</v>
      </c>
      <c r="BZ23" s="182" t="s">
        <v>782</v>
      </c>
      <c r="CA23" s="182" t="s">
        <v>782</v>
      </c>
      <c r="CB23" s="182" t="s">
        <v>782</v>
      </c>
      <c r="CC23" s="182" t="s">
        <v>782</v>
      </c>
      <c r="CD23" s="182" t="s">
        <v>782</v>
      </c>
      <c r="CE23" s="182" t="s">
        <v>782</v>
      </c>
      <c r="CF23" s="182" t="s">
        <v>782</v>
      </c>
      <c r="CG23" s="182" t="s">
        <v>782</v>
      </c>
      <c r="CH23" s="182" t="s">
        <v>782</v>
      </c>
      <c r="CI23" s="182" t="s">
        <v>782</v>
      </c>
      <c r="CJ23" s="182" t="s">
        <v>782</v>
      </c>
      <c r="CK23" s="182" t="s">
        <v>782</v>
      </c>
      <c r="CL23" s="182" t="s">
        <v>782</v>
      </c>
      <c r="CM23" s="182" t="s">
        <v>782</v>
      </c>
      <c r="CN23" s="182" t="s">
        <v>782</v>
      </c>
      <c r="CO23" s="182" t="s">
        <v>782</v>
      </c>
      <c r="CP23" s="182" t="s">
        <v>782</v>
      </c>
      <c r="CQ23" s="182" t="s">
        <v>782</v>
      </c>
      <c r="CR23" s="182" t="s">
        <v>782</v>
      </c>
      <c r="CS23" s="182" t="s">
        <v>782</v>
      </c>
      <c r="CT23" s="182" t="s">
        <v>782</v>
      </c>
      <c r="CU23" s="182" t="s">
        <v>782</v>
      </c>
      <c r="CV23" s="182" t="s">
        <v>782</v>
      </c>
      <c r="CW23" s="182" t="s">
        <v>782</v>
      </c>
      <c r="CX23" s="182" t="s">
        <v>782</v>
      </c>
      <c r="CY23" s="182" t="s">
        <v>782</v>
      </c>
      <c r="CZ23" s="182" t="s">
        <v>782</v>
      </c>
      <c r="DA23" s="182" t="s">
        <v>782</v>
      </c>
      <c r="DB23" s="182" t="s">
        <v>782</v>
      </c>
      <c r="DC23" s="182" t="s">
        <v>782</v>
      </c>
      <c r="DD23" s="182" t="s">
        <v>782</v>
      </c>
      <c r="DE23" s="182" t="s">
        <v>782</v>
      </c>
      <c r="DF23" s="182" t="s">
        <v>782</v>
      </c>
      <c r="DG23" s="182" t="s">
        <v>782</v>
      </c>
      <c r="DH23" s="182" t="s">
        <v>782</v>
      </c>
      <c r="DI23" s="182" t="s">
        <v>782</v>
      </c>
      <c r="DJ23" s="182" t="s">
        <v>782</v>
      </c>
      <c r="DK23" s="182" t="s">
        <v>782</v>
      </c>
      <c r="DL23" s="182" t="s">
        <v>782</v>
      </c>
      <c r="DM23" s="182" t="s">
        <v>782</v>
      </c>
      <c r="DN23" s="182" t="s">
        <v>782</v>
      </c>
      <c r="DO23" s="182" t="s">
        <v>782</v>
      </c>
      <c r="DP23" s="182" t="s">
        <v>782</v>
      </c>
      <c r="DQ23" s="182" t="s">
        <v>782</v>
      </c>
      <c r="DR23" s="182" t="s">
        <v>782</v>
      </c>
      <c r="DS23" s="182" t="s">
        <v>782</v>
      </c>
      <c r="DT23" s="182" t="s">
        <v>782</v>
      </c>
      <c r="DU23" s="182" t="s">
        <v>782</v>
      </c>
      <c r="DV23" s="182" t="s">
        <v>782</v>
      </c>
      <c r="DW23" s="182" t="s">
        <v>782</v>
      </c>
      <c r="DX23" s="182" t="s">
        <v>782</v>
      </c>
      <c r="DY23" s="182" t="s">
        <v>782</v>
      </c>
      <c r="DZ23" s="182" t="s">
        <v>782</v>
      </c>
      <c r="EA23" s="182" t="s">
        <v>782</v>
      </c>
      <c r="EB23" s="182" t="s">
        <v>782</v>
      </c>
      <c r="EC23" s="182" t="s">
        <v>782</v>
      </c>
      <c r="ED23" s="182" t="s">
        <v>782</v>
      </c>
      <c r="EE23" s="182" t="s">
        <v>782</v>
      </c>
      <c r="EF23" s="182" t="s">
        <v>782</v>
      </c>
      <c r="EG23" s="182" t="s">
        <v>782</v>
      </c>
      <c r="EH23" s="182" t="s">
        <v>782</v>
      </c>
    </row>
    <row r="24" spans="1:138" s="120" customFormat="1" ht="69" customHeight="1" x14ac:dyDescent="0.25">
      <c r="A24" s="453"/>
      <c r="B24" s="453"/>
      <c r="C24" s="453"/>
      <c r="D24" s="453"/>
      <c r="E24" s="463"/>
      <c r="F24" s="453"/>
      <c r="G24" s="453"/>
      <c r="H24" s="468"/>
      <c r="I24" s="181" t="s">
        <v>902</v>
      </c>
      <c r="J24" s="121" t="s">
        <v>903</v>
      </c>
      <c r="K24" s="121" t="s">
        <v>904</v>
      </c>
      <c r="L24" s="134">
        <v>0.9</v>
      </c>
      <c r="M24" s="135">
        <v>0.85</v>
      </c>
      <c r="N24" s="135">
        <v>0.94</v>
      </c>
      <c r="O24" s="121" t="s">
        <v>905</v>
      </c>
      <c r="P24" s="135">
        <v>0.82</v>
      </c>
      <c r="Q24" s="135">
        <v>0.91</v>
      </c>
      <c r="R24" s="121" t="s">
        <v>906</v>
      </c>
      <c r="S24" s="135">
        <v>0.83</v>
      </c>
      <c r="T24" s="135">
        <v>0.92</v>
      </c>
      <c r="U24" s="121" t="s">
        <v>907</v>
      </c>
      <c r="V24" s="135">
        <v>0.88570000000000004</v>
      </c>
      <c r="W24" s="135">
        <v>0.98411111111111116</v>
      </c>
      <c r="X24" s="121" t="s">
        <v>1304</v>
      </c>
      <c r="Y24" s="135">
        <v>0.97230000000000005</v>
      </c>
      <c r="Z24" s="135">
        <v>1.0803333333333334</v>
      </c>
      <c r="AA24" s="121" t="s">
        <v>1325</v>
      </c>
      <c r="AB24" s="135">
        <v>0.98150000000000004</v>
      </c>
      <c r="AC24" s="135">
        <v>1.0905555555555555</v>
      </c>
      <c r="AD24" s="121" t="s">
        <v>1349</v>
      </c>
      <c r="AE24" s="450" t="s">
        <v>95</v>
      </c>
      <c r="AF24" s="450"/>
      <c r="AG24" s="451"/>
      <c r="AH24" s="148" t="s">
        <v>782</v>
      </c>
      <c r="AI24" s="148" t="s">
        <v>782</v>
      </c>
      <c r="AJ24" s="123" t="s">
        <v>782</v>
      </c>
      <c r="AK24" s="148" t="s">
        <v>782</v>
      </c>
      <c r="AL24" s="148" t="s">
        <v>782</v>
      </c>
      <c r="AM24" s="123" t="s">
        <v>782</v>
      </c>
      <c r="AN24" s="148" t="s">
        <v>782</v>
      </c>
      <c r="AO24" s="148" t="s">
        <v>782</v>
      </c>
      <c r="AP24" s="123" t="s">
        <v>782</v>
      </c>
      <c r="AQ24" s="148" t="s">
        <v>782</v>
      </c>
      <c r="AR24" s="148" t="s">
        <v>782</v>
      </c>
      <c r="AS24" s="123" t="s">
        <v>782</v>
      </c>
      <c r="AT24" s="148" t="s">
        <v>782</v>
      </c>
      <c r="AU24" s="148" t="s">
        <v>782</v>
      </c>
      <c r="AV24" s="123" t="s">
        <v>782</v>
      </c>
      <c r="AW24" s="148" t="s">
        <v>782</v>
      </c>
      <c r="AX24" s="148" t="s">
        <v>782</v>
      </c>
      <c r="AY24" s="123" t="s">
        <v>782</v>
      </c>
      <c r="AZ24" s="121" t="s">
        <v>162</v>
      </c>
      <c r="BA24" s="121" t="s">
        <v>792</v>
      </c>
      <c r="BB24" s="128" t="s">
        <v>782</v>
      </c>
      <c r="BC24" s="182" t="s">
        <v>782</v>
      </c>
      <c r="BD24" s="182" t="s">
        <v>782</v>
      </c>
      <c r="BE24" s="182" t="s">
        <v>782</v>
      </c>
      <c r="BF24" s="182" t="s">
        <v>782</v>
      </c>
      <c r="BG24" s="182" t="s">
        <v>782</v>
      </c>
      <c r="BH24" s="182" t="s">
        <v>782</v>
      </c>
      <c r="BI24" s="182" t="s">
        <v>782</v>
      </c>
      <c r="BJ24" s="182" t="s">
        <v>782</v>
      </c>
      <c r="BK24" s="182" t="s">
        <v>782</v>
      </c>
      <c r="BL24" s="182" t="s">
        <v>782</v>
      </c>
      <c r="BM24" s="182" t="s">
        <v>782</v>
      </c>
      <c r="BN24" s="182" t="s">
        <v>782</v>
      </c>
      <c r="BO24" s="182" t="s">
        <v>782</v>
      </c>
      <c r="BP24" s="182" t="s">
        <v>782</v>
      </c>
      <c r="BQ24" s="182" t="s">
        <v>782</v>
      </c>
      <c r="BR24" s="182" t="s">
        <v>782</v>
      </c>
      <c r="BS24" s="182" t="s">
        <v>782</v>
      </c>
      <c r="BT24" s="182" t="s">
        <v>782</v>
      </c>
      <c r="BU24" s="182" t="s">
        <v>782</v>
      </c>
      <c r="BV24" s="182" t="s">
        <v>782</v>
      </c>
      <c r="BW24" s="182" t="s">
        <v>782</v>
      </c>
      <c r="BX24" s="182" t="s">
        <v>782</v>
      </c>
      <c r="BY24" s="182" t="s">
        <v>782</v>
      </c>
      <c r="BZ24" s="182" t="s">
        <v>782</v>
      </c>
      <c r="CA24" s="182" t="s">
        <v>782</v>
      </c>
      <c r="CB24" s="182" t="s">
        <v>782</v>
      </c>
      <c r="CC24" s="182" t="s">
        <v>782</v>
      </c>
      <c r="CD24" s="182" t="s">
        <v>782</v>
      </c>
      <c r="CE24" s="182" t="s">
        <v>782</v>
      </c>
      <c r="CF24" s="182" t="s">
        <v>782</v>
      </c>
      <c r="CG24" s="182" t="s">
        <v>782</v>
      </c>
      <c r="CH24" s="182" t="s">
        <v>782</v>
      </c>
      <c r="CI24" s="182" t="s">
        <v>782</v>
      </c>
      <c r="CJ24" s="182" t="s">
        <v>782</v>
      </c>
      <c r="CK24" s="182" t="s">
        <v>782</v>
      </c>
      <c r="CL24" s="182" t="s">
        <v>782</v>
      </c>
      <c r="CM24" s="182" t="s">
        <v>782</v>
      </c>
      <c r="CN24" s="182" t="s">
        <v>782</v>
      </c>
      <c r="CO24" s="182" t="s">
        <v>782</v>
      </c>
      <c r="CP24" s="182" t="s">
        <v>782</v>
      </c>
      <c r="CQ24" s="182" t="s">
        <v>782</v>
      </c>
      <c r="CR24" s="182" t="s">
        <v>782</v>
      </c>
      <c r="CS24" s="182" t="s">
        <v>782</v>
      </c>
      <c r="CT24" s="182" t="s">
        <v>782</v>
      </c>
      <c r="CU24" s="182" t="s">
        <v>782</v>
      </c>
      <c r="CV24" s="182" t="s">
        <v>782</v>
      </c>
      <c r="CW24" s="182" t="s">
        <v>782</v>
      </c>
      <c r="CX24" s="182" t="s">
        <v>782</v>
      </c>
      <c r="CY24" s="182" t="s">
        <v>782</v>
      </c>
      <c r="CZ24" s="182" t="s">
        <v>782</v>
      </c>
      <c r="DA24" s="182" t="s">
        <v>782</v>
      </c>
      <c r="DB24" s="182" t="s">
        <v>782</v>
      </c>
      <c r="DC24" s="182" t="s">
        <v>782</v>
      </c>
      <c r="DD24" s="182" t="s">
        <v>782</v>
      </c>
      <c r="DE24" s="182" t="s">
        <v>782</v>
      </c>
      <c r="DF24" s="182" t="s">
        <v>782</v>
      </c>
      <c r="DG24" s="182" t="s">
        <v>782</v>
      </c>
      <c r="DH24" s="182" t="s">
        <v>782</v>
      </c>
      <c r="DI24" s="182" t="s">
        <v>782</v>
      </c>
      <c r="DJ24" s="182" t="s">
        <v>782</v>
      </c>
      <c r="DK24" s="182" t="s">
        <v>782</v>
      </c>
      <c r="DL24" s="182" t="s">
        <v>782</v>
      </c>
      <c r="DM24" s="182" t="s">
        <v>782</v>
      </c>
      <c r="DN24" s="182" t="s">
        <v>782</v>
      </c>
      <c r="DO24" s="182" t="s">
        <v>782</v>
      </c>
      <c r="DP24" s="182" t="s">
        <v>782</v>
      </c>
      <c r="DQ24" s="182" t="s">
        <v>782</v>
      </c>
      <c r="DR24" s="182" t="s">
        <v>782</v>
      </c>
      <c r="DS24" s="182" t="s">
        <v>782</v>
      </c>
      <c r="DT24" s="182" t="s">
        <v>782</v>
      </c>
      <c r="DU24" s="182" t="s">
        <v>782</v>
      </c>
      <c r="DV24" s="182" t="s">
        <v>782</v>
      </c>
      <c r="DW24" s="182" t="s">
        <v>782</v>
      </c>
      <c r="DX24" s="182" t="s">
        <v>782</v>
      </c>
      <c r="DY24" s="182" t="s">
        <v>782</v>
      </c>
      <c r="DZ24" s="182" t="s">
        <v>782</v>
      </c>
      <c r="EA24" s="182" t="s">
        <v>782</v>
      </c>
      <c r="EB24" s="182" t="s">
        <v>782</v>
      </c>
      <c r="EC24" s="182" t="s">
        <v>782</v>
      </c>
      <c r="ED24" s="182" t="s">
        <v>782</v>
      </c>
      <c r="EE24" s="182" t="s">
        <v>782</v>
      </c>
      <c r="EF24" s="182" t="s">
        <v>782</v>
      </c>
      <c r="EG24" s="182" t="s">
        <v>782</v>
      </c>
      <c r="EH24" s="182" t="s">
        <v>782</v>
      </c>
    </row>
    <row r="25" spans="1:138" s="120" customFormat="1" ht="51.75" customHeight="1" x14ac:dyDescent="0.25">
      <c r="A25" s="124"/>
      <c r="B25" s="124"/>
      <c r="C25" s="124"/>
      <c r="D25" s="124"/>
      <c r="E25" s="124"/>
      <c r="F25" s="124"/>
      <c r="G25" s="124"/>
      <c r="H25" s="468"/>
      <c r="I25" s="124"/>
      <c r="J25" s="124"/>
      <c r="K25" s="124"/>
      <c r="L25" s="137"/>
      <c r="M25" s="138" t="s">
        <v>164</v>
      </c>
      <c r="N25" s="139" t="s">
        <v>908</v>
      </c>
      <c r="O25" s="125"/>
      <c r="P25" s="138" t="s">
        <v>164</v>
      </c>
      <c r="Q25" s="139" t="s">
        <v>909</v>
      </c>
      <c r="R25" s="125"/>
      <c r="S25" s="138" t="s">
        <v>164</v>
      </c>
      <c r="T25" s="139" t="s">
        <v>910</v>
      </c>
      <c r="U25" s="125"/>
      <c r="V25" s="138" t="s">
        <v>164</v>
      </c>
      <c r="W25" s="204">
        <f>+AVERAGE(W23:W24)</f>
        <v>0.63205555555555559</v>
      </c>
      <c r="X25" s="208"/>
      <c r="Y25" s="209" t="s">
        <v>164</v>
      </c>
      <c r="Z25" s="204">
        <f>+AVERAGE(Z23:Z24)</f>
        <v>0.71116666666666672</v>
      </c>
      <c r="AA25" s="208"/>
      <c r="AB25" s="209" t="s">
        <v>164</v>
      </c>
      <c r="AC25" s="204">
        <f>+AVERAGE(AC23:AC24)</f>
        <v>0.77312587904360053</v>
      </c>
      <c r="AD25" s="125"/>
      <c r="AE25" s="124"/>
      <c r="AF25" s="124"/>
      <c r="AG25" s="137"/>
      <c r="AH25" s="138" t="s">
        <v>165</v>
      </c>
      <c r="AI25" s="139" t="s">
        <v>803</v>
      </c>
      <c r="AJ25" s="125"/>
      <c r="AK25" s="138" t="s">
        <v>165</v>
      </c>
      <c r="AL25" s="139" t="s">
        <v>911</v>
      </c>
      <c r="AM25" s="125"/>
      <c r="AN25" s="138" t="s">
        <v>165</v>
      </c>
      <c r="AO25" s="204">
        <v>1.135</v>
      </c>
      <c r="AP25" s="126" t="s">
        <v>782</v>
      </c>
      <c r="AQ25" s="138" t="s">
        <v>165</v>
      </c>
      <c r="AR25" s="204">
        <f>+AR23</f>
        <v>1.0662857142857143</v>
      </c>
      <c r="AS25" s="125"/>
      <c r="AT25" s="138" t="s">
        <v>165</v>
      </c>
      <c r="AU25" s="204">
        <f>+AU23</f>
        <v>1.0542857142857143</v>
      </c>
      <c r="AV25" s="125"/>
      <c r="AW25" s="138" t="s">
        <v>165</v>
      </c>
      <c r="AX25" s="204">
        <f>+AX23</f>
        <v>0.94285714285714295</v>
      </c>
      <c r="AY25" s="126" t="s">
        <v>782</v>
      </c>
      <c r="AZ25" s="126" t="s">
        <v>782</v>
      </c>
      <c r="BA25" s="126" t="s">
        <v>782</v>
      </c>
      <c r="BB25" s="126" t="s">
        <v>782</v>
      </c>
      <c r="BC25" s="126" t="s">
        <v>782</v>
      </c>
      <c r="BD25" s="126" t="s">
        <v>782</v>
      </c>
      <c r="BE25" s="126" t="s">
        <v>782</v>
      </c>
      <c r="BF25" s="126" t="s">
        <v>782</v>
      </c>
      <c r="BG25" s="126" t="s">
        <v>782</v>
      </c>
      <c r="BH25" s="126" t="s">
        <v>782</v>
      </c>
      <c r="BI25" s="126" t="s">
        <v>782</v>
      </c>
      <c r="BJ25" s="126" t="s">
        <v>782</v>
      </c>
      <c r="BK25" s="126" t="s">
        <v>782</v>
      </c>
      <c r="BL25" s="126" t="s">
        <v>782</v>
      </c>
      <c r="BM25" s="126" t="s">
        <v>782</v>
      </c>
      <c r="BN25" s="126" t="s">
        <v>782</v>
      </c>
      <c r="BO25" s="126" t="s">
        <v>782</v>
      </c>
      <c r="BP25" s="126" t="s">
        <v>782</v>
      </c>
      <c r="BQ25" s="126" t="s">
        <v>782</v>
      </c>
      <c r="BR25" s="126" t="s">
        <v>782</v>
      </c>
      <c r="BS25" s="126" t="s">
        <v>782</v>
      </c>
      <c r="BT25" s="126" t="s">
        <v>782</v>
      </c>
      <c r="BU25" s="126" t="s">
        <v>782</v>
      </c>
      <c r="BV25" s="126" t="s">
        <v>782</v>
      </c>
      <c r="BW25" s="126" t="s">
        <v>782</v>
      </c>
      <c r="BX25" s="126" t="s">
        <v>782</v>
      </c>
      <c r="BY25" s="126" t="s">
        <v>782</v>
      </c>
      <c r="BZ25" s="126" t="s">
        <v>782</v>
      </c>
      <c r="CA25" s="126" t="s">
        <v>782</v>
      </c>
      <c r="CB25" s="126" t="s">
        <v>782</v>
      </c>
      <c r="CC25" s="126" t="s">
        <v>782</v>
      </c>
      <c r="CD25" s="126" t="s">
        <v>782</v>
      </c>
      <c r="CE25" s="126" t="s">
        <v>782</v>
      </c>
      <c r="CF25" s="126" t="s">
        <v>782</v>
      </c>
      <c r="CG25" s="126" t="s">
        <v>782</v>
      </c>
      <c r="CH25" s="126" t="s">
        <v>782</v>
      </c>
      <c r="CI25" s="126" t="s">
        <v>782</v>
      </c>
      <c r="CJ25" s="126" t="s">
        <v>782</v>
      </c>
      <c r="CK25" s="126" t="s">
        <v>782</v>
      </c>
      <c r="CL25" s="126" t="s">
        <v>782</v>
      </c>
      <c r="CM25" s="126" t="s">
        <v>782</v>
      </c>
      <c r="CN25" s="126" t="s">
        <v>782</v>
      </c>
      <c r="CO25" s="126" t="s">
        <v>782</v>
      </c>
      <c r="CP25" s="126" t="s">
        <v>782</v>
      </c>
      <c r="CQ25" s="126" t="s">
        <v>782</v>
      </c>
      <c r="CR25" s="126" t="s">
        <v>782</v>
      </c>
      <c r="CS25" s="126" t="s">
        <v>782</v>
      </c>
      <c r="CT25" s="126" t="s">
        <v>782</v>
      </c>
      <c r="CU25" s="126" t="s">
        <v>782</v>
      </c>
      <c r="CV25" s="126" t="s">
        <v>782</v>
      </c>
      <c r="CW25" s="126" t="s">
        <v>782</v>
      </c>
      <c r="CX25" s="126" t="s">
        <v>782</v>
      </c>
      <c r="CY25" s="126" t="s">
        <v>782</v>
      </c>
      <c r="CZ25" s="126" t="s">
        <v>782</v>
      </c>
      <c r="DA25" s="126" t="s">
        <v>782</v>
      </c>
      <c r="DB25" s="126" t="s">
        <v>782</v>
      </c>
      <c r="DC25" s="126" t="s">
        <v>782</v>
      </c>
      <c r="DD25" s="126" t="s">
        <v>782</v>
      </c>
      <c r="DE25" s="126" t="s">
        <v>782</v>
      </c>
      <c r="DF25" s="126" t="s">
        <v>782</v>
      </c>
      <c r="DG25" s="126" t="s">
        <v>782</v>
      </c>
      <c r="DH25" s="126" t="s">
        <v>782</v>
      </c>
      <c r="DI25" s="126" t="s">
        <v>782</v>
      </c>
      <c r="DJ25" s="126" t="s">
        <v>782</v>
      </c>
      <c r="DK25" s="126" t="s">
        <v>782</v>
      </c>
      <c r="DL25" s="126" t="s">
        <v>782</v>
      </c>
      <c r="DM25" s="126" t="s">
        <v>782</v>
      </c>
      <c r="DN25" s="126" t="s">
        <v>782</v>
      </c>
      <c r="DO25" s="126" t="s">
        <v>782</v>
      </c>
      <c r="DP25" s="126" t="s">
        <v>782</v>
      </c>
      <c r="DQ25" s="126" t="s">
        <v>782</v>
      </c>
      <c r="DR25" s="126" t="s">
        <v>782</v>
      </c>
      <c r="DS25" s="126" t="s">
        <v>782</v>
      </c>
      <c r="DT25" s="126" t="s">
        <v>782</v>
      </c>
      <c r="DU25" s="126" t="s">
        <v>782</v>
      </c>
      <c r="DV25" s="126" t="s">
        <v>782</v>
      </c>
      <c r="DW25" s="126" t="s">
        <v>782</v>
      </c>
      <c r="DX25" s="126" t="s">
        <v>782</v>
      </c>
      <c r="DY25" s="126" t="s">
        <v>782</v>
      </c>
      <c r="DZ25" s="126" t="s">
        <v>782</v>
      </c>
      <c r="EA25" s="126" t="s">
        <v>782</v>
      </c>
      <c r="EB25" s="126" t="s">
        <v>782</v>
      </c>
      <c r="EC25" s="126" t="s">
        <v>782</v>
      </c>
      <c r="ED25" s="126" t="s">
        <v>782</v>
      </c>
      <c r="EE25" s="124"/>
      <c r="EF25" s="124"/>
      <c r="EG25" s="124"/>
      <c r="EH25" s="124"/>
    </row>
    <row r="26" spans="1:138" s="120" customFormat="1" ht="48" customHeight="1" x14ac:dyDescent="0.25">
      <c r="A26" s="459" t="s">
        <v>86</v>
      </c>
      <c r="B26" s="459" t="s">
        <v>87</v>
      </c>
      <c r="C26" s="465" t="s">
        <v>1644</v>
      </c>
      <c r="D26" s="459" t="s">
        <v>22</v>
      </c>
      <c r="E26" s="461" t="s">
        <v>912</v>
      </c>
      <c r="F26" s="459" t="s">
        <v>806</v>
      </c>
      <c r="G26" s="459" t="s">
        <v>807</v>
      </c>
      <c r="H26" s="468"/>
      <c r="I26" s="117" t="s">
        <v>913</v>
      </c>
      <c r="J26" s="179" t="s">
        <v>914</v>
      </c>
      <c r="K26" s="179" t="s">
        <v>915</v>
      </c>
      <c r="L26" s="132">
        <v>0.93</v>
      </c>
      <c r="M26" s="141" t="s">
        <v>839</v>
      </c>
      <c r="N26" s="141" t="s">
        <v>839</v>
      </c>
      <c r="O26" s="179" t="s">
        <v>916</v>
      </c>
      <c r="P26" s="140">
        <v>0.9</v>
      </c>
      <c r="Q26" s="140">
        <v>0.97</v>
      </c>
      <c r="R26" s="179" t="s">
        <v>917</v>
      </c>
      <c r="S26" s="140">
        <v>0.9</v>
      </c>
      <c r="T26" s="140">
        <v>0.97</v>
      </c>
      <c r="U26" s="179" t="s">
        <v>918</v>
      </c>
      <c r="V26" s="202">
        <v>0.90620000000000001</v>
      </c>
      <c r="W26" s="202">
        <v>0.97440860215053759</v>
      </c>
      <c r="X26" s="195" t="s">
        <v>1305</v>
      </c>
      <c r="Y26" s="140">
        <v>0.91216666599999996</v>
      </c>
      <c r="Z26" s="140">
        <v>0.98082437204301065</v>
      </c>
      <c r="AA26" s="195" t="s">
        <v>1326</v>
      </c>
      <c r="AB26" s="140">
        <v>0.91662222000000004</v>
      </c>
      <c r="AC26" s="140">
        <v>0.98561529032258066</v>
      </c>
      <c r="AD26" s="195" t="s">
        <v>1350</v>
      </c>
      <c r="AE26" s="179" t="s">
        <v>919</v>
      </c>
      <c r="AF26" s="179" t="s">
        <v>920</v>
      </c>
      <c r="AG26" s="140">
        <v>0.93</v>
      </c>
      <c r="AH26" s="141" t="s">
        <v>839</v>
      </c>
      <c r="AI26" s="141" t="s">
        <v>839</v>
      </c>
      <c r="AJ26" s="179" t="s">
        <v>921</v>
      </c>
      <c r="AK26" s="140">
        <v>0.9</v>
      </c>
      <c r="AL26" s="140">
        <v>0.97</v>
      </c>
      <c r="AM26" s="179" t="s">
        <v>922</v>
      </c>
      <c r="AN26" s="140">
        <v>0.9</v>
      </c>
      <c r="AO26" s="140">
        <v>0.97</v>
      </c>
      <c r="AP26" s="179" t="s">
        <v>923</v>
      </c>
      <c r="AQ26" s="140">
        <v>0.90620000000000001</v>
      </c>
      <c r="AR26" s="140">
        <v>0.97440860215053759</v>
      </c>
      <c r="AS26" s="195" t="s">
        <v>1315</v>
      </c>
      <c r="AT26" s="140">
        <v>0.91523900000000002</v>
      </c>
      <c r="AU26" s="140">
        <v>0.98412795698924727</v>
      </c>
      <c r="AV26" s="195" t="s">
        <v>1338</v>
      </c>
      <c r="AW26" s="140">
        <v>0.92462569999999999</v>
      </c>
      <c r="AX26" s="140">
        <v>0.99422118279569882</v>
      </c>
      <c r="AY26" s="195" t="s">
        <v>1363</v>
      </c>
      <c r="AZ26" s="179" t="s">
        <v>924</v>
      </c>
      <c r="BA26" s="179" t="s">
        <v>925</v>
      </c>
      <c r="BB26" s="182" t="s">
        <v>782</v>
      </c>
      <c r="BC26" s="182" t="s">
        <v>782</v>
      </c>
      <c r="BD26" s="182" t="s">
        <v>782</v>
      </c>
      <c r="BE26" s="182" t="s">
        <v>782</v>
      </c>
      <c r="BF26" s="182" t="s">
        <v>782</v>
      </c>
      <c r="BG26" s="182" t="s">
        <v>782</v>
      </c>
      <c r="BH26" s="182" t="s">
        <v>782</v>
      </c>
      <c r="BI26" s="182" t="s">
        <v>782</v>
      </c>
      <c r="BJ26" s="182" t="s">
        <v>782</v>
      </c>
      <c r="BK26" s="182" t="s">
        <v>782</v>
      </c>
      <c r="BL26" s="182" t="s">
        <v>782</v>
      </c>
      <c r="BM26" s="182" t="s">
        <v>782</v>
      </c>
      <c r="BN26" s="182" t="s">
        <v>782</v>
      </c>
      <c r="BO26" s="182" t="s">
        <v>782</v>
      </c>
      <c r="BP26" s="182" t="s">
        <v>782</v>
      </c>
      <c r="BQ26" s="182" t="s">
        <v>782</v>
      </c>
      <c r="BR26" s="182" t="s">
        <v>782</v>
      </c>
      <c r="BS26" s="182" t="s">
        <v>782</v>
      </c>
      <c r="BT26" s="182" t="s">
        <v>782</v>
      </c>
      <c r="BU26" s="182" t="s">
        <v>782</v>
      </c>
      <c r="BV26" s="182" t="s">
        <v>782</v>
      </c>
      <c r="BW26" s="182" t="s">
        <v>782</v>
      </c>
      <c r="BX26" s="182" t="s">
        <v>782</v>
      </c>
      <c r="BY26" s="182" t="s">
        <v>782</v>
      </c>
      <c r="BZ26" s="182" t="s">
        <v>782</v>
      </c>
      <c r="CA26" s="182" t="s">
        <v>782</v>
      </c>
      <c r="CB26" s="182" t="s">
        <v>782</v>
      </c>
      <c r="CC26" s="182" t="s">
        <v>782</v>
      </c>
      <c r="CD26" s="182" t="s">
        <v>782</v>
      </c>
      <c r="CE26" s="182" t="s">
        <v>782</v>
      </c>
      <c r="CF26" s="182" t="s">
        <v>782</v>
      </c>
      <c r="CG26" s="182" t="s">
        <v>782</v>
      </c>
      <c r="CH26" s="182" t="s">
        <v>782</v>
      </c>
      <c r="CI26" s="182" t="s">
        <v>782</v>
      </c>
      <c r="CJ26" s="182" t="s">
        <v>782</v>
      </c>
      <c r="CK26" s="182" t="s">
        <v>782</v>
      </c>
      <c r="CL26" s="182" t="s">
        <v>782</v>
      </c>
      <c r="CM26" s="182" t="s">
        <v>782</v>
      </c>
      <c r="CN26" s="182" t="s">
        <v>782</v>
      </c>
      <c r="CO26" s="182" t="s">
        <v>782</v>
      </c>
      <c r="CP26" s="182" t="s">
        <v>782</v>
      </c>
      <c r="CQ26" s="182" t="s">
        <v>782</v>
      </c>
      <c r="CR26" s="182" t="s">
        <v>782</v>
      </c>
      <c r="CS26" s="182" t="s">
        <v>782</v>
      </c>
      <c r="CT26" s="182" t="s">
        <v>782</v>
      </c>
      <c r="CU26" s="182" t="s">
        <v>782</v>
      </c>
      <c r="CV26" s="182" t="s">
        <v>782</v>
      </c>
      <c r="CW26" s="182" t="s">
        <v>782</v>
      </c>
      <c r="CX26" s="182" t="s">
        <v>782</v>
      </c>
      <c r="CY26" s="182" t="s">
        <v>782</v>
      </c>
      <c r="CZ26" s="182" t="s">
        <v>782</v>
      </c>
      <c r="DA26" s="182" t="s">
        <v>782</v>
      </c>
      <c r="DB26" s="182" t="s">
        <v>782</v>
      </c>
      <c r="DC26" s="182" t="s">
        <v>782</v>
      </c>
      <c r="DD26" s="182" t="s">
        <v>782</v>
      </c>
      <c r="DE26" s="182" t="s">
        <v>782</v>
      </c>
      <c r="DF26" s="182" t="s">
        <v>782</v>
      </c>
      <c r="DG26" s="182" t="s">
        <v>782</v>
      </c>
      <c r="DH26" s="182" t="s">
        <v>782</v>
      </c>
      <c r="DI26" s="182" t="s">
        <v>782</v>
      </c>
      <c r="DJ26" s="182" t="s">
        <v>782</v>
      </c>
      <c r="DK26" s="182" t="s">
        <v>782</v>
      </c>
      <c r="DL26" s="182" t="s">
        <v>782</v>
      </c>
      <c r="DM26" s="182" t="s">
        <v>782</v>
      </c>
      <c r="DN26" s="182" t="s">
        <v>782</v>
      </c>
      <c r="DO26" s="182" t="s">
        <v>782</v>
      </c>
      <c r="DP26" s="182" t="s">
        <v>782</v>
      </c>
      <c r="DQ26" s="182" t="s">
        <v>782</v>
      </c>
      <c r="DR26" s="182" t="s">
        <v>782</v>
      </c>
      <c r="DS26" s="182" t="s">
        <v>782</v>
      </c>
      <c r="DT26" s="182" t="s">
        <v>782</v>
      </c>
      <c r="DU26" s="182" t="s">
        <v>782</v>
      </c>
      <c r="DV26" s="182" t="s">
        <v>782</v>
      </c>
      <c r="DW26" s="182" t="s">
        <v>782</v>
      </c>
      <c r="DX26" s="182" t="s">
        <v>782</v>
      </c>
      <c r="DY26" s="182" t="s">
        <v>782</v>
      </c>
      <c r="DZ26" s="182" t="s">
        <v>782</v>
      </c>
      <c r="EA26" s="182" t="s">
        <v>782</v>
      </c>
      <c r="EB26" s="182" t="s">
        <v>782</v>
      </c>
      <c r="EC26" s="182" t="s">
        <v>782</v>
      </c>
      <c r="ED26" s="182" t="s">
        <v>782</v>
      </c>
      <c r="EE26" s="182" t="s">
        <v>782</v>
      </c>
      <c r="EF26" s="182" t="s">
        <v>782</v>
      </c>
      <c r="EG26" s="182" t="s">
        <v>782</v>
      </c>
      <c r="EH26" s="182" t="s">
        <v>782</v>
      </c>
    </row>
    <row r="27" spans="1:138" s="120" customFormat="1" ht="48" customHeight="1" x14ac:dyDescent="0.25">
      <c r="A27" s="452"/>
      <c r="B27" s="452"/>
      <c r="C27" s="452"/>
      <c r="D27" s="452"/>
      <c r="E27" s="462"/>
      <c r="F27" s="452"/>
      <c r="G27" s="452"/>
      <c r="H27" s="468"/>
      <c r="I27" s="181" t="s">
        <v>926</v>
      </c>
      <c r="J27" s="121" t="s">
        <v>927</v>
      </c>
      <c r="K27" s="121" t="s">
        <v>928</v>
      </c>
      <c r="L27" s="134">
        <v>0.93</v>
      </c>
      <c r="M27" s="135">
        <v>0.04</v>
      </c>
      <c r="N27" s="135">
        <v>0.04</v>
      </c>
      <c r="O27" s="121" t="s">
        <v>929</v>
      </c>
      <c r="P27" s="135">
        <v>0.1</v>
      </c>
      <c r="Q27" s="135">
        <v>0.11</v>
      </c>
      <c r="R27" s="121" t="s">
        <v>930</v>
      </c>
      <c r="S27" s="135">
        <v>0.2</v>
      </c>
      <c r="T27" s="135">
        <v>0.22</v>
      </c>
      <c r="U27" s="121" t="s">
        <v>931</v>
      </c>
      <c r="V27" s="135">
        <v>0.28439999999999999</v>
      </c>
      <c r="W27" s="135">
        <v>0.30580645161290321</v>
      </c>
      <c r="X27" s="121" t="s">
        <v>1306</v>
      </c>
      <c r="Y27" s="135">
        <v>0.38532100000000002</v>
      </c>
      <c r="Z27" s="135">
        <v>0.41432365591397852</v>
      </c>
      <c r="AA27" s="121" t="s">
        <v>1327</v>
      </c>
      <c r="AB27" s="135">
        <v>0.550458</v>
      </c>
      <c r="AC27" s="135">
        <v>0.59189032258064511</v>
      </c>
      <c r="AD27" s="121" t="s">
        <v>1351</v>
      </c>
      <c r="AE27" s="450" t="s">
        <v>95</v>
      </c>
      <c r="AF27" s="450"/>
      <c r="AG27" s="451"/>
      <c r="AH27" s="148" t="s">
        <v>782</v>
      </c>
      <c r="AI27" s="148" t="s">
        <v>782</v>
      </c>
      <c r="AJ27" s="123" t="s">
        <v>782</v>
      </c>
      <c r="AK27" s="148" t="s">
        <v>782</v>
      </c>
      <c r="AL27" s="148" t="s">
        <v>782</v>
      </c>
      <c r="AM27" s="123" t="s">
        <v>782</v>
      </c>
      <c r="AN27" s="148" t="s">
        <v>782</v>
      </c>
      <c r="AO27" s="148" t="s">
        <v>782</v>
      </c>
      <c r="AP27" s="123" t="s">
        <v>782</v>
      </c>
      <c r="AQ27" s="148" t="s">
        <v>782</v>
      </c>
      <c r="AR27" s="148" t="s">
        <v>782</v>
      </c>
      <c r="AS27" s="123" t="s">
        <v>782</v>
      </c>
      <c r="AT27" s="148" t="s">
        <v>782</v>
      </c>
      <c r="AU27" s="148" t="s">
        <v>782</v>
      </c>
      <c r="AV27" s="123" t="s">
        <v>782</v>
      </c>
      <c r="AW27" s="148" t="s">
        <v>782</v>
      </c>
      <c r="AX27" s="148" t="s">
        <v>782</v>
      </c>
      <c r="AY27" s="123" t="s">
        <v>782</v>
      </c>
      <c r="AZ27" s="121" t="s">
        <v>924</v>
      </c>
      <c r="BA27" s="121" t="s">
        <v>925</v>
      </c>
      <c r="BB27" s="182" t="s">
        <v>782</v>
      </c>
      <c r="BC27" s="182" t="s">
        <v>782</v>
      </c>
      <c r="BD27" s="182" t="s">
        <v>782</v>
      </c>
      <c r="BE27" s="182" t="s">
        <v>782</v>
      </c>
      <c r="BF27" s="182" t="s">
        <v>782</v>
      </c>
      <c r="BG27" s="182" t="s">
        <v>782</v>
      </c>
      <c r="BH27" s="182" t="s">
        <v>782</v>
      </c>
      <c r="BI27" s="182" t="s">
        <v>782</v>
      </c>
      <c r="BJ27" s="182" t="s">
        <v>782</v>
      </c>
      <c r="BK27" s="182" t="s">
        <v>782</v>
      </c>
      <c r="BL27" s="182" t="s">
        <v>782</v>
      </c>
      <c r="BM27" s="182" t="s">
        <v>782</v>
      </c>
      <c r="BN27" s="182" t="s">
        <v>782</v>
      </c>
      <c r="BO27" s="182" t="s">
        <v>782</v>
      </c>
      <c r="BP27" s="182" t="s">
        <v>782</v>
      </c>
      <c r="BQ27" s="182" t="s">
        <v>782</v>
      </c>
      <c r="BR27" s="182" t="s">
        <v>782</v>
      </c>
      <c r="BS27" s="182" t="s">
        <v>782</v>
      </c>
      <c r="BT27" s="182" t="s">
        <v>782</v>
      </c>
      <c r="BU27" s="182" t="s">
        <v>782</v>
      </c>
      <c r="BV27" s="182" t="s">
        <v>782</v>
      </c>
      <c r="BW27" s="182" t="s">
        <v>782</v>
      </c>
      <c r="BX27" s="182" t="s">
        <v>782</v>
      </c>
      <c r="BY27" s="182" t="s">
        <v>782</v>
      </c>
      <c r="BZ27" s="182" t="s">
        <v>782</v>
      </c>
      <c r="CA27" s="182" t="s">
        <v>782</v>
      </c>
      <c r="CB27" s="182" t="s">
        <v>782</v>
      </c>
      <c r="CC27" s="182" t="s">
        <v>782</v>
      </c>
      <c r="CD27" s="182" t="s">
        <v>782</v>
      </c>
      <c r="CE27" s="182" t="s">
        <v>782</v>
      </c>
      <c r="CF27" s="182" t="s">
        <v>782</v>
      </c>
      <c r="CG27" s="182" t="s">
        <v>782</v>
      </c>
      <c r="CH27" s="182" t="s">
        <v>782</v>
      </c>
      <c r="CI27" s="182" t="s">
        <v>782</v>
      </c>
      <c r="CJ27" s="182" t="s">
        <v>782</v>
      </c>
      <c r="CK27" s="182" t="s">
        <v>782</v>
      </c>
      <c r="CL27" s="182" t="s">
        <v>782</v>
      </c>
      <c r="CM27" s="182" t="s">
        <v>782</v>
      </c>
      <c r="CN27" s="182" t="s">
        <v>782</v>
      </c>
      <c r="CO27" s="182" t="s">
        <v>782</v>
      </c>
      <c r="CP27" s="182" t="s">
        <v>782</v>
      </c>
      <c r="CQ27" s="182" t="s">
        <v>782</v>
      </c>
      <c r="CR27" s="182" t="s">
        <v>782</v>
      </c>
      <c r="CS27" s="182" t="s">
        <v>782</v>
      </c>
      <c r="CT27" s="182" t="s">
        <v>782</v>
      </c>
      <c r="CU27" s="182" t="s">
        <v>782</v>
      </c>
      <c r="CV27" s="182" t="s">
        <v>782</v>
      </c>
      <c r="CW27" s="182" t="s">
        <v>782</v>
      </c>
      <c r="CX27" s="182" t="s">
        <v>782</v>
      </c>
      <c r="CY27" s="182" t="s">
        <v>782</v>
      </c>
      <c r="CZ27" s="182" t="s">
        <v>782</v>
      </c>
      <c r="DA27" s="182" t="s">
        <v>782</v>
      </c>
      <c r="DB27" s="182" t="s">
        <v>782</v>
      </c>
      <c r="DC27" s="182" t="s">
        <v>782</v>
      </c>
      <c r="DD27" s="182" t="s">
        <v>782</v>
      </c>
      <c r="DE27" s="182" t="s">
        <v>782</v>
      </c>
      <c r="DF27" s="182" t="s">
        <v>782</v>
      </c>
      <c r="DG27" s="182" t="s">
        <v>782</v>
      </c>
      <c r="DH27" s="182" t="s">
        <v>782</v>
      </c>
      <c r="DI27" s="182" t="s">
        <v>782</v>
      </c>
      <c r="DJ27" s="182" t="s">
        <v>782</v>
      </c>
      <c r="DK27" s="182" t="s">
        <v>782</v>
      </c>
      <c r="DL27" s="182" t="s">
        <v>782</v>
      </c>
      <c r="DM27" s="182" t="s">
        <v>782</v>
      </c>
      <c r="DN27" s="182" t="s">
        <v>782</v>
      </c>
      <c r="DO27" s="182" t="s">
        <v>782</v>
      </c>
      <c r="DP27" s="182" t="s">
        <v>782</v>
      </c>
      <c r="DQ27" s="182" t="s">
        <v>782</v>
      </c>
      <c r="DR27" s="182" t="s">
        <v>782</v>
      </c>
      <c r="DS27" s="182" t="s">
        <v>782</v>
      </c>
      <c r="DT27" s="182" t="s">
        <v>782</v>
      </c>
      <c r="DU27" s="182" t="s">
        <v>782</v>
      </c>
      <c r="DV27" s="182" t="s">
        <v>782</v>
      </c>
      <c r="DW27" s="182" t="s">
        <v>782</v>
      </c>
      <c r="DX27" s="182" t="s">
        <v>782</v>
      </c>
      <c r="DY27" s="182" t="s">
        <v>782</v>
      </c>
      <c r="DZ27" s="182" t="s">
        <v>782</v>
      </c>
      <c r="EA27" s="182" t="s">
        <v>782</v>
      </c>
      <c r="EB27" s="182" t="s">
        <v>782</v>
      </c>
      <c r="EC27" s="182" t="s">
        <v>782</v>
      </c>
      <c r="ED27" s="182" t="s">
        <v>782</v>
      </c>
      <c r="EE27" s="182" t="s">
        <v>782</v>
      </c>
      <c r="EF27" s="182" t="s">
        <v>782</v>
      </c>
      <c r="EG27" s="182" t="s">
        <v>782</v>
      </c>
      <c r="EH27" s="182" t="s">
        <v>782</v>
      </c>
    </row>
    <row r="28" spans="1:138" s="3" customFormat="1" ht="75" customHeight="1" x14ac:dyDescent="0.25">
      <c r="A28" s="452"/>
      <c r="B28" s="452"/>
      <c r="C28" s="452"/>
      <c r="D28" s="452"/>
      <c r="E28" s="462"/>
      <c r="F28" s="452"/>
      <c r="G28" s="452"/>
      <c r="H28" s="468"/>
      <c r="I28" s="181" t="s">
        <v>932</v>
      </c>
      <c r="J28" s="121" t="s">
        <v>933</v>
      </c>
      <c r="K28" s="121" t="s">
        <v>934</v>
      </c>
      <c r="L28" s="134">
        <v>0.93</v>
      </c>
      <c r="M28" s="135">
        <v>0.05</v>
      </c>
      <c r="N28" s="135">
        <v>0.05</v>
      </c>
      <c r="O28" s="121" t="s">
        <v>935</v>
      </c>
      <c r="P28" s="135">
        <v>0.15</v>
      </c>
      <c r="Q28" s="135">
        <v>0.16</v>
      </c>
      <c r="R28" s="121" t="s">
        <v>936</v>
      </c>
      <c r="S28" s="135">
        <v>0.25</v>
      </c>
      <c r="T28" s="135">
        <v>0.27</v>
      </c>
      <c r="U28" s="121" t="s">
        <v>937</v>
      </c>
      <c r="V28" s="135">
        <v>0.35</v>
      </c>
      <c r="W28" s="135">
        <v>0.37634408602150532</v>
      </c>
      <c r="X28" s="121" t="s">
        <v>1307</v>
      </c>
      <c r="Y28" s="135">
        <v>0.5</v>
      </c>
      <c r="Z28" s="135">
        <v>0.5376344086021505</v>
      </c>
      <c r="AA28" s="121" t="s">
        <v>1328</v>
      </c>
      <c r="AB28" s="135">
        <v>0.6</v>
      </c>
      <c r="AC28" s="135">
        <v>0.64516129032258063</v>
      </c>
      <c r="AD28" s="121" t="s">
        <v>1352</v>
      </c>
      <c r="AE28" s="450" t="s">
        <v>95</v>
      </c>
      <c r="AF28" s="450"/>
      <c r="AG28" s="451"/>
      <c r="AH28" s="148" t="s">
        <v>782</v>
      </c>
      <c r="AI28" s="148" t="s">
        <v>782</v>
      </c>
      <c r="AJ28" s="123" t="s">
        <v>782</v>
      </c>
      <c r="AK28" s="148" t="s">
        <v>782</v>
      </c>
      <c r="AL28" s="148" t="s">
        <v>782</v>
      </c>
      <c r="AM28" s="123" t="s">
        <v>782</v>
      </c>
      <c r="AN28" s="148" t="s">
        <v>782</v>
      </c>
      <c r="AO28" s="148" t="s">
        <v>782</v>
      </c>
      <c r="AP28" s="123" t="s">
        <v>782</v>
      </c>
      <c r="AQ28" s="148" t="s">
        <v>782</v>
      </c>
      <c r="AR28" s="148" t="s">
        <v>782</v>
      </c>
      <c r="AS28" s="123" t="s">
        <v>782</v>
      </c>
      <c r="AT28" s="148" t="s">
        <v>782</v>
      </c>
      <c r="AU28" s="148" t="s">
        <v>782</v>
      </c>
      <c r="AV28" s="123" t="s">
        <v>782</v>
      </c>
      <c r="AW28" s="148" t="s">
        <v>782</v>
      </c>
      <c r="AX28" s="148" t="s">
        <v>782</v>
      </c>
      <c r="AY28" s="123" t="s">
        <v>782</v>
      </c>
      <c r="AZ28" s="121" t="s">
        <v>924</v>
      </c>
      <c r="BA28" s="121" t="s">
        <v>925</v>
      </c>
      <c r="BB28" s="182" t="s">
        <v>782</v>
      </c>
      <c r="BC28" s="182" t="s">
        <v>782</v>
      </c>
      <c r="BD28" s="182" t="s">
        <v>782</v>
      </c>
      <c r="BE28" s="182" t="s">
        <v>782</v>
      </c>
      <c r="BF28" s="182" t="s">
        <v>782</v>
      </c>
      <c r="BG28" s="182" t="s">
        <v>782</v>
      </c>
      <c r="BH28" s="182" t="s">
        <v>782</v>
      </c>
      <c r="BI28" s="182" t="s">
        <v>782</v>
      </c>
      <c r="BJ28" s="182" t="s">
        <v>782</v>
      </c>
      <c r="BK28" s="182" t="s">
        <v>782</v>
      </c>
      <c r="BL28" s="182" t="s">
        <v>782</v>
      </c>
      <c r="BM28" s="182" t="s">
        <v>782</v>
      </c>
      <c r="BN28" s="182" t="s">
        <v>782</v>
      </c>
      <c r="BO28" s="182" t="s">
        <v>782</v>
      </c>
      <c r="BP28" s="182" t="s">
        <v>782</v>
      </c>
      <c r="BQ28" s="182" t="s">
        <v>782</v>
      </c>
      <c r="BR28" s="182" t="s">
        <v>782</v>
      </c>
      <c r="BS28" s="182" t="s">
        <v>782</v>
      </c>
      <c r="BT28" s="182" t="s">
        <v>782</v>
      </c>
      <c r="BU28" s="182" t="s">
        <v>782</v>
      </c>
      <c r="BV28" s="182" t="s">
        <v>782</v>
      </c>
      <c r="BW28" s="182" t="s">
        <v>782</v>
      </c>
      <c r="BX28" s="182" t="s">
        <v>782</v>
      </c>
      <c r="BY28" s="182" t="s">
        <v>782</v>
      </c>
      <c r="BZ28" s="182" t="s">
        <v>782</v>
      </c>
      <c r="CA28" s="182" t="s">
        <v>782</v>
      </c>
      <c r="CB28" s="182" t="s">
        <v>782</v>
      </c>
      <c r="CC28" s="182" t="s">
        <v>782</v>
      </c>
      <c r="CD28" s="182" t="s">
        <v>782</v>
      </c>
      <c r="CE28" s="182" t="s">
        <v>782</v>
      </c>
      <c r="CF28" s="182" t="s">
        <v>782</v>
      </c>
      <c r="CG28" s="182" t="s">
        <v>782</v>
      </c>
      <c r="CH28" s="182" t="s">
        <v>782</v>
      </c>
      <c r="CI28" s="182" t="s">
        <v>782</v>
      </c>
      <c r="CJ28" s="182" t="s">
        <v>782</v>
      </c>
      <c r="CK28" s="182" t="s">
        <v>782</v>
      </c>
      <c r="CL28" s="182" t="s">
        <v>782</v>
      </c>
      <c r="CM28" s="182" t="s">
        <v>782</v>
      </c>
      <c r="CN28" s="182" t="s">
        <v>782</v>
      </c>
      <c r="CO28" s="182" t="s">
        <v>782</v>
      </c>
      <c r="CP28" s="182" t="s">
        <v>782</v>
      </c>
      <c r="CQ28" s="182" t="s">
        <v>782</v>
      </c>
      <c r="CR28" s="182" t="s">
        <v>782</v>
      </c>
      <c r="CS28" s="182" t="s">
        <v>782</v>
      </c>
      <c r="CT28" s="182" t="s">
        <v>782</v>
      </c>
      <c r="CU28" s="182" t="s">
        <v>782</v>
      </c>
      <c r="CV28" s="182" t="s">
        <v>782</v>
      </c>
      <c r="CW28" s="182" t="s">
        <v>782</v>
      </c>
      <c r="CX28" s="182" t="s">
        <v>782</v>
      </c>
      <c r="CY28" s="182" t="s">
        <v>782</v>
      </c>
      <c r="CZ28" s="182" t="s">
        <v>782</v>
      </c>
      <c r="DA28" s="182" t="s">
        <v>782</v>
      </c>
      <c r="DB28" s="182" t="s">
        <v>782</v>
      </c>
      <c r="DC28" s="182" t="s">
        <v>782</v>
      </c>
      <c r="DD28" s="182" t="s">
        <v>782</v>
      </c>
      <c r="DE28" s="182" t="s">
        <v>782</v>
      </c>
      <c r="DF28" s="182" t="s">
        <v>782</v>
      </c>
      <c r="DG28" s="182" t="s">
        <v>782</v>
      </c>
      <c r="DH28" s="182" t="s">
        <v>782</v>
      </c>
      <c r="DI28" s="182" t="s">
        <v>782</v>
      </c>
      <c r="DJ28" s="182" t="s">
        <v>782</v>
      </c>
      <c r="DK28" s="182" t="s">
        <v>782</v>
      </c>
      <c r="DL28" s="182" t="s">
        <v>782</v>
      </c>
      <c r="DM28" s="182" t="s">
        <v>782</v>
      </c>
      <c r="DN28" s="182" t="s">
        <v>782</v>
      </c>
      <c r="DO28" s="182" t="s">
        <v>782</v>
      </c>
      <c r="DP28" s="182" t="s">
        <v>782</v>
      </c>
      <c r="DQ28" s="182" t="s">
        <v>782</v>
      </c>
      <c r="DR28" s="182" t="s">
        <v>782</v>
      </c>
      <c r="DS28" s="182" t="s">
        <v>782</v>
      </c>
      <c r="DT28" s="182" t="s">
        <v>782</v>
      </c>
      <c r="DU28" s="182" t="s">
        <v>782</v>
      </c>
      <c r="DV28" s="182" t="s">
        <v>782</v>
      </c>
      <c r="DW28" s="182" t="s">
        <v>782</v>
      </c>
      <c r="DX28" s="182" t="s">
        <v>782</v>
      </c>
      <c r="DY28" s="182" t="s">
        <v>782</v>
      </c>
      <c r="DZ28" s="182" t="s">
        <v>782</v>
      </c>
      <c r="EA28" s="182" t="s">
        <v>782</v>
      </c>
      <c r="EB28" s="182" t="s">
        <v>782</v>
      </c>
      <c r="EC28" s="182" t="s">
        <v>782</v>
      </c>
      <c r="ED28" s="182" t="s">
        <v>782</v>
      </c>
      <c r="EE28" s="182" t="s">
        <v>782</v>
      </c>
      <c r="EF28" s="182" t="s">
        <v>782</v>
      </c>
      <c r="EG28" s="182" t="s">
        <v>782</v>
      </c>
      <c r="EH28" s="182" t="s">
        <v>782</v>
      </c>
    </row>
    <row r="29" spans="1:138" s="120" customFormat="1" ht="48" customHeight="1" x14ac:dyDescent="0.25">
      <c r="A29" s="452"/>
      <c r="B29" s="452"/>
      <c r="C29" s="452"/>
      <c r="D29" s="452"/>
      <c r="E29" s="462"/>
      <c r="F29" s="452"/>
      <c r="G29" s="452"/>
      <c r="H29" s="468"/>
      <c r="I29" s="181" t="s">
        <v>938</v>
      </c>
      <c r="J29" s="121" t="s">
        <v>939</v>
      </c>
      <c r="K29" s="121" t="s">
        <v>940</v>
      </c>
      <c r="L29" s="134">
        <v>0.95</v>
      </c>
      <c r="M29" s="135">
        <v>0.05</v>
      </c>
      <c r="N29" s="135">
        <v>0.05</v>
      </c>
      <c r="O29" s="121" t="s">
        <v>941</v>
      </c>
      <c r="P29" s="135">
        <v>0.16</v>
      </c>
      <c r="Q29" s="135">
        <v>0.17</v>
      </c>
      <c r="R29" s="121" t="s">
        <v>942</v>
      </c>
      <c r="S29" s="135">
        <v>0.27</v>
      </c>
      <c r="T29" s="135">
        <v>0.28999999999999998</v>
      </c>
      <c r="U29" s="121" t="s">
        <v>943</v>
      </c>
      <c r="V29" s="135">
        <v>0.34715000000000001</v>
      </c>
      <c r="W29" s="135">
        <v>0.36542105263157898</v>
      </c>
      <c r="X29" s="121" t="s">
        <v>1308</v>
      </c>
      <c r="Y29" s="135">
        <v>0.43009999999999998</v>
      </c>
      <c r="Z29" s="135">
        <v>0.45273684210526316</v>
      </c>
      <c r="AA29" s="121" t="s">
        <v>1329</v>
      </c>
      <c r="AB29" s="135">
        <v>0.507772</v>
      </c>
      <c r="AC29" s="135">
        <v>0.53449684210526316</v>
      </c>
      <c r="AD29" s="121" t="s">
        <v>1353</v>
      </c>
      <c r="AE29" s="121" t="s">
        <v>944</v>
      </c>
      <c r="AF29" s="121" t="s">
        <v>945</v>
      </c>
      <c r="AG29" s="135">
        <v>0.01</v>
      </c>
      <c r="AH29" s="135">
        <v>0</v>
      </c>
      <c r="AI29" s="135">
        <v>1</v>
      </c>
      <c r="AJ29" s="121" t="s">
        <v>946</v>
      </c>
      <c r="AK29" s="135">
        <v>0</v>
      </c>
      <c r="AL29" s="135">
        <v>1</v>
      </c>
      <c r="AM29" s="121" t="s">
        <v>947</v>
      </c>
      <c r="AN29" s="135">
        <v>0.5</v>
      </c>
      <c r="AO29" s="135">
        <v>1</v>
      </c>
      <c r="AP29" s="121" t="s">
        <v>948</v>
      </c>
      <c r="AQ29" s="135">
        <v>4.0200000000000001E-4</v>
      </c>
      <c r="AR29" s="135">
        <v>1</v>
      </c>
      <c r="AS29" s="121" t="s">
        <v>1316</v>
      </c>
      <c r="AT29" s="135">
        <v>3.2229999999999997E-4</v>
      </c>
      <c r="AU29" s="135">
        <v>1</v>
      </c>
      <c r="AV29" s="121" t="s">
        <v>1339</v>
      </c>
      <c r="AW29" s="135">
        <v>2.6800000000000001E-4</v>
      </c>
      <c r="AX29" s="135">
        <v>1</v>
      </c>
      <c r="AY29" s="121" t="s">
        <v>1364</v>
      </c>
      <c r="AZ29" s="121" t="s">
        <v>924</v>
      </c>
      <c r="BA29" s="121" t="s">
        <v>925</v>
      </c>
      <c r="BB29" s="182" t="s">
        <v>782</v>
      </c>
      <c r="BC29" s="182" t="s">
        <v>782</v>
      </c>
      <c r="BD29" s="182" t="s">
        <v>782</v>
      </c>
      <c r="BE29" s="182" t="s">
        <v>782</v>
      </c>
      <c r="BF29" s="182" t="s">
        <v>782</v>
      </c>
      <c r="BG29" s="182" t="s">
        <v>782</v>
      </c>
      <c r="BH29" s="182" t="s">
        <v>782</v>
      </c>
      <c r="BI29" s="182" t="s">
        <v>782</v>
      </c>
      <c r="BJ29" s="182" t="s">
        <v>782</v>
      </c>
      <c r="BK29" s="182" t="s">
        <v>782</v>
      </c>
      <c r="BL29" s="182" t="s">
        <v>782</v>
      </c>
      <c r="BM29" s="182" t="s">
        <v>782</v>
      </c>
      <c r="BN29" s="182" t="s">
        <v>782</v>
      </c>
      <c r="BO29" s="182" t="s">
        <v>782</v>
      </c>
      <c r="BP29" s="182" t="s">
        <v>782</v>
      </c>
      <c r="BQ29" s="182" t="s">
        <v>782</v>
      </c>
      <c r="BR29" s="182" t="s">
        <v>782</v>
      </c>
      <c r="BS29" s="182" t="s">
        <v>782</v>
      </c>
      <c r="BT29" s="182" t="s">
        <v>782</v>
      </c>
      <c r="BU29" s="182" t="s">
        <v>782</v>
      </c>
      <c r="BV29" s="182" t="s">
        <v>782</v>
      </c>
      <c r="BW29" s="182" t="s">
        <v>782</v>
      </c>
      <c r="BX29" s="182" t="s">
        <v>782</v>
      </c>
      <c r="BY29" s="182" t="s">
        <v>782</v>
      </c>
      <c r="BZ29" s="182" t="s">
        <v>782</v>
      </c>
      <c r="CA29" s="182" t="s">
        <v>782</v>
      </c>
      <c r="CB29" s="182" t="s">
        <v>782</v>
      </c>
      <c r="CC29" s="182" t="s">
        <v>782</v>
      </c>
      <c r="CD29" s="182" t="s">
        <v>782</v>
      </c>
      <c r="CE29" s="182" t="s">
        <v>782</v>
      </c>
      <c r="CF29" s="182" t="s">
        <v>782</v>
      </c>
      <c r="CG29" s="182" t="s">
        <v>782</v>
      </c>
      <c r="CH29" s="182" t="s">
        <v>782</v>
      </c>
      <c r="CI29" s="182" t="s">
        <v>782</v>
      </c>
      <c r="CJ29" s="182" t="s">
        <v>782</v>
      </c>
      <c r="CK29" s="182" t="s">
        <v>782</v>
      </c>
      <c r="CL29" s="182" t="s">
        <v>782</v>
      </c>
      <c r="CM29" s="182" t="s">
        <v>782</v>
      </c>
      <c r="CN29" s="182" t="s">
        <v>782</v>
      </c>
      <c r="CO29" s="182" t="s">
        <v>782</v>
      </c>
      <c r="CP29" s="182" t="s">
        <v>782</v>
      </c>
      <c r="CQ29" s="182" t="s">
        <v>782</v>
      </c>
      <c r="CR29" s="182" t="s">
        <v>782</v>
      </c>
      <c r="CS29" s="182" t="s">
        <v>782</v>
      </c>
      <c r="CT29" s="182" t="s">
        <v>782</v>
      </c>
      <c r="CU29" s="182" t="s">
        <v>782</v>
      </c>
      <c r="CV29" s="182" t="s">
        <v>782</v>
      </c>
      <c r="CW29" s="182" t="s">
        <v>782</v>
      </c>
      <c r="CX29" s="182" t="s">
        <v>782</v>
      </c>
      <c r="CY29" s="182" t="s">
        <v>782</v>
      </c>
      <c r="CZ29" s="182" t="s">
        <v>782</v>
      </c>
      <c r="DA29" s="182" t="s">
        <v>782</v>
      </c>
      <c r="DB29" s="182" t="s">
        <v>782</v>
      </c>
      <c r="DC29" s="182" t="s">
        <v>782</v>
      </c>
      <c r="DD29" s="182" t="s">
        <v>782</v>
      </c>
      <c r="DE29" s="182" t="s">
        <v>782</v>
      </c>
      <c r="DF29" s="182" t="s">
        <v>782</v>
      </c>
      <c r="DG29" s="182" t="s">
        <v>782</v>
      </c>
      <c r="DH29" s="182" t="s">
        <v>782</v>
      </c>
      <c r="DI29" s="182" t="s">
        <v>782</v>
      </c>
      <c r="DJ29" s="182" t="s">
        <v>782</v>
      </c>
      <c r="DK29" s="182" t="s">
        <v>782</v>
      </c>
      <c r="DL29" s="182" t="s">
        <v>782</v>
      </c>
      <c r="DM29" s="182" t="s">
        <v>782</v>
      </c>
      <c r="DN29" s="182" t="s">
        <v>782</v>
      </c>
      <c r="DO29" s="182" t="s">
        <v>782</v>
      </c>
      <c r="DP29" s="182" t="s">
        <v>782</v>
      </c>
      <c r="DQ29" s="182" t="s">
        <v>782</v>
      </c>
      <c r="DR29" s="182" t="s">
        <v>782</v>
      </c>
      <c r="DS29" s="182" t="s">
        <v>782</v>
      </c>
      <c r="DT29" s="182" t="s">
        <v>782</v>
      </c>
      <c r="DU29" s="182" t="s">
        <v>782</v>
      </c>
      <c r="DV29" s="182" t="s">
        <v>782</v>
      </c>
      <c r="DW29" s="182" t="s">
        <v>782</v>
      </c>
      <c r="DX29" s="182" t="s">
        <v>782</v>
      </c>
      <c r="DY29" s="182" t="s">
        <v>782</v>
      </c>
      <c r="DZ29" s="182" t="s">
        <v>782</v>
      </c>
      <c r="EA29" s="182" t="s">
        <v>782</v>
      </c>
      <c r="EB29" s="182" t="s">
        <v>782</v>
      </c>
      <c r="EC29" s="182" t="s">
        <v>782</v>
      </c>
      <c r="ED29" s="182" t="s">
        <v>782</v>
      </c>
      <c r="EE29" s="182" t="s">
        <v>782</v>
      </c>
      <c r="EF29" s="182" t="s">
        <v>782</v>
      </c>
      <c r="EG29" s="182" t="s">
        <v>782</v>
      </c>
      <c r="EH29" s="182" t="s">
        <v>782</v>
      </c>
    </row>
    <row r="30" spans="1:138" s="120" customFormat="1" ht="48" customHeight="1" x14ac:dyDescent="0.25">
      <c r="A30" s="453"/>
      <c r="B30" s="453"/>
      <c r="C30" s="453"/>
      <c r="D30" s="453"/>
      <c r="E30" s="463"/>
      <c r="F30" s="453"/>
      <c r="G30" s="453"/>
      <c r="H30" s="468"/>
      <c r="I30" s="181" t="s">
        <v>949</v>
      </c>
      <c r="J30" s="121" t="s">
        <v>950</v>
      </c>
      <c r="K30" s="121" t="s">
        <v>951</v>
      </c>
      <c r="L30" s="134">
        <v>0.95</v>
      </c>
      <c r="M30" s="135">
        <v>0</v>
      </c>
      <c r="N30" s="142" t="s">
        <v>839</v>
      </c>
      <c r="O30" s="121" t="s">
        <v>952</v>
      </c>
      <c r="P30" s="135">
        <v>0</v>
      </c>
      <c r="Q30" s="142" t="s">
        <v>839</v>
      </c>
      <c r="R30" s="121" t="s">
        <v>953</v>
      </c>
      <c r="S30" s="135">
        <v>0.25</v>
      </c>
      <c r="T30" s="135">
        <v>0.26</v>
      </c>
      <c r="U30" s="121" t="s">
        <v>954</v>
      </c>
      <c r="V30" s="135">
        <v>0.36249999999999999</v>
      </c>
      <c r="W30" s="203">
        <v>0.38157894736842107</v>
      </c>
      <c r="X30" s="121" t="s">
        <v>1309</v>
      </c>
      <c r="Y30" s="135">
        <v>0.4375</v>
      </c>
      <c r="Z30" s="203">
        <v>0.46052631578947373</v>
      </c>
      <c r="AA30" s="121" t="s">
        <v>1330</v>
      </c>
      <c r="AB30" s="135">
        <v>0.6875</v>
      </c>
      <c r="AC30" s="135">
        <v>0.72368421052631582</v>
      </c>
      <c r="AD30" s="121" t="s">
        <v>1354</v>
      </c>
      <c r="AE30" s="450" t="s">
        <v>95</v>
      </c>
      <c r="AF30" s="450"/>
      <c r="AG30" s="451"/>
      <c r="AH30" s="148" t="s">
        <v>782</v>
      </c>
      <c r="AI30" s="148" t="s">
        <v>782</v>
      </c>
      <c r="AJ30" s="123" t="s">
        <v>782</v>
      </c>
      <c r="AK30" s="148" t="s">
        <v>782</v>
      </c>
      <c r="AL30" s="148" t="s">
        <v>782</v>
      </c>
      <c r="AM30" s="123" t="s">
        <v>782</v>
      </c>
      <c r="AN30" s="148" t="s">
        <v>782</v>
      </c>
      <c r="AO30" s="148" t="s">
        <v>782</v>
      </c>
      <c r="AP30" s="123" t="s">
        <v>782</v>
      </c>
      <c r="AQ30" s="148" t="s">
        <v>782</v>
      </c>
      <c r="AR30" s="148" t="s">
        <v>782</v>
      </c>
      <c r="AS30" s="123" t="s">
        <v>782</v>
      </c>
      <c r="AT30" s="148" t="s">
        <v>782</v>
      </c>
      <c r="AU30" s="148" t="s">
        <v>782</v>
      </c>
      <c r="AV30" s="123" t="s">
        <v>782</v>
      </c>
      <c r="AW30" s="148" t="s">
        <v>782</v>
      </c>
      <c r="AX30" s="148" t="s">
        <v>782</v>
      </c>
      <c r="AY30" s="123" t="s">
        <v>782</v>
      </c>
      <c r="AZ30" s="121" t="s">
        <v>924</v>
      </c>
      <c r="BA30" s="121" t="s">
        <v>925</v>
      </c>
      <c r="BB30" s="182" t="s">
        <v>782</v>
      </c>
      <c r="BC30" s="182" t="s">
        <v>782</v>
      </c>
      <c r="BD30" s="182" t="s">
        <v>782</v>
      </c>
      <c r="BE30" s="182" t="s">
        <v>782</v>
      </c>
      <c r="BF30" s="182" t="s">
        <v>782</v>
      </c>
      <c r="BG30" s="182" t="s">
        <v>782</v>
      </c>
      <c r="BH30" s="182" t="s">
        <v>782</v>
      </c>
      <c r="BI30" s="182" t="s">
        <v>782</v>
      </c>
      <c r="BJ30" s="182" t="s">
        <v>782</v>
      </c>
      <c r="BK30" s="182" t="s">
        <v>782</v>
      </c>
      <c r="BL30" s="182" t="s">
        <v>782</v>
      </c>
      <c r="BM30" s="182" t="s">
        <v>782</v>
      </c>
      <c r="BN30" s="182" t="s">
        <v>782</v>
      </c>
      <c r="BO30" s="182" t="s">
        <v>782</v>
      </c>
      <c r="BP30" s="182" t="s">
        <v>782</v>
      </c>
      <c r="BQ30" s="182" t="s">
        <v>782</v>
      </c>
      <c r="BR30" s="182" t="s">
        <v>782</v>
      </c>
      <c r="BS30" s="182" t="s">
        <v>782</v>
      </c>
      <c r="BT30" s="182" t="s">
        <v>782</v>
      </c>
      <c r="BU30" s="182" t="s">
        <v>782</v>
      </c>
      <c r="BV30" s="182" t="s">
        <v>782</v>
      </c>
      <c r="BW30" s="182" t="s">
        <v>782</v>
      </c>
      <c r="BX30" s="182" t="s">
        <v>782</v>
      </c>
      <c r="BY30" s="182" t="s">
        <v>782</v>
      </c>
      <c r="BZ30" s="182" t="s">
        <v>782</v>
      </c>
      <c r="CA30" s="182" t="s">
        <v>782</v>
      </c>
      <c r="CB30" s="182" t="s">
        <v>782</v>
      </c>
      <c r="CC30" s="182" t="s">
        <v>782</v>
      </c>
      <c r="CD30" s="182" t="s">
        <v>782</v>
      </c>
      <c r="CE30" s="182" t="s">
        <v>782</v>
      </c>
      <c r="CF30" s="182" t="s">
        <v>782</v>
      </c>
      <c r="CG30" s="182" t="s">
        <v>782</v>
      </c>
      <c r="CH30" s="182" t="s">
        <v>782</v>
      </c>
      <c r="CI30" s="182" t="s">
        <v>782</v>
      </c>
      <c r="CJ30" s="182" t="s">
        <v>782</v>
      </c>
      <c r="CK30" s="182" t="s">
        <v>782</v>
      </c>
      <c r="CL30" s="182" t="s">
        <v>782</v>
      </c>
      <c r="CM30" s="182" t="s">
        <v>782</v>
      </c>
      <c r="CN30" s="182" t="s">
        <v>782</v>
      </c>
      <c r="CO30" s="182" t="s">
        <v>782</v>
      </c>
      <c r="CP30" s="182" t="s">
        <v>782</v>
      </c>
      <c r="CQ30" s="182" t="s">
        <v>782</v>
      </c>
      <c r="CR30" s="182" t="s">
        <v>782</v>
      </c>
      <c r="CS30" s="182" t="s">
        <v>782</v>
      </c>
      <c r="CT30" s="182" t="s">
        <v>782</v>
      </c>
      <c r="CU30" s="182" t="s">
        <v>782</v>
      </c>
      <c r="CV30" s="182" t="s">
        <v>782</v>
      </c>
      <c r="CW30" s="182" t="s">
        <v>782</v>
      </c>
      <c r="CX30" s="182" t="s">
        <v>782</v>
      </c>
      <c r="CY30" s="182" t="s">
        <v>782</v>
      </c>
      <c r="CZ30" s="182" t="s">
        <v>782</v>
      </c>
      <c r="DA30" s="182" t="s">
        <v>782</v>
      </c>
      <c r="DB30" s="182" t="s">
        <v>782</v>
      </c>
      <c r="DC30" s="182" t="s">
        <v>782</v>
      </c>
      <c r="DD30" s="182" t="s">
        <v>782</v>
      </c>
      <c r="DE30" s="182" t="s">
        <v>782</v>
      </c>
      <c r="DF30" s="182" t="s">
        <v>782</v>
      </c>
      <c r="DG30" s="182" t="s">
        <v>782</v>
      </c>
      <c r="DH30" s="182" t="s">
        <v>782</v>
      </c>
      <c r="DI30" s="182" t="s">
        <v>782</v>
      </c>
      <c r="DJ30" s="182" t="s">
        <v>782</v>
      </c>
      <c r="DK30" s="182" t="s">
        <v>782</v>
      </c>
      <c r="DL30" s="182" t="s">
        <v>782</v>
      </c>
      <c r="DM30" s="182" t="s">
        <v>782</v>
      </c>
      <c r="DN30" s="182" t="s">
        <v>782</v>
      </c>
      <c r="DO30" s="182" t="s">
        <v>782</v>
      </c>
      <c r="DP30" s="182" t="s">
        <v>782</v>
      </c>
      <c r="DQ30" s="182" t="s">
        <v>782</v>
      </c>
      <c r="DR30" s="182" t="s">
        <v>782</v>
      </c>
      <c r="DS30" s="182" t="s">
        <v>782</v>
      </c>
      <c r="DT30" s="182" t="s">
        <v>782</v>
      </c>
      <c r="DU30" s="182" t="s">
        <v>782</v>
      </c>
      <c r="DV30" s="182" t="s">
        <v>782</v>
      </c>
      <c r="DW30" s="182" t="s">
        <v>782</v>
      </c>
      <c r="DX30" s="182" t="s">
        <v>782</v>
      </c>
      <c r="DY30" s="182" t="s">
        <v>782</v>
      </c>
      <c r="DZ30" s="182" t="s">
        <v>782</v>
      </c>
      <c r="EA30" s="182" t="s">
        <v>782</v>
      </c>
      <c r="EB30" s="182" t="s">
        <v>782</v>
      </c>
      <c r="EC30" s="182" t="s">
        <v>782</v>
      </c>
      <c r="ED30" s="182" t="s">
        <v>782</v>
      </c>
      <c r="EE30" s="182" t="s">
        <v>782</v>
      </c>
      <c r="EF30" s="182" t="s">
        <v>782</v>
      </c>
      <c r="EG30" s="182" t="s">
        <v>782</v>
      </c>
      <c r="EH30" s="182" t="s">
        <v>782</v>
      </c>
    </row>
    <row r="31" spans="1:138" s="3" customFormat="1" ht="75" customHeight="1" x14ac:dyDescent="0.25">
      <c r="A31" s="124"/>
      <c r="B31" s="124"/>
      <c r="C31" s="124"/>
      <c r="D31" s="124"/>
      <c r="E31" s="124"/>
      <c r="F31" s="124"/>
      <c r="G31" s="124"/>
      <c r="H31" s="468"/>
      <c r="I31" s="124"/>
      <c r="J31" s="124"/>
      <c r="K31" s="124"/>
      <c r="L31" s="137"/>
      <c r="M31" s="138" t="s">
        <v>164</v>
      </c>
      <c r="N31" s="139" t="s">
        <v>955</v>
      </c>
      <c r="O31" s="125"/>
      <c r="P31" s="138" t="s">
        <v>164</v>
      </c>
      <c r="Q31" s="139" t="s">
        <v>956</v>
      </c>
      <c r="R31" s="125"/>
      <c r="S31" s="138" t="s">
        <v>164</v>
      </c>
      <c r="T31" s="139" t="s">
        <v>957</v>
      </c>
      <c r="U31" s="125"/>
      <c r="V31" s="138" t="s">
        <v>164</v>
      </c>
      <c r="W31" s="204">
        <f>+AVERAGE(W26:W30)</f>
        <v>0.48071182795698925</v>
      </c>
      <c r="X31" s="125"/>
      <c r="Y31" s="138" t="s">
        <v>164</v>
      </c>
      <c r="Z31" s="204">
        <f>+AVERAGE(Z26:Z30)</f>
        <v>0.56920911889077541</v>
      </c>
      <c r="AA31" s="125"/>
      <c r="AB31" s="138" t="s">
        <v>164</v>
      </c>
      <c r="AC31" s="204">
        <f>+AVERAGE(AC26:AC30)</f>
        <v>0.69616959117147714</v>
      </c>
      <c r="AD31" s="125"/>
      <c r="AE31" s="124"/>
      <c r="AF31" s="124"/>
      <c r="AG31" s="137"/>
      <c r="AH31" s="138" t="s">
        <v>165</v>
      </c>
      <c r="AI31" s="139" t="s">
        <v>803</v>
      </c>
      <c r="AJ31" s="125"/>
      <c r="AK31" s="138" t="s">
        <v>165</v>
      </c>
      <c r="AL31" s="139" t="s">
        <v>958</v>
      </c>
      <c r="AM31" s="125"/>
      <c r="AN31" s="138" t="s">
        <v>165</v>
      </c>
      <c r="AO31" s="204">
        <v>0.98299999999999998</v>
      </c>
      <c r="AP31" s="126" t="s">
        <v>782</v>
      </c>
      <c r="AQ31" s="138" t="s">
        <v>165</v>
      </c>
      <c r="AR31" s="204">
        <f>+AVERAGE(AR26:AR30)</f>
        <v>0.9872043010752688</v>
      </c>
      <c r="AS31" s="125"/>
      <c r="AT31" s="138" t="s">
        <v>165</v>
      </c>
      <c r="AU31" s="204">
        <f>+AVERAGE(AU26:AU30)</f>
        <v>0.99206397849462369</v>
      </c>
      <c r="AV31" s="125"/>
      <c r="AW31" s="138" t="s">
        <v>165</v>
      </c>
      <c r="AX31" s="204">
        <f>+AVERAGE(AX26:AX30)</f>
        <v>0.99711059139784941</v>
      </c>
      <c r="AY31" s="126" t="s">
        <v>782</v>
      </c>
      <c r="AZ31" s="126" t="s">
        <v>782</v>
      </c>
      <c r="BA31" s="126" t="s">
        <v>782</v>
      </c>
      <c r="BB31" s="126" t="s">
        <v>782</v>
      </c>
      <c r="BC31" s="126" t="s">
        <v>782</v>
      </c>
      <c r="BD31" s="126" t="s">
        <v>782</v>
      </c>
      <c r="BE31" s="126" t="s">
        <v>782</v>
      </c>
      <c r="BF31" s="126" t="s">
        <v>782</v>
      </c>
      <c r="BG31" s="126" t="s">
        <v>782</v>
      </c>
      <c r="BH31" s="126" t="s">
        <v>782</v>
      </c>
      <c r="BI31" s="126" t="s">
        <v>782</v>
      </c>
      <c r="BJ31" s="126" t="s">
        <v>782</v>
      </c>
      <c r="BK31" s="126" t="s">
        <v>782</v>
      </c>
      <c r="BL31" s="126" t="s">
        <v>782</v>
      </c>
      <c r="BM31" s="126" t="s">
        <v>782</v>
      </c>
      <c r="BN31" s="126" t="s">
        <v>782</v>
      </c>
      <c r="BO31" s="126" t="s">
        <v>782</v>
      </c>
      <c r="BP31" s="126" t="s">
        <v>782</v>
      </c>
      <c r="BQ31" s="126" t="s">
        <v>782</v>
      </c>
      <c r="BR31" s="126" t="s">
        <v>782</v>
      </c>
      <c r="BS31" s="126" t="s">
        <v>782</v>
      </c>
      <c r="BT31" s="126" t="s">
        <v>782</v>
      </c>
      <c r="BU31" s="126" t="s">
        <v>782</v>
      </c>
      <c r="BV31" s="126" t="s">
        <v>782</v>
      </c>
      <c r="BW31" s="126" t="s">
        <v>782</v>
      </c>
      <c r="BX31" s="126" t="s">
        <v>782</v>
      </c>
      <c r="BY31" s="126" t="s">
        <v>782</v>
      </c>
      <c r="BZ31" s="126" t="s">
        <v>782</v>
      </c>
      <c r="CA31" s="126" t="s">
        <v>782</v>
      </c>
      <c r="CB31" s="126" t="s">
        <v>782</v>
      </c>
      <c r="CC31" s="126" t="s">
        <v>782</v>
      </c>
      <c r="CD31" s="126" t="s">
        <v>782</v>
      </c>
      <c r="CE31" s="126" t="s">
        <v>782</v>
      </c>
      <c r="CF31" s="126" t="s">
        <v>782</v>
      </c>
      <c r="CG31" s="126" t="s">
        <v>782</v>
      </c>
      <c r="CH31" s="126" t="s">
        <v>782</v>
      </c>
      <c r="CI31" s="126" t="s">
        <v>782</v>
      </c>
      <c r="CJ31" s="126" t="s">
        <v>782</v>
      </c>
      <c r="CK31" s="126" t="s">
        <v>782</v>
      </c>
      <c r="CL31" s="126" t="s">
        <v>782</v>
      </c>
      <c r="CM31" s="126" t="s">
        <v>782</v>
      </c>
      <c r="CN31" s="126" t="s">
        <v>782</v>
      </c>
      <c r="CO31" s="126" t="s">
        <v>782</v>
      </c>
      <c r="CP31" s="126" t="s">
        <v>782</v>
      </c>
      <c r="CQ31" s="126" t="s">
        <v>782</v>
      </c>
      <c r="CR31" s="126" t="s">
        <v>782</v>
      </c>
      <c r="CS31" s="126" t="s">
        <v>782</v>
      </c>
      <c r="CT31" s="126" t="s">
        <v>782</v>
      </c>
      <c r="CU31" s="126" t="s">
        <v>782</v>
      </c>
      <c r="CV31" s="126" t="s">
        <v>782</v>
      </c>
      <c r="CW31" s="126" t="s">
        <v>782</v>
      </c>
      <c r="CX31" s="126" t="s">
        <v>782</v>
      </c>
      <c r="CY31" s="126" t="s">
        <v>782</v>
      </c>
      <c r="CZ31" s="126" t="s">
        <v>782</v>
      </c>
      <c r="DA31" s="126" t="s">
        <v>782</v>
      </c>
      <c r="DB31" s="126" t="s">
        <v>782</v>
      </c>
      <c r="DC31" s="126" t="s">
        <v>782</v>
      </c>
      <c r="DD31" s="126" t="s">
        <v>782</v>
      </c>
      <c r="DE31" s="126" t="s">
        <v>782</v>
      </c>
      <c r="DF31" s="126" t="s">
        <v>782</v>
      </c>
      <c r="DG31" s="126" t="s">
        <v>782</v>
      </c>
      <c r="DH31" s="126" t="s">
        <v>782</v>
      </c>
      <c r="DI31" s="126" t="s">
        <v>782</v>
      </c>
      <c r="DJ31" s="126" t="s">
        <v>782</v>
      </c>
      <c r="DK31" s="126" t="s">
        <v>782</v>
      </c>
      <c r="DL31" s="126" t="s">
        <v>782</v>
      </c>
      <c r="DM31" s="126" t="s">
        <v>782</v>
      </c>
      <c r="DN31" s="126" t="s">
        <v>782</v>
      </c>
      <c r="DO31" s="126" t="s">
        <v>782</v>
      </c>
      <c r="DP31" s="126" t="s">
        <v>782</v>
      </c>
      <c r="DQ31" s="126" t="s">
        <v>782</v>
      </c>
      <c r="DR31" s="126" t="s">
        <v>782</v>
      </c>
      <c r="DS31" s="126" t="s">
        <v>782</v>
      </c>
      <c r="DT31" s="126" t="s">
        <v>782</v>
      </c>
      <c r="DU31" s="126" t="s">
        <v>782</v>
      </c>
      <c r="DV31" s="126" t="s">
        <v>782</v>
      </c>
      <c r="DW31" s="126" t="s">
        <v>782</v>
      </c>
      <c r="DX31" s="126" t="s">
        <v>782</v>
      </c>
      <c r="DY31" s="126" t="s">
        <v>782</v>
      </c>
      <c r="DZ31" s="126" t="s">
        <v>782</v>
      </c>
      <c r="EA31" s="126" t="s">
        <v>782</v>
      </c>
      <c r="EB31" s="126" t="s">
        <v>782</v>
      </c>
      <c r="EC31" s="126" t="s">
        <v>782</v>
      </c>
      <c r="ED31" s="126" t="s">
        <v>782</v>
      </c>
      <c r="EE31" s="124"/>
      <c r="EF31" s="124"/>
      <c r="EG31" s="124"/>
      <c r="EH31" s="124"/>
    </row>
    <row r="32" spans="1:138" s="120" customFormat="1" ht="48" customHeight="1" x14ac:dyDescent="0.25">
      <c r="A32" s="117" t="s">
        <v>86</v>
      </c>
      <c r="B32" s="179" t="s">
        <v>87</v>
      </c>
      <c r="C32" s="314" t="s">
        <v>1631</v>
      </c>
      <c r="D32" s="179" t="s">
        <v>22</v>
      </c>
      <c r="E32" s="129" t="s">
        <v>959</v>
      </c>
      <c r="F32" s="179" t="s">
        <v>90</v>
      </c>
      <c r="G32" s="179" t="s">
        <v>91</v>
      </c>
      <c r="H32" s="468"/>
      <c r="I32" s="117" t="s">
        <v>960</v>
      </c>
      <c r="J32" s="179" t="s">
        <v>961</v>
      </c>
      <c r="K32" s="179" t="s">
        <v>962</v>
      </c>
      <c r="L32" s="132">
        <v>1</v>
      </c>
      <c r="M32" s="140">
        <v>0.97</v>
      </c>
      <c r="N32" s="140">
        <v>0.97</v>
      </c>
      <c r="O32" s="179" t="s">
        <v>963</v>
      </c>
      <c r="P32" s="140">
        <v>0.99</v>
      </c>
      <c r="Q32" s="140">
        <v>0.99</v>
      </c>
      <c r="R32" s="179" t="s">
        <v>964</v>
      </c>
      <c r="S32" s="140">
        <v>0.98</v>
      </c>
      <c r="T32" s="140">
        <v>0.98</v>
      </c>
      <c r="U32" s="179" t="s">
        <v>965</v>
      </c>
      <c r="V32" s="140">
        <v>0.98151999999999995</v>
      </c>
      <c r="W32" s="140">
        <v>0.98151999999999995</v>
      </c>
      <c r="X32" s="195" t="s">
        <v>1310</v>
      </c>
      <c r="Y32" s="140">
        <v>0.98399999999999999</v>
      </c>
      <c r="Z32" s="140">
        <v>0.98399999999999999</v>
      </c>
      <c r="AA32" s="195" t="s">
        <v>1331</v>
      </c>
      <c r="AB32" s="140">
        <v>0.98699999999999999</v>
      </c>
      <c r="AC32" s="140">
        <v>0.98699999999999999</v>
      </c>
      <c r="AD32" s="195" t="s">
        <v>1355</v>
      </c>
      <c r="AE32" s="450" t="s">
        <v>95</v>
      </c>
      <c r="AF32" s="450"/>
      <c r="AG32" s="451"/>
      <c r="AH32" s="146" t="s">
        <v>782</v>
      </c>
      <c r="AI32" s="146" t="s">
        <v>782</v>
      </c>
      <c r="AJ32" s="119" t="s">
        <v>782</v>
      </c>
      <c r="AK32" s="146" t="s">
        <v>782</v>
      </c>
      <c r="AL32" s="146" t="s">
        <v>782</v>
      </c>
      <c r="AM32" s="119" t="s">
        <v>782</v>
      </c>
      <c r="AN32" s="146" t="s">
        <v>782</v>
      </c>
      <c r="AO32" s="146" t="s">
        <v>782</v>
      </c>
      <c r="AP32" s="119" t="s">
        <v>782</v>
      </c>
      <c r="AQ32" s="146" t="s">
        <v>782</v>
      </c>
      <c r="AR32" s="146" t="s">
        <v>782</v>
      </c>
      <c r="AS32" s="119" t="s">
        <v>782</v>
      </c>
      <c r="AT32" s="146" t="s">
        <v>782</v>
      </c>
      <c r="AU32" s="146" t="s">
        <v>782</v>
      </c>
      <c r="AV32" s="119" t="s">
        <v>782</v>
      </c>
      <c r="AW32" s="146" t="s">
        <v>782</v>
      </c>
      <c r="AX32" s="146" t="s">
        <v>782</v>
      </c>
      <c r="AY32" s="119" t="s">
        <v>782</v>
      </c>
      <c r="AZ32" s="179" t="s">
        <v>262</v>
      </c>
      <c r="BA32" s="179" t="s">
        <v>762</v>
      </c>
      <c r="BB32" s="182" t="s">
        <v>782</v>
      </c>
      <c r="BC32" s="182" t="s">
        <v>782</v>
      </c>
      <c r="BD32" s="182" t="s">
        <v>782</v>
      </c>
      <c r="BE32" s="182" t="s">
        <v>782</v>
      </c>
      <c r="BF32" s="182" t="s">
        <v>782</v>
      </c>
      <c r="BG32" s="182" t="s">
        <v>782</v>
      </c>
      <c r="BH32" s="182" t="s">
        <v>782</v>
      </c>
      <c r="BI32" s="182" t="s">
        <v>782</v>
      </c>
      <c r="BJ32" s="182" t="s">
        <v>782</v>
      </c>
      <c r="BK32" s="182" t="s">
        <v>782</v>
      </c>
      <c r="BL32" s="182" t="s">
        <v>782</v>
      </c>
      <c r="BM32" s="182" t="s">
        <v>782</v>
      </c>
      <c r="BN32" s="182" t="s">
        <v>782</v>
      </c>
      <c r="BO32" s="182" t="s">
        <v>782</v>
      </c>
      <c r="BP32" s="182" t="s">
        <v>782</v>
      </c>
      <c r="BQ32" s="182" t="s">
        <v>782</v>
      </c>
      <c r="BR32" s="182" t="s">
        <v>782</v>
      </c>
      <c r="BS32" s="182" t="s">
        <v>782</v>
      </c>
      <c r="BT32" s="182" t="s">
        <v>782</v>
      </c>
      <c r="BU32" s="182" t="s">
        <v>782</v>
      </c>
      <c r="BV32" s="182" t="s">
        <v>782</v>
      </c>
      <c r="BW32" s="182" t="s">
        <v>782</v>
      </c>
      <c r="BX32" s="182" t="s">
        <v>782</v>
      </c>
      <c r="BY32" s="182" t="s">
        <v>782</v>
      </c>
      <c r="BZ32" s="182" t="s">
        <v>782</v>
      </c>
      <c r="CA32" s="182" t="s">
        <v>782</v>
      </c>
      <c r="CB32" s="182" t="s">
        <v>782</v>
      </c>
      <c r="CC32" s="182" t="s">
        <v>782</v>
      </c>
      <c r="CD32" s="182" t="s">
        <v>782</v>
      </c>
      <c r="CE32" s="182" t="s">
        <v>782</v>
      </c>
      <c r="CF32" s="182" t="s">
        <v>782</v>
      </c>
      <c r="CG32" s="182" t="s">
        <v>782</v>
      </c>
      <c r="CH32" s="182" t="s">
        <v>782</v>
      </c>
      <c r="CI32" s="182" t="s">
        <v>782</v>
      </c>
      <c r="CJ32" s="182" t="s">
        <v>782</v>
      </c>
      <c r="CK32" s="182" t="s">
        <v>782</v>
      </c>
      <c r="CL32" s="182" t="s">
        <v>782</v>
      </c>
      <c r="CM32" s="182" t="s">
        <v>782</v>
      </c>
      <c r="CN32" s="182" t="s">
        <v>782</v>
      </c>
      <c r="CO32" s="182" t="s">
        <v>782</v>
      </c>
      <c r="CP32" s="182" t="s">
        <v>782</v>
      </c>
      <c r="CQ32" s="182" t="s">
        <v>782</v>
      </c>
      <c r="CR32" s="182" t="s">
        <v>782</v>
      </c>
      <c r="CS32" s="182" t="s">
        <v>782</v>
      </c>
      <c r="CT32" s="182" t="s">
        <v>782</v>
      </c>
      <c r="CU32" s="182" t="s">
        <v>782</v>
      </c>
      <c r="CV32" s="182" t="s">
        <v>782</v>
      </c>
      <c r="CW32" s="182" t="s">
        <v>782</v>
      </c>
      <c r="CX32" s="182" t="s">
        <v>782</v>
      </c>
      <c r="CY32" s="182" t="s">
        <v>782</v>
      </c>
      <c r="CZ32" s="182" t="s">
        <v>782</v>
      </c>
      <c r="DA32" s="182" t="s">
        <v>782</v>
      </c>
      <c r="DB32" s="182" t="s">
        <v>782</v>
      </c>
      <c r="DC32" s="182" t="s">
        <v>782</v>
      </c>
      <c r="DD32" s="182" t="s">
        <v>782</v>
      </c>
      <c r="DE32" s="182" t="s">
        <v>782</v>
      </c>
      <c r="DF32" s="182" t="s">
        <v>782</v>
      </c>
      <c r="DG32" s="182" t="s">
        <v>782</v>
      </c>
      <c r="DH32" s="182" t="s">
        <v>782</v>
      </c>
      <c r="DI32" s="182" t="s">
        <v>782</v>
      </c>
      <c r="DJ32" s="182" t="s">
        <v>782</v>
      </c>
      <c r="DK32" s="182" t="s">
        <v>782</v>
      </c>
      <c r="DL32" s="182" t="s">
        <v>782</v>
      </c>
      <c r="DM32" s="182" t="s">
        <v>782</v>
      </c>
      <c r="DN32" s="182" t="s">
        <v>782</v>
      </c>
      <c r="DO32" s="182" t="s">
        <v>782</v>
      </c>
      <c r="DP32" s="182" t="s">
        <v>782</v>
      </c>
      <c r="DQ32" s="182" t="s">
        <v>782</v>
      </c>
      <c r="DR32" s="182" t="s">
        <v>782</v>
      </c>
      <c r="DS32" s="182" t="s">
        <v>782</v>
      </c>
      <c r="DT32" s="182" t="s">
        <v>782</v>
      </c>
      <c r="DU32" s="182" t="s">
        <v>782</v>
      </c>
      <c r="DV32" s="182" t="s">
        <v>782</v>
      </c>
      <c r="DW32" s="182" t="s">
        <v>782</v>
      </c>
      <c r="DX32" s="182" t="s">
        <v>782</v>
      </c>
      <c r="DY32" s="182" t="s">
        <v>782</v>
      </c>
      <c r="DZ32" s="182" t="s">
        <v>782</v>
      </c>
      <c r="EA32" s="182" t="s">
        <v>782</v>
      </c>
      <c r="EB32" s="182" t="s">
        <v>782</v>
      </c>
      <c r="EC32" s="182" t="s">
        <v>782</v>
      </c>
      <c r="ED32" s="182" t="s">
        <v>782</v>
      </c>
      <c r="EE32" s="182" t="s">
        <v>782</v>
      </c>
      <c r="EF32" s="182" t="s">
        <v>782</v>
      </c>
      <c r="EG32" s="182" t="s">
        <v>782</v>
      </c>
      <c r="EH32" s="182" t="s">
        <v>782</v>
      </c>
    </row>
    <row r="33" spans="1:138" s="120" customFormat="1" ht="48" customHeight="1" x14ac:dyDescent="0.25">
      <c r="A33" s="124"/>
      <c r="B33" s="124"/>
      <c r="C33" s="124"/>
      <c r="D33" s="124"/>
      <c r="E33" s="124"/>
      <c r="F33" s="124"/>
      <c r="G33" s="124"/>
      <c r="H33" s="468"/>
      <c r="I33" s="124"/>
      <c r="J33" s="124"/>
      <c r="K33" s="124"/>
      <c r="L33" s="137"/>
      <c r="M33" s="138" t="s">
        <v>164</v>
      </c>
      <c r="N33" s="139" t="s">
        <v>966</v>
      </c>
      <c r="O33" s="125"/>
      <c r="P33" s="138" t="s">
        <v>164</v>
      </c>
      <c r="Q33" s="139" t="s">
        <v>967</v>
      </c>
      <c r="R33" s="125"/>
      <c r="S33" s="138" t="s">
        <v>164</v>
      </c>
      <c r="T33" s="139" t="s">
        <v>968</v>
      </c>
      <c r="U33" s="125"/>
      <c r="V33" s="138" t="s">
        <v>164</v>
      </c>
      <c r="W33" s="204">
        <f>+W32</f>
        <v>0.98151999999999995</v>
      </c>
      <c r="X33" s="125"/>
      <c r="Y33" s="138" t="s">
        <v>164</v>
      </c>
      <c r="Z33" s="204">
        <f>+Z32</f>
        <v>0.98399999999999999</v>
      </c>
      <c r="AA33" s="125"/>
      <c r="AB33" s="138" t="s">
        <v>164</v>
      </c>
      <c r="AC33" s="204">
        <f>+AC32</f>
        <v>0.98699999999999999</v>
      </c>
      <c r="AD33" s="125"/>
      <c r="AE33" s="124"/>
      <c r="AF33" s="124"/>
      <c r="AG33" s="137"/>
      <c r="AH33" s="138" t="s">
        <v>165</v>
      </c>
      <c r="AI33" s="139" t="s">
        <v>11</v>
      </c>
      <c r="AJ33" s="125"/>
      <c r="AK33" s="138" t="s">
        <v>165</v>
      </c>
      <c r="AL33" s="139" t="s">
        <v>11</v>
      </c>
      <c r="AM33" s="125"/>
      <c r="AN33" s="138" t="s">
        <v>165</v>
      </c>
      <c r="AO33" s="139" t="s">
        <v>11</v>
      </c>
      <c r="AP33" s="126" t="s">
        <v>782</v>
      </c>
      <c r="AQ33" s="138" t="s">
        <v>165</v>
      </c>
      <c r="AR33" s="139" t="s">
        <v>11</v>
      </c>
      <c r="AS33" s="125"/>
      <c r="AT33" s="138" t="s">
        <v>165</v>
      </c>
      <c r="AU33" s="139" t="s">
        <v>11</v>
      </c>
      <c r="AV33" s="125"/>
      <c r="AW33" s="138" t="s">
        <v>165</v>
      </c>
      <c r="AX33" s="139" t="s">
        <v>11</v>
      </c>
      <c r="AY33" s="126" t="s">
        <v>782</v>
      </c>
      <c r="AZ33" s="126" t="s">
        <v>782</v>
      </c>
      <c r="BA33" s="126" t="s">
        <v>782</v>
      </c>
      <c r="BB33" s="126" t="s">
        <v>782</v>
      </c>
      <c r="BC33" s="126" t="s">
        <v>782</v>
      </c>
      <c r="BD33" s="126" t="s">
        <v>782</v>
      </c>
      <c r="BE33" s="126" t="s">
        <v>782</v>
      </c>
      <c r="BF33" s="126" t="s">
        <v>782</v>
      </c>
      <c r="BG33" s="126" t="s">
        <v>782</v>
      </c>
      <c r="BH33" s="126" t="s">
        <v>782</v>
      </c>
      <c r="BI33" s="126" t="s">
        <v>782</v>
      </c>
      <c r="BJ33" s="126" t="s">
        <v>782</v>
      </c>
      <c r="BK33" s="126" t="s">
        <v>782</v>
      </c>
      <c r="BL33" s="126" t="s">
        <v>782</v>
      </c>
      <c r="BM33" s="126" t="s">
        <v>782</v>
      </c>
      <c r="BN33" s="126" t="s">
        <v>782</v>
      </c>
      <c r="BO33" s="126" t="s">
        <v>782</v>
      </c>
      <c r="BP33" s="126" t="s">
        <v>782</v>
      </c>
      <c r="BQ33" s="126" t="s">
        <v>782</v>
      </c>
      <c r="BR33" s="126" t="s">
        <v>782</v>
      </c>
      <c r="BS33" s="126" t="s">
        <v>782</v>
      </c>
      <c r="BT33" s="126" t="s">
        <v>782</v>
      </c>
      <c r="BU33" s="126" t="s">
        <v>782</v>
      </c>
      <c r="BV33" s="126" t="s">
        <v>782</v>
      </c>
      <c r="BW33" s="126" t="s">
        <v>782</v>
      </c>
      <c r="BX33" s="126" t="s">
        <v>782</v>
      </c>
      <c r="BY33" s="126" t="s">
        <v>782</v>
      </c>
      <c r="BZ33" s="126" t="s">
        <v>782</v>
      </c>
      <c r="CA33" s="126" t="s">
        <v>782</v>
      </c>
      <c r="CB33" s="126" t="s">
        <v>782</v>
      </c>
      <c r="CC33" s="126" t="s">
        <v>782</v>
      </c>
      <c r="CD33" s="126" t="s">
        <v>782</v>
      </c>
      <c r="CE33" s="126" t="s">
        <v>782</v>
      </c>
      <c r="CF33" s="126" t="s">
        <v>782</v>
      </c>
      <c r="CG33" s="126" t="s">
        <v>782</v>
      </c>
      <c r="CH33" s="126" t="s">
        <v>782</v>
      </c>
      <c r="CI33" s="126" t="s">
        <v>782</v>
      </c>
      <c r="CJ33" s="126" t="s">
        <v>782</v>
      </c>
      <c r="CK33" s="126" t="s">
        <v>782</v>
      </c>
      <c r="CL33" s="126" t="s">
        <v>782</v>
      </c>
      <c r="CM33" s="126" t="s">
        <v>782</v>
      </c>
      <c r="CN33" s="126" t="s">
        <v>782</v>
      </c>
      <c r="CO33" s="126" t="s">
        <v>782</v>
      </c>
      <c r="CP33" s="126" t="s">
        <v>782</v>
      </c>
      <c r="CQ33" s="126" t="s">
        <v>782</v>
      </c>
      <c r="CR33" s="126" t="s">
        <v>782</v>
      </c>
      <c r="CS33" s="126" t="s">
        <v>782</v>
      </c>
      <c r="CT33" s="126" t="s">
        <v>782</v>
      </c>
      <c r="CU33" s="126" t="s">
        <v>782</v>
      </c>
      <c r="CV33" s="126" t="s">
        <v>782</v>
      </c>
      <c r="CW33" s="126" t="s">
        <v>782</v>
      </c>
      <c r="CX33" s="126" t="s">
        <v>782</v>
      </c>
      <c r="CY33" s="126" t="s">
        <v>782</v>
      </c>
      <c r="CZ33" s="126" t="s">
        <v>782</v>
      </c>
      <c r="DA33" s="126" t="s">
        <v>782</v>
      </c>
      <c r="DB33" s="126" t="s">
        <v>782</v>
      </c>
      <c r="DC33" s="126" t="s">
        <v>782</v>
      </c>
      <c r="DD33" s="126" t="s">
        <v>782</v>
      </c>
      <c r="DE33" s="126" t="s">
        <v>782</v>
      </c>
      <c r="DF33" s="126" t="s">
        <v>782</v>
      </c>
      <c r="DG33" s="126" t="s">
        <v>782</v>
      </c>
      <c r="DH33" s="126" t="s">
        <v>782</v>
      </c>
      <c r="DI33" s="126" t="s">
        <v>782</v>
      </c>
      <c r="DJ33" s="126" t="s">
        <v>782</v>
      </c>
      <c r="DK33" s="126" t="s">
        <v>782</v>
      </c>
      <c r="DL33" s="126" t="s">
        <v>782</v>
      </c>
      <c r="DM33" s="126" t="s">
        <v>782</v>
      </c>
      <c r="DN33" s="126" t="s">
        <v>782</v>
      </c>
      <c r="DO33" s="126" t="s">
        <v>782</v>
      </c>
      <c r="DP33" s="126" t="s">
        <v>782</v>
      </c>
      <c r="DQ33" s="126" t="s">
        <v>782</v>
      </c>
      <c r="DR33" s="126" t="s">
        <v>782</v>
      </c>
      <c r="DS33" s="126" t="s">
        <v>782</v>
      </c>
      <c r="DT33" s="126" t="s">
        <v>782</v>
      </c>
      <c r="DU33" s="126" t="s">
        <v>782</v>
      </c>
      <c r="DV33" s="126" t="s">
        <v>782</v>
      </c>
      <c r="DW33" s="126" t="s">
        <v>782</v>
      </c>
      <c r="DX33" s="126" t="s">
        <v>782</v>
      </c>
      <c r="DY33" s="126" t="s">
        <v>782</v>
      </c>
      <c r="DZ33" s="126" t="s">
        <v>782</v>
      </c>
      <c r="EA33" s="126" t="s">
        <v>782</v>
      </c>
      <c r="EB33" s="126" t="s">
        <v>782</v>
      </c>
      <c r="EC33" s="126" t="s">
        <v>782</v>
      </c>
      <c r="ED33" s="126" t="s">
        <v>782</v>
      </c>
      <c r="EE33" s="124"/>
      <c r="EF33" s="124"/>
      <c r="EG33" s="124"/>
      <c r="EH33" s="124"/>
    </row>
    <row r="34" spans="1:138" s="3" customFormat="1" ht="75" customHeight="1" x14ac:dyDescent="0.25">
      <c r="A34" s="459" t="s">
        <v>86</v>
      </c>
      <c r="B34" s="459" t="s">
        <v>87</v>
      </c>
      <c r="C34" s="465" t="s">
        <v>11</v>
      </c>
      <c r="D34" s="459" t="s">
        <v>22</v>
      </c>
      <c r="E34" s="461" t="s">
        <v>969</v>
      </c>
      <c r="F34" s="459" t="s">
        <v>806</v>
      </c>
      <c r="G34" s="459" t="s">
        <v>807</v>
      </c>
      <c r="H34" s="468"/>
      <c r="I34" s="117" t="s">
        <v>970</v>
      </c>
      <c r="J34" s="179" t="s">
        <v>820</v>
      </c>
      <c r="K34" s="179" t="s">
        <v>821</v>
      </c>
      <c r="L34" s="132">
        <v>0.98</v>
      </c>
      <c r="M34" s="132">
        <v>0.03</v>
      </c>
      <c r="N34" s="140">
        <v>0.03</v>
      </c>
      <c r="O34" s="179" t="s">
        <v>822</v>
      </c>
      <c r="P34" s="140">
        <v>0.1</v>
      </c>
      <c r="Q34" s="140">
        <v>0.1</v>
      </c>
      <c r="R34" s="179" t="s">
        <v>823</v>
      </c>
      <c r="S34" s="140">
        <v>0.2</v>
      </c>
      <c r="T34" s="140">
        <v>0.2</v>
      </c>
      <c r="U34" s="179" t="s">
        <v>824</v>
      </c>
      <c r="V34" s="200">
        <v>0.28185814997502667</v>
      </c>
      <c r="W34" s="140">
        <v>0.28761035711737415</v>
      </c>
      <c r="X34" s="195" t="s">
        <v>1299</v>
      </c>
      <c r="Y34" s="140">
        <v>0.37266999584578181</v>
      </c>
      <c r="Z34" s="140">
        <v>0.38027550596508347</v>
      </c>
      <c r="AA34" s="195" t="s">
        <v>1320</v>
      </c>
      <c r="AB34" s="140">
        <v>0.46308784264857261</v>
      </c>
      <c r="AC34" s="140">
        <v>0.47253861494752308</v>
      </c>
      <c r="AD34" s="195" t="s">
        <v>1344</v>
      </c>
      <c r="AE34" s="450" t="s">
        <v>95</v>
      </c>
      <c r="AF34" s="450"/>
      <c r="AG34" s="451"/>
      <c r="AH34" s="146" t="s">
        <v>782</v>
      </c>
      <c r="AI34" s="146" t="s">
        <v>782</v>
      </c>
      <c r="AJ34" s="119" t="s">
        <v>782</v>
      </c>
      <c r="AK34" s="146" t="s">
        <v>782</v>
      </c>
      <c r="AL34" s="146" t="s">
        <v>782</v>
      </c>
      <c r="AM34" s="119" t="s">
        <v>782</v>
      </c>
      <c r="AN34" s="146" t="s">
        <v>782</v>
      </c>
      <c r="AO34" s="146" t="s">
        <v>782</v>
      </c>
      <c r="AP34" s="119" t="s">
        <v>782</v>
      </c>
      <c r="AQ34" s="146" t="s">
        <v>782</v>
      </c>
      <c r="AR34" s="146" t="s">
        <v>782</v>
      </c>
      <c r="AS34" s="119" t="s">
        <v>782</v>
      </c>
      <c r="AT34" s="146" t="s">
        <v>782</v>
      </c>
      <c r="AU34" s="146" t="s">
        <v>782</v>
      </c>
      <c r="AV34" s="119" t="s">
        <v>782</v>
      </c>
      <c r="AW34" s="146" t="s">
        <v>782</v>
      </c>
      <c r="AX34" s="146" t="s">
        <v>782</v>
      </c>
      <c r="AY34" s="119" t="s">
        <v>782</v>
      </c>
      <c r="AZ34" s="179" t="s">
        <v>262</v>
      </c>
      <c r="BA34" s="179" t="s">
        <v>762</v>
      </c>
      <c r="BB34" s="182" t="s">
        <v>782</v>
      </c>
      <c r="BC34" s="182" t="s">
        <v>782</v>
      </c>
      <c r="BD34" s="182" t="s">
        <v>782</v>
      </c>
      <c r="BE34" s="182" t="s">
        <v>782</v>
      </c>
      <c r="BF34" s="182" t="s">
        <v>782</v>
      </c>
      <c r="BG34" s="182" t="s">
        <v>782</v>
      </c>
      <c r="BH34" s="182" t="s">
        <v>782</v>
      </c>
      <c r="BI34" s="182" t="s">
        <v>782</v>
      </c>
      <c r="BJ34" s="182" t="s">
        <v>782</v>
      </c>
      <c r="BK34" s="182" t="s">
        <v>782</v>
      </c>
      <c r="BL34" s="182" t="s">
        <v>782</v>
      </c>
      <c r="BM34" s="182" t="s">
        <v>782</v>
      </c>
      <c r="BN34" s="182" t="s">
        <v>782</v>
      </c>
      <c r="BO34" s="182" t="s">
        <v>782</v>
      </c>
      <c r="BP34" s="182" t="s">
        <v>782</v>
      </c>
      <c r="BQ34" s="182" t="s">
        <v>782</v>
      </c>
      <c r="BR34" s="182" t="s">
        <v>782</v>
      </c>
      <c r="BS34" s="182" t="s">
        <v>782</v>
      </c>
      <c r="BT34" s="182" t="s">
        <v>782</v>
      </c>
      <c r="BU34" s="182" t="s">
        <v>782</v>
      </c>
      <c r="BV34" s="182" t="s">
        <v>782</v>
      </c>
      <c r="BW34" s="182" t="s">
        <v>782</v>
      </c>
      <c r="BX34" s="182" t="s">
        <v>782</v>
      </c>
      <c r="BY34" s="182" t="s">
        <v>782</v>
      </c>
      <c r="BZ34" s="182" t="s">
        <v>782</v>
      </c>
      <c r="CA34" s="182" t="s">
        <v>782</v>
      </c>
      <c r="CB34" s="182" t="s">
        <v>782</v>
      </c>
      <c r="CC34" s="182" t="s">
        <v>782</v>
      </c>
      <c r="CD34" s="182" t="s">
        <v>782</v>
      </c>
      <c r="CE34" s="182" t="s">
        <v>782</v>
      </c>
      <c r="CF34" s="182" t="s">
        <v>782</v>
      </c>
      <c r="CG34" s="182" t="s">
        <v>782</v>
      </c>
      <c r="CH34" s="182" t="s">
        <v>782</v>
      </c>
      <c r="CI34" s="182" t="s">
        <v>782</v>
      </c>
      <c r="CJ34" s="182" t="s">
        <v>782</v>
      </c>
      <c r="CK34" s="182" t="s">
        <v>782</v>
      </c>
      <c r="CL34" s="182" t="s">
        <v>782</v>
      </c>
      <c r="CM34" s="182" t="s">
        <v>782</v>
      </c>
      <c r="CN34" s="182" t="s">
        <v>782</v>
      </c>
      <c r="CO34" s="182" t="s">
        <v>782</v>
      </c>
      <c r="CP34" s="182" t="s">
        <v>782</v>
      </c>
      <c r="CQ34" s="182" t="s">
        <v>782</v>
      </c>
      <c r="CR34" s="182" t="s">
        <v>782</v>
      </c>
      <c r="CS34" s="182" t="s">
        <v>782</v>
      </c>
      <c r="CT34" s="182" t="s">
        <v>782</v>
      </c>
      <c r="CU34" s="182" t="s">
        <v>782</v>
      </c>
      <c r="CV34" s="182" t="s">
        <v>782</v>
      </c>
      <c r="CW34" s="182" t="s">
        <v>782</v>
      </c>
      <c r="CX34" s="182" t="s">
        <v>782</v>
      </c>
      <c r="CY34" s="182" t="s">
        <v>782</v>
      </c>
      <c r="CZ34" s="182" t="s">
        <v>782</v>
      </c>
      <c r="DA34" s="182" t="s">
        <v>782</v>
      </c>
      <c r="DB34" s="182" t="s">
        <v>782</v>
      </c>
      <c r="DC34" s="182" t="s">
        <v>782</v>
      </c>
      <c r="DD34" s="182" t="s">
        <v>782</v>
      </c>
      <c r="DE34" s="182" t="s">
        <v>782</v>
      </c>
      <c r="DF34" s="182" t="s">
        <v>782</v>
      </c>
      <c r="DG34" s="182" t="s">
        <v>782</v>
      </c>
      <c r="DH34" s="182" t="s">
        <v>782</v>
      </c>
      <c r="DI34" s="182" t="s">
        <v>782</v>
      </c>
      <c r="DJ34" s="182" t="s">
        <v>782</v>
      </c>
      <c r="DK34" s="182" t="s">
        <v>782</v>
      </c>
      <c r="DL34" s="182" t="s">
        <v>782</v>
      </c>
      <c r="DM34" s="182" t="s">
        <v>782</v>
      </c>
      <c r="DN34" s="182" t="s">
        <v>782</v>
      </c>
      <c r="DO34" s="182" t="s">
        <v>782</v>
      </c>
      <c r="DP34" s="182" t="s">
        <v>782</v>
      </c>
      <c r="DQ34" s="182" t="s">
        <v>782</v>
      </c>
      <c r="DR34" s="182" t="s">
        <v>782</v>
      </c>
      <c r="DS34" s="182" t="s">
        <v>782</v>
      </c>
      <c r="DT34" s="182" t="s">
        <v>782</v>
      </c>
      <c r="DU34" s="182" t="s">
        <v>782</v>
      </c>
      <c r="DV34" s="182" t="s">
        <v>782</v>
      </c>
      <c r="DW34" s="182" t="s">
        <v>782</v>
      </c>
      <c r="DX34" s="182" t="s">
        <v>782</v>
      </c>
      <c r="DY34" s="182" t="s">
        <v>782</v>
      </c>
      <c r="DZ34" s="182" t="s">
        <v>782</v>
      </c>
      <c r="EA34" s="182" t="s">
        <v>782</v>
      </c>
      <c r="EB34" s="182" t="s">
        <v>782</v>
      </c>
      <c r="EC34" s="182" t="s">
        <v>782</v>
      </c>
      <c r="ED34" s="182" t="s">
        <v>782</v>
      </c>
      <c r="EE34" s="182" t="s">
        <v>782</v>
      </c>
      <c r="EF34" s="182" t="s">
        <v>782</v>
      </c>
      <c r="EG34" s="182" t="s">
        <v>782</v>
      </c>
      <c r="EH34" s="182" t="s">
        <v>782</v>
      </c>
    </row>
    <row r="35" spans="1:138" s="120" customFormat="1" ht="48" customHeight="1" x14ac:dyDescent="0.25">
      <c r="A35" s="453"/>
      <c r="B35" s="453"/>
      <c r="C35" s="453"/>
      <c r="D35" s="453"/>
      <c r="E35" s="463"/>
      <c r="F35" s="453"/>
      <c r="G35" s="453"/>
      <c r="H35" s="468"/>
      <c r="I35" s="181" t="s">
        <v>971</v>
      </c>
      <c r="J35" s="121" t="s">
        <v>831</v>
      </c>
      <c r="K35" s="121" t="s">
        <v>832</v>
      </c>
      <c r="L35" s="134">
        <v>0.98</v>
      </c>
      <c r="M35" s="134">
        <v>0.52</v>
      </c>
      <c r="N35" s="135">
        <v>0.53</v>
      </c>
      <c r="O35" s="121" t="s">
        <v>833</v>
      </c>
      <c r="P35" s="135">
        <v>0.59</v>
      </c>
      <c r="Q35" s="135">
        <v>0.6</v>
      </c>
      <c r="R35" s="121" t="s">
        <v>834</v>
      </c>
      <c r="S35" s="135">
        <v>0.63</v>
      </c>
      <c r="T35" s="135">
        <v>0.64</v>
      </c>
      <c r="U35" s="121" t="s">
        <v>835</v>
      </c>
      <c r="V35" s="201">
        <v>0.67235274614758123</v>
      </c>
      <c r="W35" s="135">
        <v>0.68607423076283802</v>
      </c>
      <c r="X35" s="121" t="s">
        <v>1300</v>
      </c>
      <c r="Y35" s="135">
        <v>0.69777416557142058</v>
      </c>
      <c r="Z35" s="135">
        <v>0.71201445466471491</v>
      </c>
      <c r="AA35" s="121" t="s">
        <v>1321</v>
      </c>
      <c r="AB35" s="135">
        <v>0.72230610749191604</v>
      </c>
      <c r="AC35" s="135">
        <v>0.73704704846113878</v>
      </c>
      <c r="AD35" s="121" t="s">
        <v>1345</v>
      </c>
      <c r="AE35" s="450" t="s">
        <v>95</v>
      </c>
      <c r="AF35" s="450"/>
      <c r="AG35" s="451"/>
      <c r="AH35" s="148" t="s">
        <v>782</v>
      </c>
      <c r="AI35" s="148" t="s">
        <v>782</v>
      </c>
      <c r="AJ35" s="123" t="s">
        <v>782</v>
      </c>
      <c r="AK35" s="148" t="s">
        <v>782</v>
      </c>
      <c r="AL35" s="148" t="s">
        <v>782</v>
      </c>
      <c r="AM35" s="123" t="s">
        <v>782</v>
      </c>
      <c r="AN35" s="148" t="s">
        <v>782</v>
      </c>
      <c r="AO35" s="148" t="s">
        <v>782</v>
      </c>
      <c r="AP35" s="123" t="s">
        <v>782</v>
      </c>
      <c r="AQ35" s="148" t="s">
        <v>782</v>
      </c>
      <c r="AR35" s="148" t="s">
        <v>782</v>
      </c>
      <c r="AS35" s="123" t="s">
        <v>782</v>
      </c>
      <c r="AT35" s="148" t="s">
        <v>782</v>
      </c>
      <c r="AU35" s="148" t="s">
        <v>782</v>
      </c>
      <c r="AV35" s="123" t="s">
        <v>782</v>
      </c>
      <c r="AW35" s="148" t="s">
        <v>782</v>
      </c>
      <c r="AX35" s="148" t="s">
        <v>782</v>
      </c>
      <c r="AY35" s="123" t="s">
        <v>782</v>
      </c>
      <c r="AZ35" s="121" t="s">
        <v>262</v>
      </c>
      <c r="BA35" s="121" t="s">
        <v>762</v>
      </c>
      <c r="BB35" s="182" t="s">
        <v>782</v>
      </c>
      <c r="BC35" s="182" t="s">
        <v>782</v>
      </c>
      <c r="BD35" s="182" t="s">
        <v>782</v>
      </c>
      <c r="BE35" s="182" t="s">
        <v>782</v>
      </c>
      <c r="BF35" s="182" t="s">
        <v>782</v>
      </c>
      <c r="BG35" s="182" t="s">
        <v>782</v>
      </c>
      <c r="BH35" s="182" t="s">
        <v>782</v>
      </c>
      <c r="BI35" s="182" t="s">
        <v>782</v>
      </c>
      <c r="BJ35" s="182" t="s">
        <v>782</v>
      </c>
      <c r="BK35" s="182" t="s">
        <v>782</v>
      </c>
      <c r="BL35" s="182" t="s">
        <v>782</v>
      </c>
      <c r="BM35" s="182" t="s">
        <v>782</v>
      </c>
      <c r="BN35" s="182" t="s">
        <v>782</v>
      </c>
      <c r="BO35" s="182" t="s">
        <v>782</v>
      </c>
      <c r="BP35" s="182" t="s">
        <v>782</v>
      </c>
      <c r="BQ35" s="182" t="s">
        <v>782</v>
      </c>
      <c r="BR35" s="182" t="s">
        <v>782</v>
      </c>
      <c r="BS35" s="182" t="s">
        <v>782</v>
      </c>
      <c r="BT35" s="182" t="s">
        <v>782</v>
      </c>
      <c r="BU35" s="182" t="s">
        <v>782</v>
      </c>
      <c r="BV35" s="182" t="s">
        <v>782</v>
      </c>
      <c r="BW35" s="182" t="s">
        <v>782</v>
      </c>
      <c r="BX35" s="182" t="s">
        <v>782</v>
      </c>
      <c r="BY35" s="182" t="s">
        <v>782</v>
      </c>
      <c r="BZ35" s="182" t="s">
        <v>782</v>
      </c>
      <c r="CA35" s="182" t="s">
        <v>782</v>
      </c>
      <c r="CB35" s="182" t="s">
        <v>782</v>
      </c>
      <c r="CC35" s="182" t="s">
        <v>782</v>
      </c>
      <c r="CD35" s="182" t="s">
        <v>782</v>
      </c>
      <c r="CE35" s="182" t="s">
        <v>782</v>
      </c>
      <c r="CF35" s="182" t="s">
        <v>782</v>
      </c>
      <c r="CG35" s="182" t="s">
        <v>782</v>
      </c>
      <c r="CH35" s="182" t="s">
        <v>782</v>
      </c>
      <c r="CI35" s="182" t="s">
        <v>782</v>
      </c>
      <c r="CJ35" s="182" t="s">
        <v>782</v>
      </c>
      <c r="CK35" s="182" t="s">
        <v>782</v>
      </c>
      <c r="CL35" s="182" t="s">
        <v>782</v>
      </c>
      <c r="CM35" s="182" t="s">
        <v>782</v>
      </c>
      <c r="CN35" s="182" t="s">
        <v>782</v>
      </c>
      <c r="CO35" s="182" t="s">
        <v>782</v>
      </c>
      <c r="CP35" s="182" t="s">
        <v>782</v>
      </c>
      <c r="CQ35" s="182" t="s">
        <v>782</v>
      </c>
      <c r="CR35" s="182" t="s">
        <v>782</v>
      </c>
      <c r="CS35" s="182" t="s">
        <v>782</v>
      </c>
      <c r="CT35" s="182" t="s">
        <v>782</v>
      </c>
      <c r="CU35" s="182" t="s">
        <v>782</v>
      </c>
      <c r="CV35" s="182" t="s">
        <v>782</v>
      </c>
      <c r="CW35" s="182" t="s">
        <v>782</v>
      </c>
      <c r="CX35" s="182" t="s">
        <v>782</v>
      </c>
      <c r="CY35" s="182" t="s">
        <v>782</v>
      </c>
      <c r="CZ35" s="182" t="s">
        <v>782</v>
      </c>
      <c r="DA35" s="182" t="s">
        <v>782</v>
      </c>
      <c r="DB35" s="182" t="s">
        <v>782</v>
      </c>
      <c r="DC35" s="182" t="s">
        <v>782</v>
      </c>
      <c r="DD35" s="182" t="s">
        <v>782</v>
      </c>
      <c r="DE35" s="182" t="s">
        <v>782</v>
      </c>
      <c r="DF35" s="182" t="s">
        <v>782</v>
      </c>
      <c r="DG35" s="182" t="s">
        <v>782</v>
      </c>
      <c r="DH35" s="182" t="s">
        <v>782</v>
      </c>
      <c r="DI35" s="182" t="s">
        <v>782</v>
      </c>
      <c r="DJ35" s="182" t="s">
        <v>782</v>
      </c>
      <c r="DK35" s="182" t="s">
        <v>782</v>
      </c>
      <c r="DL35" s="182" t="s">
        <v>782</v>
      </c>
      <c r="DM35" s="182" t="s">
        <v>782</v>
      </c>
      <c r="DN35" s="182" t="s">
        <v>782</v>
      </c>
      <c r="DO35" s="182" t="s">
        <v>782</v>
      </c>
      <c r="DP35" s="182" t="s">
        <v>782</v>
      </c>
      <c r="DQ35" s="182" t="s">
        <v>782</v>
      </c>
      <c r="DR35" s="182" t="s">
        <v>782</v>
      </c>
      <c r="DS35" s="182" t="s">
        <v>782</v>
      </c>
      <c r="DT35" s="182" t="s">
        <v>782</v>
      </c>
      <c r="DU35" s="182" t="s">
        <v>782</v>
      </c>
      <c r="DV35" s="182" t="s">
        <v>782</v>
      </c>
      <c r="DW35" s="182" t="s">
        <v>782</v>
      </c>
      <c r="DX35" s="182" t="s">
        <v>782</v>
      </c>
      <c r="DY35" s="182" t="s">
        <v>782</v>
      </c>
      <c r="DZ35" s="182" t="s">
        <v>782</v>
      </c>
      <c r="EA35" s="182" t="s">
        <v>782</v>
      </c>
      <c r="EB35" s="182" t="s">
        <v>782</v>
      </c>
      <c r="EC35" s="182" t="s">
        <v>782</v>
      </c>
      <c r="ED35" s="182" t="s">
        <v>782</v>
      </c>
      <c r="EE35" s="182" t="s">
        <v>782</v>
      </c>
      <c r="EF35" s="182" t="s">
        <v>782</v>
      </c>
      <c r="EG35" s="182" t="s">
        <v>782</v>
      </c>
      <c r="EH35" s="182" t="s">
        <v>782</v>
      </c>
    </row>
    <row r="36" spans="1:138" s="3" customFormat="1" ht="75" x14ac:dyDescent="0.25">
      <c r="A36" s="124"/>
      <c r="B36" s="124"/>
      <c r="C36" s="124"/>
      <c r="D36" s="124"/>
      <c r="E36" s="125"/>
      <c r="F36" s="124"/>
      <c r="G36" s="124"/>
      <c r="H36" s="182" t="s">
        <v>782</v>
      </c>
      <c r="I36" s="124"/>
      <c r="J36" s="124"/>
      <c r="K36" s="124"/>
      <c r="L36" s="137"/>
      <c r="M36" s="138" t="s">
        <v>164</v>
      </c>
      <c r="N36" s="139" t="s">
        <v>972</v>
      </c>
      <c r="O36" s="125"/>
      <c r="P36" s="138" t="s">
        <v>164</v>
      </c>
      <c r="Q36" s="139" t="s">
        <v>973</v>
      </c>
      <c r="R36" s="125"/>
      <c r="S36" s="138" t="s">
        <v>164</v>
      </c>
      <c r="T36" s="139" t="s">
        <v>974</v>
      </c>
      <c r="U36" s="125"/>
      <c r="V36" s="138" t="s">
        <v>164</v>
      </c>
      <c r="W36" s="204">
        <f>+AVERAGE(W34:W35)</f>
        <v>0.48684229394010609</v>
      </c>
      <c r="X36" s="125"/>
      <c r="Y36" s="138" t="s">
        <v>164</v>
      </c>
      <c r="Z36" s="204">
        <f>+AVERAGE(Z34:Z35)</f>
        <v>0.54614498031489922</v>
      </c>
      <c r="AA36" s="125"/>
      <c r="AB36" s="138" t="s">
        <v>164</v>
      </c>
      <c r="AC36" s="204">
        <f>+AVERAGE(AC34:AC35)</f>
        <v>0.60479283170433096</v>
      </c>
      <c r="AD36" s="125"/>
      <c r="AE36" s="124"/>
      <c r="AF36" s="124"/>
      <c r="AG36" s="137"/>
      <c r="AH36" s="138" t="s">
        <v>165</v>
      </c>
      <c r="AI36" s="139" t="s">
        <v>11</v>
      </c>
      <c r="AJ36" s="125"/>
      <c r="AK36" s="138" t="s">
        <v>165</v>
      </c>
      <c r="AL36" s="139" t="s">
        <v>11</v>
      </c>
      <c r="AM36" s="125"/>
      <c r="AN36" s="138" t="s">
        <v>165</v>
      </c>
      <c r="AO36" s="139" t="s">
        <v>11</v>
      </c>
      <c r="AP36" s="126" t="s">
        <v>782</v>
      </c>
      <c r="AQ36" s="138" t="s">
        <v>165</v>
      </c>
      <c r="AR36" s="139" t="s">
        <v>11</v>
      </c>
      <c r="AS36" s="125"/>
      <c r="AT36" s="138" t="s">
        <v>165</v>
      </c>
      <c r="AU36" s="139" t="s">
        <v>11</v>
      </c>
      <c r="AV36" s="125"/>
      <c r="AW36" s="138" t="s">
        <v>165</v>
      </c>
      <c r="AX36" s="139" t="s">
        <v>11</v>
      </c>
      <c r="AY36" s="126" t="s">
        <v>782</v>
      </c>
      <c r="AZ36" s="126" t="s">
        <v>782</v>
      </c>
      <c r="BA36" s="126" t="s">
        <v>782</v>
      </c>
      <c r="BB36" s="126" t="s">
        <v>782</v>
      </c>
      <c r="BC36" s="126" t="s">
        <v>782</v>
      </c>
      <c r="BD36" s="126" t="s">
        <v>782</v>
      </c>
      <c r="BE36" s="126" t="s">
        <v>782</v>
      </c>
      <c r="BF36" s="126" t="s">
        <v>782</v>
      </c>
      <c r="BG36" s="126" t="s">
        <v>782</v>
      </c>
      <c r="BH36" s="126" t="s">
        <v>782</v>
      </c>
      <c r="BI36" s="126" t="s">
        <v>782</v>
      </c>
      <c r="BJ36" s="126" t="s">
        <v>782</v>
      </c>
      <c r="BK36" s="126" t="s">
        <v>782</v>
      </c>
      <c r="BL36" s="126" t="s">
        <v>782</v>
      </c>
      <c r="BM36" s="126" t="s">
        <v>782</v>
      </c>
      <c r="BN36" s="126" t="s">
        <v>782</v>
      </c>
      <c r="BO36" s="126" t="s">
        <v>782</v>
      </c>
      <c r="BP36" s="126" t="s">
        <v>782</v>
      </c>
      <c r="BQ36" s="126" t="s">
        <v>782</v>
      </c>
      <c r="BR36" s="126" t="s">
        <v>782</v>
      </c>
      <c r="BS36" s="126" t="s">
        <v>782</v>
      </c>
      <c r="BT36" s="126" t="s">
        <v>782</v>
      </c>
      <c r="BU36" s="126" t="s">
        <v>782</v>
      </c>
      <c r="BV36" s="126" t="s">
        <v>782</v>
      </c>
      <c r="BW36" s="126" t="s">
        <v>782</v>
      </c>
      <c r="BX36" s="126" t="s">
        <v>782</v>
      </c>
      <c r="BY36" s="126" t="s">
        <v>782</v>
      </c>
      <c r="BZ36" s="126" t="s">
        <v>782</v>
      </c>
      <c r="CA36" s="126" t="s">
        <v>782</v>
      </c>
      <c r="CB36" s="126" t="s">
        <v>782</v>
      </c>
      <c r="CC36" s="126" t="s">
        <v>782</v>
      </c>
      <c r="CD36" s="126" t="s">
        <v>782</v>
      </c>
      <c r="CE36" s="126" t="s">
        <v>782</v>
      </c>
      <c r="CF36" s="126" t="s">
        <v>782</v>
      </c>
      <c r="CG36" s="126" t="s">
        <v>782</v>
      </c>
      <c r="CH36" s="126" t="s">
        <v>782</v>
      </c>
      <c r="CI36" s="126" t="s">
        <v>782</v>
      </c>
      <c r="CJ36" s="126" t="s">
        <v>782</v>
      </c>
      <c r="CK36" s="126" t="s">
        <v>782</v>
      </c>
      <c r="CL36" s="126" t="s">
        <v>782</v>
      </c>
      <c r="CM36" s="126" t="s">
        <v>782</v>
      </c>
      <c r="CN36" s="126" t="s">
        <v>782</v>
      </c>
      <c r="CO36" s="126" t="s">
        <v>782</v>
      </c>
      <c r="CP36" s="126" t="s">
        <v>782</v>
      </c>
      <c r="CQ36" s="126" t="s">
        <v>782</v>
      </c>
      <c r="CR36" s="126" t="s">
        <v>782</v>
      </c>
      <c r="CS36" s="126" t="s">
        <v>782</v>
      </c>
      <c r="CT36" s="126" t="s">
        <v>782</v>
      </c>
      <c r="CU36" s="126" t="s">
        <v>782</v>
      </c>
      <c r="CV36" s="126" t="s">
        <v>782</v>
      </c>
      <c r="CW36" s="126" t="s">
        <v>782</v>
      </c>
      <c r="CX36" s="126" t="s">
        <v>782</v>
      </c>
      <c r="CY36" s="126" t="s">
        <v>782</v>
      </c>
      <c r="CZ36" s="126" t="s">
        <v>782</v>
      </c>
      <c r="DA36" s="126" t="s">
        <v>782</v>
      </c>
      <c r="DB36" s="126" t="s">
        <v>782</v>
      </c>
      <c r="DC36" s="126" t="s">
        <v>782</v>
      </c>
      <c r="DD36" s="126" t="s">
        <v>782</v>
      </c>
      <c r="DE36" s="126" t="s">
        <v>782</v>
      </c>
      <c r="DF36" s="126" t="s">
        <v>782</v>
      </c>
      <c r="DG36" s="126" t="s">
        <v>782</v>
      </c>
      <c r="DH36" s="126" t="s">
        <v>782</v>
      </c>
      <c r="DI36" s="126" t="s">
        <v>782</v>
      </c>
      <c r="DJ36" s="126" t="s">
        <v>782</v>
      </c>
      <c r="DK36" s="126" t="s">
        <v>782</v>
      </c>
      <c r="DL36" s="126" t="s">
        <v>782</v>
      </c>
      <c r="DM36" s="126" t="s">
        <v>782</v>
      </c>
      <c r="DN36" s="126" t="s">
        <v>782</v>
      </c>
      <c r="DO36" s="126" t="s">
        <v>782</v>
      </c>
      <c r="DP36" s="126" t="s">
        <v>782</v>
      </c>
      <c r="DQ36" s="126" t="s">
        <v>782</v>
      </c>
      <c r="DR36" s="126" t="s">
        <v>782</v>
      </c>
      <c r="DS36" s="126" t="s">
        <v>782</v>
      </c>
      <c r="DT36" s="126" t="s">
        <v>782</v>
      </c>
      <c r="DU36" s="126" t="s">
        <v>782</v>
      </c>
      <c r="DV36" s="126" t="s">
        <v>782</v>
      </c>
      <c r="DW36" s="126" t="s">
        <v>782</v>
      </c>
      <c r="DX36" s="126" t="s">
        <v>782</v>
      </c>
      <c r="DY36" s="126" t="s">
        <v>782</v>
      </c>
      <c r="DZ36" s="126" t="s">
        <v>782</v>
      </c>
      <c r="EA36" s="126" t="s">
        <v>782</v>
      </c>
      <c r="EB36" s="126" t="s">
        <v>782</v>
      </c>
      <c r="EC36" s="126" t="s">
        <v>782</v>
      </c>
      <c r="ED36" s="126" t="s">
        <v>782</v>
      </c>
      <c r="EE36" s="124"/>
      <c r="EF36" s="124"/>
      <c r="EG36" s="124"/>
      <c r="EH36" s="124"/>
    </row>
    <row r="37" spans="1:138" s="120" customFormat="1" ht="33.75" customHeight="1" x14ac:dyDescent="0.25">
      <c r="A37" s="182" t="s">
        <v>782</v>
      </c>
      <c r="B37" s="182" t="s">
        <v>782</v>
      </c>
      <c r="C37" s="128" t="s">
        <v>782</v>
      </c>
      <c r="D37" s="182" t="s">
        <v>782</v>
      </c>
      <c r="E37" s="128" t="s">
        <v>782</v>
      </c>
      <c r="F37" s="182" t="s">
        <v>782</v>
      </c>
      <c r="G37" s="182" t="s">
        <v>782</v>
      </c>
      <c r="H37" s="182" t="s">
        <v>782</v>
      </c>
      <c r="I37" s="182" t="s">
        <v>782</v>
      </c>
      <c r="J37" s="182" t="s">
        <v>782</v>
      </c>
      <c r="K37" s="182" t="s">
        <v>782</v>
      </c>
      <c r="L37" s="143" t="s">
        <v>782</v>
      </c>
      <c r="M37" s="143" t="s">
        <v>782</v>
      </c>
      <c r="N37" s="144" t="s">
        <v>782</v>
      </c>
      <c r="O37" s="128" t="s">
        <v>782</v>
      </c>
      <c r="P37" s="143" t="s">
        <v>782</v>
      </c>
      <c r="Q37" s="144" t="s">
        <v>782</v>
      </c>
      <c r="R37" s="128" t="s">
        <v>782</v>
      </c>
      <c r="S37" s="143" t="s">
        <v>782</v>
      </c>
      <c r="T37" s="144" t="s">
        <v>782</v>
      </c>
      <c r="U37" s="128" t="s">
        <v>782</v>
      </c>
      <c r="V37" s="143" t="s">
        <v>782</v>
      </c>
      <c r="W37" s="144" t="s">
        <v>782</v>
      </c>
      <c r="X37" s="128" t="s">
        <v>782</v>
      </c>
      <c r="Y37" s="143" t="s">
        <v>782</v>
      </c>
      <c r="Z37" s="144" t="s">
        <v>782</v>
      </c>
      <c r="AA37" s="128" t="s">
        <v>782</v>
      </c>
      <c r="AB37" s="143" t="s">
        <v>782</v>
      </c>
      <c r="AC37" s="144" t="s">
        <v>782</v>
      </c>
      <c r="AD37" s="128" t="s">
        <v>782</v>
      </c>
      <c r="AE37" s="182" t="s">
        <v>782</v>
      </c>
      <c r="AF37" s="182" t="s">
        <v>782</v>
      </c>
      <c r="AG37" s="143" t="s">
        <v>782</v>
      </c>
      <c r="AH37" s="143" t="s">
        <v>782</v>
      </c>
      <c r="AI37" s="144" t="s">
        <v>782</v>
      </c>
      <c r="AJ37" s="128" t="s">
        <v>782</v>
      </c>
      <c r="AK37" s="143" t="s">
        <v>782</v>
      </c>
      <c r="AL37" s="144" t="s">
        <v>782</v>
      </c>
      <c r="AM37" s="128" t="s">
        <v>782</v>
      </c>
      <c r="AN37" s="143" t="s">
        <v>782</v>
      </c>
      <c r="AO37" s="144" t="s">
        <v>782</v>
      </c>
      <c r="AP37" s="128" t="s">
        <v>782</v>
      </c>
      <c r="AQ37" s="143" t="s">
        <v>782</v>
      </c>
      <c r="AR37" s="144" t="s">
        <v>782</v>
      </c>
      <c r="AS37" s="128" t="s">
        <v>782</v>
      </c>
      <c r="AT37" s="143" t="s">
        <v>782</v>
      </c>
      <c r="AU37" s="144" t="s">
        <v>782</v>
      </c>
      <c r="AV37" s="128" t="s">
        <v>782</v>
      </c>
      <c r="AW37" s="143" t="s">
        <v>782</v>
      </c>
      <c r="AX37" s="144" t="s">
        <v>782</v>
      </c>
      <c r="AY37" s="128" t="s">
        <v>782</v>
      </c>
      <c r="AZ37" s="182" t="s">
        <v>782</v>
      </c>
      <c r="BA37" s="182" t="s">
        <v>782</v>
      </c>
      <c r="BB37" s="182" t="s">
        <v>782</v>
      </c>
      <c r="BC37" s="182" t="s">
        <v>782</v>
      </c>
      <c r="BD37" s="182" t="s">
        <v>782</v>
      </c>
      <c r="BE37" s="182" t="s">
        <v>782</v>
      </c>
      <c r="BF37" s="182" t="s">
        <v>782</v>
      </c>
      <c r="BG37" s="182" t="s">
        <v>782</v>
      </c>
      <c r="BH37" s="182" t="s">
        <v>782</v>
      </c>
      <c r="BI37" s="182" t="s">
        <v>782</v>
      </c>
      <c r="BJ37" s="182" t="s">
        <v>782</v>
      </c>
      <c r="BK37" s="182" t="s">
        <v>782</v>
      </c>
      <c r="BL37" s="182" t="s">
        <v>782</v>
      </c>
      <c r="BM37" s="182" t="s">
        <v>782</v>
      </c>
      <c r="BN37" s="182" t="s">
        <v>782</v>
      </c>
      <c r="BO37" s="182" t="s">
        <v>782</v>
      </c>
      <c r="BP37" s="182" t="s">
        <v>782</v>
      </c>
      <c r="BQ37" s="182" t="s">
        <v>782</v>
      </c>
      <c r="BR37" s="182" t="s">
        <v>782</v>
      </c>
      <c r="BS37" s="182" t="s">
        <v>782</v>
      </c>
      <c r="BT37" s="182" t="s">
        <v>782</v>
      </c>
      <c r="BU37" s="182" t="s">
        <v>782</v>
      </c>
      <c r="BV37" s="182" t="s">
        <v>782</v>
      </c>
      <c r="BW37" s="182" t="s">
        <v>782</v>
      </c>
      <c r="BX37" s="182" t="s">
        <v>782</v>
      </c>
      <c r="BY37" s="182" t="s">
        <v>782</v>
      </c>
      <c r="BZ37" s="182" t="s">
        <v>782</v>
      </c>
      <c r="CA37" s="182" t="s">
        <v>782</v>
      </c>
      <c r="CB37" s="182" t="s">
        <v>782</v>
      </c>
      <c r="CC37" s="182" t="s">
        <v>782</v>
      </c>
      <c r="CD37" s="182" t="s">
        <v>782</v>
      </c>
      <c r="CE37" s="182" t="s">
        <v>782</v>
      </c>
      <c r="CF37" s="182" t="s">
        <v>782</v>
      </c>
      <c r="CG37" s="182" t="s">
        <v>782</v>
      </c>
      <c r="CH37" s="182" t="s">
        <v>782</v>
      </c>
      <c r="CI37" s="182" t="s">
        <v>782</v>
      </c>
      <c r="CJ37" s="182" t="s">
        <v>782</v>
      </c>
      <c r="CK37" s="182" t="s">
        <v>782</v>
      </c>
      <c r="CL37" s="182" t="s">
        <v>782</v>
      </c>
      <c r="CM37" s="182" t="s">
        <v>782</v>
      </c>
      <c r="CN37" s="182" t="s">
        <v>782</v>
      </c>
      <c r="CO37" s="182" t="s">
        <v>782</v>
      </c>
      <c r="CP37" s="182" t="s">
        <v>782</v>
      </c>
      <c r="CQ37" s="182" t="s">
        <v>782</v>
      </c>
      <c r="CR37" s="182" t="s">
        <v>782</v>
      </c>
      <c r="CS37" s="182" t="s">
        <v>782</v>
      </c>
      <c r="CT37" s="182" t="s">
        <v>782</v>
      </c>
      <c r="CU37" s="182" t="s">
        <v>782</v>
      </c>
      <c r="CV37" s="182" t="s">
        <v>782</v>
      </c>
      <c r="CW37" s="182" t="s">
        <v>782</v>
      </c>
      <c r="CX37" s="182" t="s">
        <v>782</v>
      </c>
      <c r="CY37" s="182" t="s">
        <v>782</v>
      </c>
      <c r="CZ37" s="182" t="s">
        <v>782</v>
      </c>
      <c r="DA37" s="182" t="s">
        <v>782</v>
      </c>
      <c r="DB37" s="182" t="s">
        <v>782</v>
      </c>
      <c r="DC37" s="182" t="s">
        <v>782</v>
      </c>
      <c r="DD37" s="182" t="s">
        <v>782</v>
      </c>
      <c r="DE37" s="182" t="s">
        <v>782</v>
      </c>
      <c r="DF37" s="182" t="s">
        <v>782</v>
      </c>
      <c r="DG37" s="182" t="s">
        <v>782</v>
      </c>
      <c r="DH37" s="182" t="s">
        <v>782</v>
      </c>
      <c r="DI37" s="182" t="s">
        <v>782</v>
      </c>
      <c r="DJ37" s="182" t="s">
        <v>782</v>
      </c>
      <c r="DK37" s="182" t="s">
        <v>782</v>
      </c>
      <c r="DL37" s="182" t="s">
        <v>782</v>
      </c>
      <c r="DM37" s="182" t="s">
        <v>782</v>
      </c>
      <c r="DN37" s="182" t="s">
        <v>782</v>
      </c>
      <c r="DO37" s="182" t="s">
        <v>782</v>
      </c>
      <c r="DP37" s="182" t="s">
        <v>782</v>
      </c>
      <c r="DQ37" s="182" t="s">
        <v>782</v>
      </c>
      <c r="DR37" s="182" t="s">
        <v>782</v>
      </c>
      <c r="DS37" s="182" t="s">
        <v>782</v>
      </c>
      <c r="DT37" s="182" t="s">
        <v>782</v>
      </c>
      <c r="DU37" s="182" t="s">
        <v>782</v>
      </c>
      <c r="DV37" s="182" t="s">
        <v>782</v>
      </c>
      <c r="DW37" s="182" t="s">
        <v>782</v>
      </c>
      <c r="DX37" s="182" t="s">
        <v>782</v>
      </c>
      <c r="DY37" s="182" t="s">
        <v>782</v>
      </c>
      <c r="DZ37" s="182" t="s">
        <v>782</v>
      </c>
      <c r="EA37" s="182" t="s">
        <v>782</v>
      </c>
      <c r="EB37" s="182" t="s">
        <v>782</v>
      </c>
      <c r="EC37" s="182" t="s">
        <v>782</v>
      </c>
      <c r="ED37" s="182" t="s">
        <v>782</v>
      </c>
      <c r="EE37" s="182" t="s">
        <v>782</v>
      </c>
      <c r="EF37" s="182" t="s">
        <v>782</v>
      </c>
      <c r="EG37" s="182" t="s">
        <v>782</v>
      </c>
      <c r="EH37" s="182" t="s">
        <v>782</v>
      </c>
    </row>
    <row r="38" spans="1:138" s="3" customFormat="1" ht="56.25" x14ac:dyDescent="0.25">
      <c r="A38" s="124"/>
      <c r="B38" s="124"/>
      <c r="C38" s="124"/>
      <c r="D38" s="124"/>
      <c r="E38" s="124"/>
      <c r="F38" s="124"/>
      <c r="G38" s="124"/>
      <c r="H38" s="124"/>
      <c r="I38" s="124"/>
      <c r="J38" s="124"/>
      <c r="K38" s="124"/>
      <c r="L38" s="137"/>
      <c r="M38" s="138" t="s">
        <v>155</v>
      </c>
      <c r="N38" s="139" t="s">
        <v>975</v>
      </c>
      <c r="O38" s="125"/>
      <c r="P38" s="138" t="s">
        <v>155</v>
      </c>
      <c r="Q38" s="139" t="s">
        <v>976</v>
      </c>
      <c r="R38" s="125"/>
      <c r="S38" s="138" t="s">
        <v>155</v>
      </c>
      <c r="T38" s="139" t="s">
        <v>977</v>
      </c>
      <c r="U38" s="125"/>
      <c r="V38" s="138" t="s">
        <v>155</v>
      </c>
      <c r="W38" s="204">
        <f>+AVERAGE(W11,W17,W22,W25,W31,W33,W36)</f>
        <v>0.61697803988711752</v>
      </c>
      <c r="X38" s="125"/>
      <c r="Y38" s="138" t="s">
        <v>155</v>
      </c>
      <c r="Z38" s="204">
        <f>+AVERAGE(Z11,Z17,Z22,Z25,Z31,Z33,Z36)</f>
        <v>0.64323501238668079</v>
      </c>
      <c r="AA38" s="125"/>
      <c r="AB38" s="138" t="s">
        <v>155</v>
      </c>
      <c r="AC38" s="204">
        <f>+AVERAGE(AC11,AC17,AC22,AC25,AC31,AC33,AC36)</f>
        <v>0.68237872312515324</v>
      </c>
      <c r="AD38" s="125"/>
      <c r="AE38" s="124"/>
      <c r="AF38" s="124"/>
      <c r="AG38" s="137"/>
      <c r="AH38" s="138" t="s">
        <v>156</v>
      </c>
      <c r="AI38" s="139" t="s">
        <v>978</v>
      </c>
      <c r="AJ38" s="125"/>
      <c r="AK38" s="138" t="s">
        <v>156</v>
      </c>
      <c r="AL38" s="139" t="s">
        <v>979</v>
      </c>
      <c r="AM38" s="125"/>
      <c r="AN38" s="138" t="s">
        <v>156</v>
      </c>
      <c r="AO38" s="204">
        <v>0.67200000000000004</v>
      </c>
      <c r="AP38" s="126" t="s">
        <v>782</v>
      </c>
      <c r="AQ38" s="138" t="s">
        <v>156</v>
      </c>
      <c r="AR38" s="204">
        <f>+AVERAGE(AR17,AR22,AR25,AR31)</f>
        <v>0.6583618468231377</v>
      </c>
      <c r="AS38" s="125"/>
      <c r="AT38" s="138" t="s">
        <v>156</v>
      </c>
      <c r="AU38" s="204">
        <f>+AVERAGE(AU17,AU22,AU25,AU31)</f>
        <v>0.63435674028655442</v>
      </c>
      <c r="AV38" s="125"/>
      <c r="AW38" s="138" t="s">
        <v>156</v>
      </c>
      <c r="AX38" s="204">
        <f>+AVERAGE(AX17,AX22,AX25,AX31)</f>
        <v>0.67918823038661935</v>
      </c>
      <c r="AY38" s="126" t="s">
        <v>782</v>
      </c>
      <c r="AZ38" s="126" t="s">
        <v>782</v>
      </c>
      <c r="BA38" s="126" t="s">
        <v>782</v>
      </c>
      <c r="BB38" s="126" t="s">
        <v>782</v>
      </c>
      <c r="BC38" s="126" t="s">
        <v>782</v>
      </c>
      <c r="BD38" s="126" t="s">
        <v>782</v>
      </c>
      <c r="BE38" s="126" t="s">
        <v>782</v>
      </c>
      <c r="BF38" s="126" t="s">
        <v>782</v>
      </c>
      <c r="BG38" s="126" t="s">
        <v>782</v>
      </c>
      <c r="BH38" s="126" t="s">
        <v>782</v>
      </c>
      <c r="BI38" s="126" t="s">
        <v>782</v>
      </c>
      <c r="BJ38" s="126" t="s">
        <v>782</v>
      </c>
      <c r="BK38" s="126" t="s">
        <v>782</v>
      </c>
      <c r="BL38" s="126" t="s">
        <v>782</v>
      </c>
      <c r="BM38" s="126" t="s">
        <v>782</v>
      </c>
      <c r="BN38" s="126" t="s">
        <v>782</v>
      </c>
      <c r="BO38" s="126" t="s">
        <v>782</v>
      </c>
      <c r="BP38" s="126" t="s">
        <v>782</v>
      </c>
      <c r="BQ38" s="126" t="s">
        <v>782</v>
      </c>
      <c r="BR38" s="126" t="s">
        <v>782</v>
      </c>
      <c r="BS38" s="126" t="s">
        <v>782</v>
      </c>
      <c r="BT38" s="126" t="s">
        <v>782</v>
      </c>
      <c r="BU38" s="126" t="s">
        <v>782</v>
      </c>
      <c r="BV38" s="126" t="s">
        <v>782</v>
      </c>
      <c r="BW38" s="126" t="s">
        <v>782</v>
      </c>
      <c r="BX38" s="126" t="s">
        <v>782</v>
      </c>
      <c r="BY38" s="126" t="s">
        <v>782</v>
      </c>
      <c r="BZ38" s="126" t="s">
        <v>782</v>
      </c>
      <c r="CA38" s="126" t="s">
        <v>782</v>
      </c>
      <c r="CB38" s="126" t="s">
        <v>782</v>
      </c>
      <c r="CC38" s="126" t="s">
        <v>782</v>
      </c>
      <c r="CD38" s="126" t="s">
        <v>782</v>
      </c>
      <c r="CE38" s="126" t="s">
        <v>782</v>
      </c>
      <c r="CF38" s="126" t="s">
        <v>782</v>
      </c>
      <c r="CG38" s="126" t="s">
        <v>782</v>
      </c>
      <c r="CH38" s="126" t="s">
        <v>782</v>
      </c>
      <c r="CI38" s="126" t="s">
        <v>782</v>
      </c>
      <c r="CJ38" s="126" t="s">
        <v>782</v>
      </c>
      <c r="CK38" s="126" t="s">
        <v>782</v>
      </c>
      <c r="CL38" s="126" t="s">
        <v>782</v>
      </c>
      <c r="CM38" s="126" t="s">
        <v>782</v>
      </c>
      <c r="CN38" s="126" t="s">
        <v>782</v>
      </c>
      <c r="CO38" s="126" t="s">
        <v>782</v>
      </c>
      <c r="CP38" s="126" t="s">
        <v>782</v>
      </c>
      <c r="CQ38" s="126" t="s">
        <v>782</v>
      </c>
      <c r="CR38" s="126" t="s">
        <v>782</v>
      </c>
      <c r="CS38" s="126" t="s">
        <v>782</v>
      </c>
      <c r="CT38" s="126" t="s">
        <v>782</v>
      </c>
      <c r="CU38" s="126" t="s">
        <v>782</v>
      </c>
      <c r="CV38" s="126" t="s">
        <v>782</v>
      </c>
      <c r="CW38" s="126" t="s">
        <v>782</v>
      </c>
      <c r="CX38" s="126" t="s">
        <v>782</v>
      </c>
      <c r="CY38" s="126" t="s">
        <v>782</v>
      </c>
      <c r="CZ38" s="126" t="s">
        <v>782</v>
      </c>
      <c r="DA38" s="126" t="s">
        <v>782</v>
      </c>
      <c r="DB38" s="126" t="s">
        <v>782</v>
      </c>
      <c r="DC38" s="126" t="s">
        <v>782</v>
      </c>
      <c r="DD38" s="126" t="s">
        <v>782</v>
      </c>
      <c r="DE38" s="126" t="s">
        <v>782</v>
      </c>
      <c r="DF38" s="126" t="s">
        <v>782</v>
      </c>
      <c r="DG38" s="126" t="s">
        <v>782</v>
      </c>
      <c r="DH38" s="126" t="s">
        <v>782</v>
      </c>
      <c r="DI38" s="126" t="s">
        <v>782</v>
      </c>
      <c r="DJ38" s="126" t="s">
        <v>782</v>
      </c>
      <c r="DK38" s="126" t="s">
        <v>782</v>
      </c>
      <c r="DL38" s="126" t="s">
        <v>782</v>
      </c>
      <c r="DM38" s="126" t="s">
        <v>782</v>
      </c>
      <c r="DN38" s="126" t="s">
        <v>782</v>
      </c>
      <c r="DO38" s="126" t="s">
        <v>782</v>
      </c>
      <c r="DP38" s="126" t="s">
        <v>782</v>
      </c>
      <c r="DQ38" s="126" t="s">
        <v>782</v>
      </c>
      <c r="DR38" s="126" t="s">
        <v>782</v>
      </c>
      <c r="DS38" s="126" t="s">
        <v>782</v>
      </c>
      <c r="DT38" s="126" t="s">
        <v>782</v>
      </c>
      <c r="DU38" s="126" t="s">
        <v>782</v>
      </c>
      <c r="DV38" s="126" t="s">
        <v>782</v>
      </c>
      <c r="DW38" s="126" t="s">
        <v>782</v>
      </c>
      <c r="DX38" s="126" t="s">
        <v>782</v>
      </c>
      <c r="DY38" s="126" t="s">
        <v>782</v>
      </c>
      <c r="DZ38" s="126" t="s">
        <v>782</v>
      </c>
      <c r="EA38" s="126" t="s">
        <v>782</v>
      </c>
      <c r="EB38" s="126" t="s">
        <v>782</v>
      </c>
      <c r="EC38" s="126" t="s">
        <v>782</v>
      </c>
      <c r="ED38" s="126" t="s">
        <v>782</v>
      </c>
      <c r="EE38" s="124"/>
      <c r="EF38" s="124"/>
      <c r="EG38" s="124"/>
      <c r="EH38" s="124"/>
    </row>
    <row r="39" spans="1:138" s="5" customFormat="1" ht="38.25" customHeight="1" x14ac:dyDescent="0.25">
      <c r="A39" s="113"/>
      <c r="B39" s="113"/>
      <c r="C39" s="113"/>
      <c r="D39" s="113"/>
      <c r="E39" s="113"/>
      <c r="F39" s="113"/>
      <c r="G39" s="113"/>
      <c r="H39" s="113"/>
      <c r="I39" s="113"/>
      <c r="J39" s="113"/>
      <c r="K39" s="113"/>
      <c r="L39" s="130"/>
      <c r="M39" s="131"/>
      <c r="N39" s="131"/>
      <c r="O39" s="114"/>
      <c r="P39" s="131"/>
      <c r="Q39" s="131"/>
      <c r="R39" s="114"/>
      <c r="S39" s="131"/>
      <c r="T39" s="131"/>
      <c r="U39" s="114"/>
      <c r="V39" s="131"/>
      <c r="W39" s="131"/>
      <c r="X39" s="114"/>
      <c r="Y39" s="131"/>
      <c r="Z39" s="131"/>
      <c r="AA39" s="114"/>
      <c r="AB39" s="131"/>
      <c r="AC39" s="131"/>
      <c r="AD39" s="114"/>
      <c r="AE39" s="113"/>
      <c r="AF39" s="113"/>
      <c r="AG39" s="130"/>
      <c r="AH39" s="131"/>
      <c r="AI39" s="131"/>
      <c r="AJ39" s="114"/>
      <c r="AK39" s="131"/>
      <c r="AL39" s="131"/>
      <c r="AM39" s="114"/>
      <c r="AN39" s="131"/>
      <c r="AO39" s="131"/>
      <c r="AP39" s="114"/>
      <c r="AQ39" s="131"/>
      <c r="AR39" s="131"/>
      <c r="AS39" s="114"/>
      <c r="AT39" s="131"/>
      <c r="AU39" s="131"/>
      <c r="AV39" s="114"/>
      <c r="AW39" s="131"/>
      <c r="AX39" s="131"/>
      <c r="AY39" s="114"/>
      <c r="AZ39" s="113"/>
      <c r="BA39" s="113"/>
      <c r="BB39" s="112" t="s">
        <v>782</v>
      </c>
      <c r="BC39" s="112" t="s">
        <v>782</v>
      </c>
      <c r="BD39" s="112" t="s">
        <v>782</v>
      </c>
      <c r="BE39" s="112" t="s">
        <v>782</v>
      </c>
      <c r="BF39" s="112" t="s">
        <v>782</v>
      </c>
      <c r="BG39" s="112" t="s">
        <v>782</v>
      </c>
      <c r="BH39" s="112" t="s">
        <v>782</v>
      </c>
      <c r="BI39" s="112" t="s">
        <v>782</v>
      </c>
      <c r="BJ39" s="112" t="s">
        <v>782</v>
      </c>
      <c r="BK39" s="112" t="s">
        <v>782</v>
      </c>
      <c r="BL39" s="112" t="s">
        <v>782</v>
      </c>
      <c r="BM39" s="112" t="s">
        <v>782</v>
      </c>
      <c r="BN39" s="112" t="s">
        <v>782</v>
      </c>
      <c r="BO39" s="112" t="s">
        <v>782</v>
      </c>
      <c r="BP39" s="112" t="s">
        <v>782</v>
      </c>
      <c r="BQ39" s="112" t="s">
        <v>782</v>
      </c>
      <c r="BR39" s="112" t="s">
        <v>782</v>
      </c>
      <c r="BS39" s="112" t="s">
        <v>782</v>
      </c>
      <c r="BT39" s="112" t="s">
        <v>782</v>
      </c>
      <c r="BU39" s="112" t="s">
        <v>782</v>
      </c>
      <c r="BV39" s="112" t="s">
        <v>782</v>
      </c>
      <c r="BW39" s="112" t="s">
        <v>782</v>
      </c>
      <c r="BX39" s="112" t="s">
        <v>782</v>
      </c>
      <c r="BY39" s="112" t="s">
        <v>782</v>
      </c>
      <c r="BZ39" s="112" t="s">
        <v>782</v>
      </c>
      <c r="CA39" s="112" t="s">
        <v>782</v>
      </c>
      <c r="CB39" s="112" t="s">
        <v>782</v>
      </c>
      <c r="CC39" s="112" t="s">
        <v>782</v>
      </c>
      <c r="CD39" s="112" t="s">
        <v>782</v>
      </c>
      <c r="CE39" s="112" t="s">
        <v>782</v>
      </c>
      <c r="CF39" s="112" t="s">
        <v>782</v>
      </c>
      <c r="CG39" s="112" t="s">
        <v>782</v>
      </c>
      <c r="CH39" s="112" t="s">
        <v>782</v>
      </c>
      <c r="CI39" s="112" t="s">
        <v>782</v>
      </c>
      <c r="CJ39" s="112" t="s">
        <v>782</v>
      </c>
      <c r="CK39" s="112" t="s">
        <v>782</v>
      </c>
      <c r="CL39" s="112" t="s">
        <v>782</v>
      </c>
      <c r="CM39" s="112" t="s">
        <v>782</v>
      </c>
      <c r="CN39" s="112" t="s">
        <v>782</v>
      </c>
      <c r="CO39" s="112" t="s">
        <v>782</v>
      </c>
      <c r="CP39" s="112" t="s">
        <v>782</v>
      </c>
      <c r="CQ39" s="112" t="s">
        <v>782</v>
      </c>
      <c r="CR39" s="112" t="s">
        <v>782</v>
      </c>
      <c r="CS39" s="112" t="s">
        <v>782</v>
      </c>
      <c r="CT39" s="112" t="s">
        <v>782</v>
      </c>
      <c r="CU39" s="112" t="s">
        <v>782</v>
      </c>
      <c r="CV39" s="112" t="s">
        <v>782</v>
      </c>
      <c r="CW39" s="112" t="s">
        <v>782</v>
      </c>
      <c r="CX39" s="112" t="s">
        <v>782</v>
      </c>
      <c r="CY39" s="112" t="s">
        <v>782</v>
      </c>
      <c r="CZ39" s="112" t="s">
        <v>782</v>
      </c>
      <c r="DA39" s="112" t="s">
        <v>782</v>
      </c>
      <c r="DB39" s="112" t="s">
        <v>782</v>
      </c>
      <c r="DC39" s="112" t="s">
        <v>782</v>
      </c>
      <c r="DD39" s="112" t="s">
        <v>782</v>
      </c>
      <c r="DE39" s="112" t="s">
        <v>782</v>
      </c>
      <c r="DF39" s="112" t="s">
        <v>782</v>
      </c>
      <c r="DG39" s="112" t="s">
        <v>782</v>
      </c>
      <c r="DH39" s="112" t="s">
        <v>782</v>
      </c>
      <c r="DI39" s="112" t="s">
        <v>782</v>
      </c>
      <c r="DJ39" s="112" t="s">
        <v>782</v>
      </c>
      <c r="DK39" s="112" t="s">
        <v>782</v>
      </c>
      <c r="DL39" s="112" t="s">
        <v>782</v>
      </c>
      <c r="DM39" s="112" t="s">
        <v>782</v>
      </c>
      <c r="DN39" s="112" t="s">
        <v>782</v>
      </c>
      <c r="DO39" s="112" t="s">
        <v>782</v>
      </c>
      <c r="DP39" s="112" t="s">
        <v>782</v>
      </c>
      <c r="DQ39" s="112" t="s">
        <v>782</v>
      </c>
      <c r="DR39" s="112" t="s">
        <v>782</v>
      </c>
      <c r="DS39" s="112" t="s">
        <v>782</v>
      </c>
      <c r="DT39" s="112" t="s">
        <v>782</v>
      </c>
      <c r="DU39" s="112" t="s">
        <v>782</v>
      </c>
      <c r="DV39" s="112" t="s">
        <v>782</v>
      </c>
      <c r="DW39" s="112" t="s">
        <v>782</v>
      </c>
      <c r="DX39" s="112" t="s">
        <v>782</v>
      </c>
      <c r="DY39" s="112" t="s">
        <v>782</v>
      </c>
      <c r="DZ39" s="112" t="s">
        <v>782</v>
      </c>
      <c r="EA39" s="112" t="s">
        <v>782</v>
      </c>
      <c r="EB39" s="112" t="s">
        <v>782</v>
      </c>
      <c r="EC39" s="112" t="s">
        <v>782</v>
      </c>
      <c r="ED39" s="112" t="s">
        <v>782</v>
      </c>
      <c r="EE39" s="112" t="s">
        <v>782</v>
      </c>
      <c r="EF39" s="112" t="s">
        <v>782</v>
      </c>
      <c r="EG39" s="112" t="s">
        <v>782</v>
      </c>
      <c r="EH39" s="112" t="s">
        <v>782</v>
      </c>
    </row>
    <row r="40" spans="1:138" ht="38.25" customHeight="1" x14ac:dyDescent="0.25">
      <c r="A40" s="113"/>
      <c r="B40" s="113"/>
      <c r="C40" s="113"/>
      <c r="D40" s="113"/>
      <c r="E40" s="113"/>
      <c r="F40" s="113"/>
      <c r="G40" s="113"/>
      <c r="H40" s="113"/>
      <c r="I40" s="113"/>
      <c r="J40" s="113"/>
      <c r="K40" s="113"/>
      <c r="L40" s="130"/>
      <c r="M40" s="131"/>
      <c r="N40" s="131"/>
      <c r="O40" s="114"/>
      <c r="P40" s="131"/>
      <c r="Q40" s="131"/>
      <c r="R40" s="114"/>
      <c r="S40" s="131"/>
      <c r="T40" s="131"/>
      <c r="U40" s="114"/>
      <c r="V40" s="131"/>
      <c r="W40" s="131"/>
      <c r="X40" s="114"/>
      <c r="Y40" s="131"/>
      <c r="Z40" s="131"/>
      <c r="AA40" s="114"/>
      <c r="AB40" s="131"/>
      <c r="AC40" s="131"/>
      <c r="AD40" s="114"/>
      <c r="AE40" s="113"/>
      <c r="AF40" s="113"/>
      <c r="AG40" s="130"/>
      <c r="AH40" s="131"/>
      <c r="AI40" s="131"/>
      <c r="AJ40" s="114"/>
      <c r="AK40" s="131"/>
      <c r="AL40" s="131"/>
      <c r="AM40" s="114"/>
      <c r="AN40" s="131"/>
      <c r="AO40" s="131"/>
      <c r="AP40" s="114"/>
      <c r="AQ40" s="131"/>
      <c r="AR40" s="131"/>
      <c r="AS40" s="114"/>
      <c r="AT40" s="131"/>
      <c r="AU40" s="131"/>
      <c r="AV40" s="114"/>
      <c r="AW40" s="131"/>
      <c r="AX40" s="131"/>
      <c r="AY40" s="114"/>
      <c r="AZ40" s="113"/>
      <c r="BA40" s="113"/>
      <c r="BB40" s="115" t="s">
        <v>782</v>
      </c>
      <c r="BC40" s="115" t="s">
        <v>782</v>
      </c>
      <c r="BD40" s="115" t="s">
        <v>782</v>
      </c>
      <c r="BE40" s="115" t="s">
        <v>782</v>
      </c>
      <c r="BF40" s="115" t="s">
        <v>782</v>
      </c>
      <c r="BG40" s="115" t="s">
        <v>782</v>
      </c>
      <c r="BH40" s="115" t="s">
        <v>782</v>
      </c>
      <c r="BI40" s="115" t="s">
        <v>782</v>
      </c>
      <c r="BJ40" s="115" t="s">
        <v>782</v>
      </c>
      <c r="BK40" s="115" t="s">
        <v>782</v>
      </c>
      <c r="BL40" s="115" t="s">
        <v>782</v>
      </c>
      <c r="BM40" s="115" t="s">
        <v>782</v>
      </c>
      <c r="BN40" s="115" t="s">
        <v>782</v>
      </c>
      <c r="BO40" s="115" t="s">
        <v>782</v>
      </c>
      <c r="BP40" s="115" t="s">
        <v>782</v>
      </c>
      <c r="BQ40" s="115" t="s">
        <v>782</v>
      </c>
      <c r="BR40" s="115" t="s">
        <v>782</v>
      </c>
      <c r="BS40" s="115" t="s">
        <v>782</v>
      </c>
      <c r="BT40" s="115" t="s">
        <v>782</v>
      </c>
      <c r="BU40" s="115" t="s">
        <v>782</v>
      </c>
      <c r="BV40" s="115" t="s">
        <v>782</v>
      </c>
      <c r="BW40" s="115" t="s">
        <v>782</v>
      </c>
      <c r="BX40" s="115" t="s">
        <v>782</v>
      </c>
      <c r="BY40" s="115" t="s">
        <v>782</v>
      </c>
      <c r="BZ40" s="115" t="s">
        <v>782</v>
      </c>
      <c r="CA40" s="115" t="s">
        <v>782</v>
      </c>
      <c r="CB40" s="115" t="s">
        <v>782</v>
      </c>
      <c r="CC40" s="115" t="s">
        <v>782</v>
      </c>
      <c r="CD40" s="115" t="s">
        <v>782</v>
      </c>
      <c r="CE40" s="115" t="s">
        <v>782</v>
      </c>
      <c r="CF40" s="115" t="s">
        <v>782</v>
      </c>
      <c r="CG40" s="115" t="s">
        <v>782</v>
      </c>
      <c r="CH40" s="115" t="s">
        <v>782</v>
      </c>
      <c r="CI40" s="115" t="s">
        <v>782</v>
      </c>
      <c r="CJ40" s="115" t="s">
        <v>782</v>
      </c>
      <c r="CK40" s="115" t="s">
        <v>782</v>
      </c>
      <c r="CL40" s="115" t="s">
        <v>782</v>
      </c>
      <c r="CM40" s="115" t="s">
        <v>782</v>
      </c>
      <c r="CN40" s="115" t="s">
        <v>782</v>
      </c>
      <c r="CO40" s="115" t="s">
        <v>782</v>
      </c>
      <c r="CP40" s="115" t="s">
        <v>782</v>
      </c>
      <c r="CQ40" s="115" t="s">
        <v>782</v>
      </c>
      <c r="CR40" s="115" t="s">
        <v>782</v>
      </c>
      <c r="CS40" s="115" t="s">
        <v>782</v>
      </c>
      <c r="CT40" s="115" t="s">
        <v>782</v>
      </c>
      <c r="CU40" s="115" t="s">
        <v>782</v>
      </c>
      <c r="CV40" s="115" t="s">
        <v>782</v>
      </c>
      <c r="CW40" s="115" t="s">
        <v>782</v>
      </c>
      <c r="CX40" s="115" t="s">
        <v>782</v>
      </c>
      <c r="CY40" s="115" t="s">
        <v>782</v>
      </c>
      <c r="CZ40" s="115" t="s">
        <v>782</v>
      </c>
      <c r="DA40" s="115" t="s">
        <v>782</v>
      </c>
      <c r="DB40" s="115" t="s">
        <v>782</v>
      </c>
      <c r="DC40" s="115" t="s">
        <v>782</v>
      </c>
      <c r="DD40" s="115" t="s">
        <v>782</v>
      </c>
      <c r="DE40" s="115" t="s">
        <v>782</v>
      </c>
      <c r="DF40" s="115" t="s">
        <v>782</v>
      </c>
      <c r="DG40" s="115" t="s">
        <v>782</v>
      </c>
      <c r="DH40" s="115" t="s">
        <v>782</v>
      </c>
      <c r="DI40" s="115" t="s">
        <v>782</v>
      </c>
      <c r="DJ40" s="115" t="s">
        <v>782</v>
      </c>
      <c r="DK40" s="115" t="s">
        <v>782</v>
      </c>
      <c r="DL40" s="115" t="s">
        <v>782</v>
      </c>
      <c r="DM40" s="115" t="s">
        <v>782</v>
      </c>
      <c r="DN40" s="115" t="s">
        <v>782</v>
      </c>
      <c r="DO40" s="115" t="s">
        <v>782</v>
      </c>
      <c r="DP40" s="115" t="s">
        <v>782</v>
      </c>
      <c r="DQ40" s="115" t="s">
        <v>782</v>
      </c>
      <c r="DR40" s="115" t="s">
        <v>782</v>
      </c>
      <c r="DS40" s="115" t="s">
        <v>782</v>
      </c>
      <c r="DT40" s="115" t="s">
        <v>782</v>
      </c>
      <c r="DU40" s="115" t="s">
        <v>782</v>
      </c>
      <c r="DV40" s="115" t="s">
        <v>782</v>
      </c>
      <c r="DW40" s="115" t="s">
        <v>782</v>
      </c>
      <c r="DX40" s="115" t="s">
        <v>782</v>
      </c>
      <c r="DY40" s="115" t="s">
        <v>782</v>
      </c>
      <c r="DZ40" s="115" t="s">
        <v>782</v>
      </c>
      <c r="EA40" s="115" t="s">
        <v>782</v>
      </c>
      <c r="EB40" s="115" t="s">
        <v>782</v>
      </c>
      <c r="EC40" s="115" t="s">
        <v>782</v>
      </c>
      <c r="ED40" s="115" t="s">
        <v>782</v>
      </c>
      <c r="EE40" s="115" t="s">
        <v>782</v>
      </c>
      <c r="EF40" s="115" t="s">
        <v>782</v>
      </c>
      <c r="EG40" s="115" t="s">
        <v>782</v>
      </c>
      <c r="EH40" s="115" t="s">
        <v>782</v>
      </c>
    </row>
    <row r="41" spans="1:138" ht="38.25" customHeight="1" x14ac:dyDescent="0.25">
      <c r="A41" s="113" t="s">
        <v>290</v>
      </c>
      <c r="B41" s="113"/>
      <c r="C41" s="113"/>
      <c r="D41" s="113"/>
      <c r="E41" s="113"/>
      <c r="F41" s="113"/>
      <c r="G41" s="114"/>
      <c r="H41" s="113"/>
      <c r="I41" s="113"/>
      <c r="J41" s="114"/>
      <c r="K41" s="113"/>
      <c r="L41" s="131"/>
      <c r="M41" s="130"/>
      <c r="N41" s="131"/>
      <c r="O41" s="113"/>
      <c r="P41" s="130"/>
      <c r="Q41" s="131"/>
      <c r="R41" s="113"/>
      <c r="S41" s="130"/>
      <c r="T41" s="131"/>
      <c r="U41" s="113"/>
      <c r="V41" s="130"/>
      <c r="W41" s="131"/>
      <c r="X41" s="113"/>
      <c r="Y41" s="130"/>
      <c r="Z41" s="131"/>
      <c r="AA41" s="113"/>
      <c r="AB41" s="130"/>
      <c r="AC41" s="131"/>
      <c r="AD41" s="113"/>
      <c r="AE41" s="114"/>
      <c r="AF41" s="113"/>
      <c r="AG41" s="131"/>
      <c r="AH41" s="130"/>
      <c r="AI41" s="131"/>
      <c r="AJ41" s="113"/>
      <c r="AK41" s="130"/>
      <c r="AL41" s="131"/>
      <c r="AM41" s="113"/>
      <c r="AN41" s="150" t="s">
        <v>782</v>
      </c>
      <c r="AO41" s="150" t="s">
        <v>782</v>
      </c>
      <c r="AP41" s="115" t="s">
        <v>782</v>
      </c>
      <c r="AQ41" s="130"/>
      <c r="AR41" s="131"/>
      <c r="AS41" s="113"/>
      <c r="AT41" s="130"/>
      <c r="AU41" s="131"/>
      <c r="AV41" s="113"/>
      <c r="AW41" s="150" t="s">
        <v>782</v>
      </c>
      <c r="AX41" s="150" t="s">
        <v>782</v>
      </c>
      <c r="AY41" s="115" t="s">
        <v>782</v>
      </c>
      <c r="AZ41" s="115" t="s">
        <v>782</v>
      </c>
      <c r="BA41" s="115" t="s">
        <v>782</v>
      </c>
      <c r="BB41" s="115" t="s">
        <v>782</v>
      </c>
      <c r="BC41" s="115" t="s">
        <v>782</v>
      </c>
      <c r="BD41" s="115" t="s">
        <v>782</v>
      </c>
      <c r="BE41" s="115" t="s">
        <v>782</v>
      </c>
      <c r="BF41" s="115" t="s">
        <v>782</v>
      </c>
      <c r="BG41" s="115" t="s">
        <v>782</v>
      </c>
      <c r="BH41" s="115" t="s">
        <v>782</v>
      </c>
      <c r="BI41" s="115" t="s">
        <v>782</v>
      </c>
      <c r="BJ41" s="115" t="s">
        <v>782</v>
      </c>
      <c r="BK41" s="115" t="s">
        <v>782</v>
      </c>
      <c r="BL41" s="115" t="s">
        <v>782</v>
      </c>
      <c r="BM41" s="115" t="s">
        <v>782</v>
      </c>
      <c r="BN41" s="115" t="s">
        <v>782</v>
      </c>
      <c r="BO41" s="115" t="s">
        <v>782</v>
      </c>
      <c r="BP41" s="115" t="s">
        <v>782</v>
      </c>
      <c r="BQ41" s="115" t="s">
        <v>782</v>
      </c>
      <c r="BR41" s="115" t="s">
        <v>782</v>
      </c>
      <c r="BS41" s="115" t="s">
        <v>782</v>
      </c>
      <c r="BT41" s="115" t="s">
        <v>782</v>
      </c>
      <c r="BU41" s="115" t="s">
        <v>782</v>
      </c>
      <c r="BV41" s="115" t="s">
        <v>782</v>
      </c>
      <c r="BW41" s="115" t="s">
        <v>782</v>
      </c>
      <c r="BX41" s="115" t="s">
        <v>782</v>
      </c>
      <c r="BY41" s="115" t="s">
        <v>782</v>
      </c>
      <c r="BZ41" s="115" t="s">
        <v>782</v>
      </c>
      <c r="CA41" s="115" t="s">
        <v>782</v>
      </c>
      <c r="CB41" s="115" t="s">
        <v>782</v>
      </c>
      <c r="CC41" s="115" t="s">
        <v>782</v>
      </c>
      <c r="CD41" s="115" t="s">
        <v>782</v>
      </c>
      <c r="CE41" s="115" t="s">
        <v>782</v>
      </c>
      <c r="CF41" s="115" t="s">
        <v>782</v>
      </c>
      <c r="CG41" s="115" t="s">
        <v>782</v>
      </c>
      <c r="CH41" s="115" t="s">
        <v>782</v>
      </c>
      <c r="CI41" s="115" t="s">
        <v>782</v>
      </c>
      <c r="CJ41" s="115" t="s">
        <v>782</v>
      </c>
      <c r="CK41" s="115" t="s">
        <v>782</v>
      </c>
      <c r="CL41" s="115" t="s">
        <v>782</v>
      </c>
      <c r="CM41" s="115" t="s">
        <v>782</v>
      </c>
      <c r="CN41" s="115" t="s">
        <v>782</v>
      </c>
      <c r="CO41" s="115" t="s">
        <v>782</v>
      </c>
      <c r="CP41" s="115" t="s">
        <v>782</v>
      </c>
      <c r="CQ41" s="115" t="s">
        <v>782</v>
      </c>
      <c r="CR41" s="115" t="s">
        <v>782</v>
      </c>
      <c r="CS41" s="115" t="s">
        <v>782</v>
      </c>
      <c r="CT41" s="115" t="s">
        <v>782</v>
      </c>
      <c r="CU41" s="115" t="s">
        <v>782</v>
      </c>
      <c r="CV41" s="115" t="s">
        <v>782</v>
      </c>
      <c r="CW41" s="115" t="s">
        <v>782</v>
      </c>
      <c r="CX41" s="115" t="s">
        <v>782</v>
      </c>
      <c r="CY41" s="115" t="s">
        <v>782</v>
      </c>
      <c r="CZ41" s="115" t="s">
        <v>782</v>
      </c>
      <c r="DA41" s="115" t="s">
        <v>782</v>
      </c>
      <c r="DB41" s="115" t="s">
        <v>782</v>
      </c>
      <c r="DC41" s="115" t="s">
        <v>782</v>
      </c>
      <c r="DD41" s="115" t="s">
        <v>782</v>
      </c>
      <c r="DE41" s="115" t="s">
        <v>782</v>
      </c>
      <c r="DF41" s="115" t="s">
        <v>782</v>
      </c>
      <c r="DG41" s="115" t="s">
        <v>782</v>
      </c>
      <c r="DH41" s="115" t="s">
        <v>782</v>
      </c>
      <c r="DI41" s="115" t="s">
        <v>782</v>
      </c>
      <c r="DJ41" s="115" t="s">
        <v>782</v>
      </c>
      <c r="DK41" s="115" t="s">
        <v>782</v>
      </c>
      <c r="DL41" s="115" t="s">
        <v>782</v>
      </c>
      <c r="DM41" s="115" t="s">
        <v>782</v>
      </c>
      <c r="DN41" s="115" t="s">
        <v>782</v>
      </c>
      <c r="DO41" s="115" t="s">
        <v>782</v>
      </c>
      <c r="DP41" s="115" t="s">
        <v>782</v>
      </c>
      <c r="DQ41" s="115" t="s">
        <v>782</v>
      </c>
      <c r="DR41" s="115" t="s">
        <v>782</v>
      </c>
      <c r="DS41" s="115" t="s">
        <v>782</v>
      </c>
      <c r="DT41" s="115" t="s">
        <v>782</v>
      </c>
      <c r="DU41" s="115" t="s">
        <v>782</v>
      </c>
      <c r="DV41" s="115" t="s">
        <v>782</v>
      </c>
      <c r="DW41" s="115" t="s">
        <v>782</v>
      </c>
      <c r="DX41" s="115" t="s">
        <v>782</v>
      </c>
      <c r="DY41" s="115" t="s">
        <v>782</v>
      </c>
      <c r="DZ41" s="115" t="s">
        <v>782</v>
      </c>
      <c r="EA41" s="115" t="s">
        <v>782</v>
      </c>
      <c r="EB41" s="115" t="s">
        <v>782</v>
      </c>
      <c r="EC41" s="115" t="s">
        <v>782</v>
      </c>
      <c r="ED41" s="116"/>
      <c r="EE41" s="116"/>
      <c r="EF41" s="116"/>
      <c r="EG41" s="116"/>
      <c r="EH41" s="116"/>
    </row>
  </sheetData>
  <autoFilter ref="A7:AZ41" xr:uid="{00000000-0009-0000-0000-000000000000}"/>
  <mergeCells count="132">
    <mergeCell ref="V15:V16"/>
    <mergeCell ref="W15:W16"/>
    <mergeCell ref="X15:X16"/>
    <mergeCell ref="Y15:Y16"/>
    <mergeCell ref="Z15:Z16"/>
    <mergeCell ref="AA15:AA16"/>
    <mergeCell ref="AB15:AB16"/>
    <mergeCell ref="AC15:AC16"/>
    <mergeCell ref="V18:V19"/>
    <mergeCell ref="W18:W19"/>
    <mergeCell ref="D18:D21"/>
    <mergeCell ref="A23:A24"/>
    <mergeCell ref="B23:B24"/>
    <mergeCell ref="C23:C24"/>
    <mergeCell ref="D23:D24"/>
    <mergeCell ref="L18:L19"/>
    <mergeCell ref="R18:R19"/>
    <mergeCell ref="S18:S19"/>
    <mergeCell ref="T18:T19"/>
    <mergeCell ref="AE28:AG28"/>
    <mergeCell ref="AE30:AG30"/>
    <mergeCell ref="A34:A35"/>
    <mergeCell ref="B34:B35"/>
    <mergeCell ref="C34:C35"/>
    <mergeCell ref="D34:D35"/>
    <mergeCell ref="E34:E35"/>
    <mergeCell ref="F34:F35"/>
    <mergeCell ref="G34:G35"/>
    <mergeCell ref="AE34:AG34"/>
    <mergeCell ref="AE35:AG35"/>
    <mergeCell ref="AE32:AG32"/>
    <mergeCell ref="H8:H35"/>
    <mergeCell ref="E18:E21"/>
    <mergeCell ref="J18:J19"/>
    <mergeCell ref="E8:E10"/>
    <mergeCell ref="F8:F10"/>
    <mergeCell ref="G8:G10"/>
    <mergeCell ref="K18:K19"/>
    <mergeCell ref="E23:E24"/>
    <mergeCell ref="F23:F24"/>
    <mergeCell ref="G23:G24"/>
    <mergeCell ref="A26:A30"/>
    <mergeCell ref="A18:A21"/>
    <mergeCell ref="B26:B30"/>
    <mergeCell ref="C26:C30"/>
    <mergeCell ref="D26:D30"/>
    <mergeCell ref="E26:E30"/>
    <mergeCell ref="F26:F30"/>
    <mergeCell ref="G26:G30"/>
    <mergeCell ref="U15:U16"/>
    <mergeCell ref="J20:J21"/>
    <mergeCell ref="K20:K21"/>
    <mergeCell ref="L20:L21"/>
    <mergeCell ref="M20:M21"/>
    <mergeCell ref="N20:N21"/>
    <mergeCell ref="O20:O21"/>
    <mergeCell ref="P20:P21"/>
    <mergeCell ref="Q20:Q21"/>
    <mergeCell ref="R20:R21"/>
    <mergeCell ref="S20:S21"/>
    <mergeCell ref="T20:T21"/>
    <mergeCell ref="U20:U21"/>
    <mergeCell ref="M18:M19"/>
    <mergeCell ref="N18:N19"/>
    <mergeCell ref="O18:O19"/>
    <mergeCell ref="B18:B21"/>
    <mergeCell ref="C18:C21"/>
    <mergeCell ref="AE8:AG8"/>
    <mergeCell ref="AE9:AG9"/>
    <mergeCell ref="AE10:AG10"/>
    <mergeCell ref="A12:A16"/>
    <mergeCell ref="B12:B16"/>
    <mergeCell ref="C12:C16"/>
    <mergeCell ref="D12:D16"/>
    <mergeCell ref="E12:E16"/>
    <mergeCell ref="F13:F16"/>
    <mergeCell ref="G13:G16"/>
    <mergeCell ref="J15:J16"/>
    <mergeCell ref="K15:K16"/>
    <mergeCell ref="L15:L16"/>
    <mergeCell ref="M15:M16"/>
    <mergeCell ref="N15:N16"/>
    <mergeCell ref="AE14:AG14"/>
    <mergeCell ref="B8:B10"/>
    <mergeCell ref="R15:R16"/>
    <mergeCell ref="S15:S16"/>
    <mergeCell ref="T15:T16"/>
    <mergeCell ref="A8:A10"/>
    <mergeCell ref="D8:D10"/>
    <mergeCell ref="C8:C10"/>
    <mergeCell ref="AD15:AD16"/>
    <mergeCell ref="AE24:AG24"/>
    <mergeCell ref="AE27:AG27"/>
    <mergeCell ref="O15:O16"/>
    <mergeCell ref="P15:P16"/>
    <mergeCell ref="Q15:Q16"/>
    <mergeCell ref="P18:P19"/>
    <mergeCell ref="Q18:Q19"/>
    <mergeCell ref="X18:X19"/>
    <mergeCell ref="Y18:Y19"/>
    <mergeCell ref="Z18:Z19"/>
    <mergeCell ref="AA18:AA19"/>
    <mergeCell ref="AB18:AB19"/>
    <mergeCell ref="AC18:AC19"/>
    <mergeCell ref="AA20:AA21"/>
    <mergeCell ref="AB20:AB21"/>
    <mergeCell ref="AC20:AC21"/>
    <mergeCell ref="V20:V21"/>
    <mergeCell ref="W20:W21"/>
    <mergeCell ref="X20:X21"/>
    <mergeCell ref="Y20:Y21"/>
    <mergeCell ref="Z20:Z21"/>
    <mergeCell ref="AD20:AD21"/>
    <mergeCell ref="U18:U19"/>
    <mergeCell ref="AD18:AD19"/>
    <mergeCell ref="AZ6:BA6"/>
    <mergeCell ref="D6:E6"/>
    <mergeCell ref="F6:I6"/>
    <mergeCell ref="J6:L6"/>
    <mergeCell ref="M6:O6"/>
    <mergeCell ref="P6:R6"/>
    <mergeCell ref="S6:U6"/>
    <mergeCell ref="AE6:AG6"/>
    <mergeCell ref="AH6:AJ6"/>
    <mergeCell ref="AK6:AM6"/>
    <mergeCell ref="AN6:AP6"/>
    <mergeCell ref="AQ6:AS6"/>
    <mergeCell ref="AT6:AV6"/>
    <mergeCell ref="AW6:AY6"/>
    <mergeCell ref="V6:X6"/>
    <mergeCell ref="Y6:AA6"/>
    <mergeCell ref="AB6:AD6"/>
  </mergeCells>
  <pageMargins left="0.75" right="0.75" top="1" bottom="1" header="0.5" footer="0.5"/>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01D04-E784-48A9-97EF-5C15CE2CF0DB}">
  <sheetPr>
    <tabColor theme="4" tint="-0.499984740745262"/>
  </sheetPr>
  <dimension ref="A1:EH31"/>
  <sheetViews>
    <sheetView showGridLines="0" topLeftCell="B1"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17.7109375" style="6" bestFit="1"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2" width="15.28515625" style="4" customWidth="1"/>
    <col min="23" max="23" width="23.42578125" style="84" customWidth="1"/>
    <col min="24" max="24" width="17.7109375" style="6" bestFit="1" customWidth="1"/>
    <col min="25" max="25" width="15.28515625" style="4" customWidth="1"/>
    <col min="26" max="26" width="23.42578125" style="84" customWidth="1"/>
    <col min="27" max="27" width="17.7109375" style="6" bestFit="1" customWidth="1"/>
    <col min="28" max="28" width="15.28515625" style="4" customWidth="1"/>
    <col min="29" max="29" width="23.42578125" style="84" customWidth="1"/>
    <col min="30" max="30" width="17.7109375" style="6" bestFit="1" customWidth="1"/>
    <col min="31" max="32" width="45.7109375" style="3" bestFit="1" customWidth="1"/>
    <col min="33" max="33" width="15.28515625" style="8" bestFit="1" customWidth="1"/>
    <col min="34" max="34" width="15.28515625" style="4" customWidth="1"/>
    <col min="35" max="35" width="23.42578125" style="84" customWidth="1"/>
    <col min="36" max="36" width="17.7109375" style="6" bestFit="1" customWidth="1"/>
    <col min="37" max="37" width="15.28515625" style="4" customWidth="1"/>
    <col min="38" max="38" width="23.42578125" style="84" customWidth="1"/>
    <col min="39" max="39" width="17.7109375" style="6" bestFit="1" customWidth="1"/>
    <col min="40" max="40" width="15.28515625" style="4" customWidth="1"/>
    <col min="41" max="41" width="23.42578125" style="84" customWidth="1"/>
    <col min="42" max="42" width="17.7109375" style="6" bestFit="1" customWidth="1"/>
    <col min="43" max="43" width="15.28515625" style="4" customWidth="1"/>
    <col min="44" max="44" width="23.42578125" style="84" customWidth="1"/>
    <col min="45" max="45" width="17.7109375" style="6" bestFit="1" customWidth="1"/>
    <col min="46" max="46" width="15.28515625" style="4" customWidth="1"/>
    <col min="47" max="47" width="23.42578125" style="84" customWidth="1"/>
    <col min="48" max="48" width="17.7109375" style="6" bestFit="1" customWidth="1"/>
    <col min="49" max="49" width="15.28515625" style="4" customWidth="1"/>
    <col min="50" max="50" width="23.42578125" style="84" customWidth="1"/>
    <col min="51" max="51" width="17.7109375" style="6" bestFit="1" customWidth="1"/>
    <col min="52" max="52" width="30.140625" style="12" bestFit="1" customWidth="1"/>
    <col min="53" max="53" width="45.7109375" style="12" bestFit="1" customWidth="1"/>
    <col min="54" max="138" width="11.42578125" style="9"/>
  </cols>
  <sheetData>
    <row r="1" spans="1:138" x14ac:dyDescent="0.25">
      <c r="H1"/>
      <c r="I1"/>
      <c r="AG1" s="158"/>
    </row>
    <row r="2" spans="1:138" x14ac:dyDescent="0.25">
      <c r="H2"/>
      <c r="I2"/>
      <c r="AG2" s="158"/>
    </row>
    <row r="3" spans="1:138" x14ac:dyDescent="0.25">
      <c r="H3"/>
      <c r="I3"/>
      <c r="AG3" s="158"/>
    </row>
    <row r="4" spans="1:138" x14ac:dyDescent="0.25">
      <c r="H4"/>
      <c r="I4"/>
      <c r="AG4" s="158"/>
    </row>
    <row r="5" spans="1:138" x14ac:dyDescent="0.25">
      <c r="H5"/>
      <c r="I5"/>
      <c r="N5" s="85"/>
      <c r="Q5" s="85"/>
      <c r="T5" s="85"/>
      <c r="W5" s="85"/>
      <c r="Z5" s="85"/>
      <c r="AC5" s="85"/>
      <c r="AG5" s="158"/>
      <c r="AI5" s="85"/>
      <c r="AL5" s="85"/>
      <c r="AO5" s="85"/>
      <c r="AR5" s="85"/>
      <c r="AU5" s="85"/>
      <c r="AX5" s="85"/>
    </row>
    <row r="6" spans="1:138" s="11" customFormat="1" ht="30" x14ac:dyDescent="0.2">
      <c r="A6" s="210" t="s">
        <v>61</v>
      </c>
      <c r="B6" s="210" t="s">
        <v>62</v>
      </c>
      <c r="C6" s="305"/>
      <c r="D6" s="335" t="s">
        <v>63</v>
      </c>
      <c r="E6" s="336"/>
      <c r="F6" s="335" t="s">
        <v>64</v>
      </c>
      <c r="G6" s="337"/>
      <c r="H6" s="337"/>
      <c r="I6" s="336"/>
      <c r="J6" s="338" t="s">
        <v>65</v>
      </c>
      <c r="K6" s="338"/>
      <c r="L6" s="338"/>
      <c r="M6" s="339" t="s">
        <v>2</v>
      </c>
      <c r="N6" s="340"/>
      <c r="O6" s="341"/>
      <c r="P6" s="339" t="s">
        <v>3</v>
      </c>
      <c r="Q6" s="340"/>
      <c r="R6" s="341"/>
      <c r="S6" s="339" t="s">
        <v>4</v>
      </c>
      <c r="T6" s="340"/>
      <c r="U6" s="341"/>
      <c r="V6" s="339" t="s">
        <v>1081</v>
      </c>
      <c r="W6" s="340"/>
      <c r="X6" s="341"/>
      <c r="Y6" s="339" t="s">
        <v>1082</v>
      </c>
      <c r="Z6" s="340"/>
      <c r="AA6" s="341"/>
      <c r="AB6" s="339" t="s">
        <v>1083</v>
      </c>
      <c r="AC6" s="340"/>
      <c r="AD6" s="341"/>
      <c r="AE6" s="373" t="s">
        <v>66</v>
      </c>
      <c r="AF6" s="373"/>
      <c r="AG6" s="373"/>
      <c r="AH6" s="367" t="s">
        <v>2</v>
      </c>
      <c r="AI6" s="368"/>
      <c r="AJ6" s="369"/>
      <c r="AK6" s="367" t="s">
        <v>3</v>
      </c>
      <c r="AL6" s="368"/>
      <c r="AM6" s="369"/>
      <c r="AN6" s="367" t="s">
        <v>4</v>
      </c>
      <c r="AO6" s="368"/>
      <c r="AP6" s="369"/>
      <c r="AQ6" s="367" t="s">
        <v>1081</v>
      </c>
      <c r="AR6" s="368"/>
      <c r="AS6" s="369"/>
      <c r="AT6" s="367" t="s">
        <v>1082</v>
      </c>
      <c r="AU6" s="368"/>
      <c r="AV6" s="369"/>
      <c r="AW6" s="367" t="s">
        <v>1083</v>
      </c>
      <c r="AX6" s="368"/>
      <c r="AY6" s="369"/>
      <c r="AZ6" s="338" t="s">
        <v>67</v>
      </c>
      <c r="BA6" s="338"/>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row>
    <row r="7" spans="1:138" s="11" customFormat="1" ht="49.5" customHeight="1" x14ac:dyDescent="0.2">
      <c r="A7" s="210" t="s">
        <v>68</v>
      </c>
      <c r="B7" s="210" t="s">
        <v>69</v>
      </c>
      <c r="C7" s="210" t="s">
        <v>70</v>
      </c>
      <c r="D7" s="210" t="s">
        <v>71</v>
      </c>
      <c r="E7" s="210" t="s">
        <v>72</v>
      </c>
      <c r="F7" s="210" t="s">
        <v>73</v>
      </c>
      <c r="G7" s="210" t="s">
        <v>74</v>
      </c>
      <c r="H7" s="20" t="s">
        <v>75</v>
      </c>
      <c r="I7" s="20" t="s">
        <v>76</v>
      </c>
      <c r="J7" s="210" t="s">
        <v>65</v>
      </c>
      <c r="K7" s="210" t="s">
        <v>77</v>
      </c>
      <c r="L7" s="210" t="s">
        <v>78</v>
      </c>
      <c r="M7" s="210" t="s">
        <v>79</v>
      </c>
      <c r="N7" s="86" t="s">
        <v>80</v>
      </c>
      <c r="O7" s="210" t="s">
        <v>81</v>
      </c>
      <c r="P7" s="210" t="s">
        <v>79</v>
      </c>
      <c r="Q7" s="86" t="s">
        <v>80</v>
      </c>
      <c r="R7" s="210" t="s">
        <v>81</v>
      </c>
      <c r="S7" s="210" t="s">
        <v>79</v>
      </c>
      <c r="T7" s="86" t="s">
        <v>80</v>
      </c>
      <c r="U7" s="210" t="s">
        <v>81</v>
      </c>
      <c r="V7" s="210" t="s">
        <v>79</v>
      </c>
      <c r="W7" s="86" t="s">
        <v>80</v>
      </c>
      <c r="X7" s="210" t="s">
        <v>81</v>
      </c>
      <c r="Y7" s="210" t="s">
        <v>79</v>
      </c>
      <c r="Z7" s="86" t="s">
        <v>80</v>
      </c>
      <c r="AA7" s="210" t="s">
        <v>81</v>
      </c>
      <c r="AB7" s="210" t="s">
        <v>79</v>
      </c>
      <c r="AC7" s="86" t="s">
        <v>80</v>
      </c>
      <c r="AD7" s="210" t="s">
        <v>81</v>
      </c>
      <c r="AE7" s="308" t="s">
        <v>66</v>
      </c>
      <c r="AF7" s="308" t="s">
        <v>82</v>
      </c>
      <c r="AG7" s="308" t="s">
        <v>83</v>
      </c>
      <c r="AH7" s="308" t="s">
        <v>79</v>
      </c>
      <c r="AI7" s="309" t="s">
        <v>80</v>
      </c>
      <c r="AJ7" s="308" t="s">
        <v>81</v>
      </c>
      <c r="AK7" s="308" t="s">
        <v>79</v>
      </c>
      <c r="AL7" s="309" t="s">
        <v>80</v>
      </c>
      <c r="AM7" s="308" t="s">
        <v>81</v>
      </c>
      <c r="AN7" s="308" t="s">
        <v>79</v>
      </c>
      <c r="AO7" s="309" t="s">
        <v>80</v>
      </c>
      <c r="AP7" s="308" t="s">
        <v>81</v>
      </c>
      <c r="AQ7" s="308" t="s">
        <v>79</v>
      </c>
      <c r="AR7" s="309" t="s">
        <v>80</v>
      </c>
      <c r="AS7" s="308" t="s">
        <v>81</v>
      </c>
      <c r="AT7" s="308" t="s">
        <v>79</v>
      </c>
      <c r="AU7" s="309" t="s">
        <v>80</v>
      </c>
      <c r="AV7" s="308" t="s">
        <v>81</v>
      </c>
      <c r="AW7" s="308" t="s">
        <v>79</v>
      </c>
      <c r="AX7" s="309" t="s">
        <v>80</v>
      </c>
      <c r="AY7" s="308" t="s">
        <v>81</v>
      </c>
      <c r="AZ7" s="210" t="s">
        <v>84</v>
      </c>
      <c r="BA7" s="210" t="s">
        <v>85</v>
      </c>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row>
    <row r="8" spans="1:138" s="5" customFormat="1" ht="45" customHeight="1" x14ac:dyDescent="0.2">
      <c r="A8" s="347" t="s">
        <v>86</v>
      </c>
      <c r="B8" s="347" t="s">
        <v>87</v>
      </c>
      <c r="C8" s="347" t="s">
        <v>1632</v>
      </c>
      <c r="D8" s="347" t="s">
        <v>981</v>
      </c>
      <c r="E8" s="408" t="s">
        <v>982</v>
      </c>
      <c r="F8" s="347" t="s">
        <v>90</v>
      </c>
      <c r="G8" s="347" t="s">
        <v>91</v>
      </c>
      <c r="H8" s="345">
        <v>6132966875</v>
      </c>
      <c r="I8" s="22">
        <v>1099023764</v>
      </c>
      <c r="J8" s="211" t="s">
        <v>983</v>
      </c>
      <c r="K8" s="211" t="s">
        <v>984</v>
      </c>
      <c r="L8" s="24">
        <v>4</v>
      </c>
      <c r="M8" s="218"/>
      <c r="N8" s="80"/>
      <c r="O8" s="218"/>
      <c r="P8" s="218"/>
      <c r="Q8" s="80"/>
      <c r="R8" s="218"/>
      <c r="S8" s="218"/>
      <c r="T8" s="80"/>
      <c r="U8" s="218"/>
      <c r="V8" s="218"/>
      <c r="W8" s="80"/>
      <c r="X8" s="218"/>
      <c r="Y8" s="218"/>
      <c r="Z8" s="80"/>
      <c r="AA8" s="218"/>
      <c r="AB8" s="103">
        <v>2.2749999999999999</v>
      </c>
      <c r="AC8" s="80">
        <v>0.56899999999999995</v>
      </c>
      <c r="AD8" s="218" t="s">
        <v>1398</v>
      </c>
      <c r="AE8" s="23" t="s">
        <v>985</v>
      </c>
      <c r="AF8" s="23" t="s">
        <v>986</v>
      </c>
      <c r="AG8" s="215">
        <v>1</v>
      </c>
      <c r="AH8" s="218"/>
      <c r="AI8" s="80"/>
      <c r="AJ8" s="218"/>
      <c r="AK8" s="218"/>
      <c r="AL8" s="80"/>
      <c r="AM8" s="218"/>
      <c r="AN8" s="218">
        <v>0.23</v>
      </c>
      <c r="AO8" s="80">
        <v>0.23</v>
      </c>
      <c r="AP8" s="218" t="s">
        <v>987</v>
      </c>
      <c r="AQ8" s="218"/>
      <c r="AR8" s="80"/>
      <c r="AS8" s="218"/>
      <c r="AT8" s="218"/>
      <c r="AU8" s="80"/>
      <c r="AV8" s="218"/>
      <c r="AW8" s="218">
        <v>0.55000000000000004</v>
      </c>
      <c r="AX8" s="80">
        <v>0.55000000000000004</v>
      </c>
      <c r="AY8" s="218" t="s">
        <v>1399</v>
      </c>
      <c r="AZ8" s="13" t="s">
        <v>162</v>
      </c>
      <c r="BA8" s="13" t="s">
        <v>988</v>
      </c>
    </row>
    <row r="9" spans="1:138" s="5" customFormat="1" ht="24" customHeight="1" x14ac:dyDescent="0.2">
      <c r="A9" s="366" t="s">
        <v>86</v>
      </c>
      <c r="B9" s="366"/>
      <c r="C9" s="366" t="s">
        <v>980</v>
      </c>
      <c r="D9" s="366" t="s">
        <v>981</v>
      </c>
      <c r="E9" s="409"/>
      <c r="F9" s="366" t="s">
        <v>90</v>
      </c>
      <c r="G9" s="366" t="s">
        <v>91</v>
      </c>
      <c r="H9" s="372"/>
      <c r="I9" s="345">
        <v>632800117</v>
      </c>
      <c r="J9" s="347" t="s">
        <v>989</v>
      </c>
      <c r="K9" s="347" t="s">
        <v>990</v>
      </c>
      <c r="L9" s="349">
        <v>1</v>
      </c>
      <c r="M9" s="342"/>
      <c r="N9" s="342"/>
      <c r="O9" s="342"/>
      <c r="P9" s="342"/>
      <c r="Q9" s="342"/>
      <c r="R9" s="342"/>
      <c r="S9" s="342"/>
      <c r="T9" s="342"/>
      <c r="U9" s="342"/>
      <c r="V9" s="342"/>
      <c r="W9" s="342"/>
      <c r="X9" s="342"/>
      <c r="Y9" s="342"/>
      <c r="Z9" s="342"/>
      <c r="AA9" s="342"/>
      <c r="AB9" s="342">
        <v>0.53</v>
      </c>
      <c r="AC9" s="342">
        <v>0.53</v>
      </c>
      <c r="AD9" s="342" t="s">
        <v>1400</v>
      </c>
      <c r="AE9" s="23" t="s">
        <v>991</v>
      </c>
      <c r="AF9" s="23" t="s">
        <v>992</v>
      </c>
      <c r="AG9" s="213">
        <v>8</v>
      </c>
      <c r="AH9" s="218"/>
      <c r="AI9" s="80"/>
      <c r="AJ9" s="218"/>
      <c r="AK9" s="218"/>
      <c r="AL9" s="80"/>
      <c r="AM9" s="218"/>
      <c r="AN9" s="218"/>
      <c r="AO9" s="80"/>
      <c r="AP9" s="218"/>
      <c r="AQ9" s="218"/>
      <c r="AR9" s="80"/>
      <c r="AS9" s="218"/>
      <c r="AT9" s="218"/>
      <c r="AU9" s="80"/>
      <c r="AV9" s="218"/>
      <c r="AW9" s="103">
        <v>1.8</v>
      </c>
      <c r="AX9" s="80">
        <v>0.23</v>
      </c>
      <c r="AY9" s="218" t="s">
        <v>1401</v>
      </c>
      <c r="AZ9" s="13" t="s">
        <v>162</v>
      </c>
      <c r="BA9" s="13" t="s">
        <v>988</v>
      </c>
    </row>
    <row r="10" spans="1:138" s="5" customFormat="1" ht="24" customHeight="1" x14ac:dyDescent="0.2">
      <c r="A10" s="366"/>
      <c r="B10" s="366"/>
      <c r="C10" s="366" t="s">
        <v>980</v>
      </c>
      <c r="D10" s="366" t="s">
        <v>981</v>
      </c>
      <c r="E10" s="409"/>
      <c r="F10" s="366"/>
      <c r="G10" s="366"/>
      <c r="H10" s="372"/>
      <c r="I10" s="372"/>
      <c r="J10" s="366"/>
      <c r="K10" s="366"/>
      <c r="L10" s="370"/>
      <c r="M10" s="374"/>
      <c r="N10" s="374"/>
      <c r="O10" s="374"/>
      <c r="P10" s="374"/>
      <c r="Q10" s="374"/>
      <c r="R10" s="374"/>
      <c r="S10" s="374"/>
      <c r="T10" s="374"/>
      <c r="U10" s="374"/>
      <c r="V10" s="374"/>
      <c r="W10" s="374"/>
      <c r="X10" s="374"/>
      <c r="Y10" s="374"/>
      <c r="Z10" s="374"/>
      <c r="AA10" s="374"/>
      <c r="AB10" s="374"/>
      <c r="AC10" s="374"/>
      <c r="AD10" s="374"/>
      <c r="AE10" s="23" t="s">
        <v>993</v>
      </c>
      <c r="AF10" s="23" t="s">
        <v>994</v>
      </c>
      <c r="AG10" s="218">
        <v>1</v>
      </c>
      <c r="AH10" s="218"/>
      <c r="AI10" s="80"/>
      <c r="AJ10" s="218"/>
      <c r="AK10" s="218"/>
      <c r="AL10" s="80"/>
      <c r="AM10" s="218"/>
      <c r="AN10" s="218"/>
      <c r="AO10" s="80"/>
      <c r="AP10" s="218"/>
      <c r="AQ10" s="218"/>
      <c r="AR10" s="80"/>
      <c r="AS10" s="218"/>
      <c r="AT10" s="218"/>
      <c r="AU10" s="80"/>
      <c r="AV10" s="218"/>
      <c r="AW10" s="218">
        <v>0.65</v>
      </c>
      <c r="AX10" s="80">
        <v>0.65</v>
      </c>
      <c r="AY10" s="218" t="s">
        <v>1402</v>
      </c>
      <c r="AZ10" s="13" t="s">
        <v>162</v>
      </c>
      <c r="BA10" s="13" t="s">
        <v>988</v>
      </c>
    </row>
    <row r="11" spans="1:138" s="5" customFormat="1" ht="33.75" customHeight="1" x14ac:dyDescent="0.2">
      <c r="A11" s="366" t="s">
        <v>86</v>
      </c>
      <c r="B11" s="366"/>
      <c r="C11" s="366" t="s">
        <v>980</v>
      </c>
      <c r="D11" s="366" t="s">
        <v>981</v>
      </c>
      <c r="E11" s="409"/>
      <c r="F11" s="366" t="s">
        <v>90</v>
      </c>
      <c r="G11" s="366" t="s">
        <v>91</v>
      </c>
      <c r="H11" s="372"/>
      <c r="I11" s="372"/>
      <c r="J11" s="366"/>
      <c r="K11" s="366"/>
      <c r="L11" s="370"/>
      <c r="M11" s="374"/>
      <c r="N11" s="374"/>
      <c r="O11" s="374"/>
      <c r="P11" s="374"/>
      <c r="Q11" s="374"/>
      <c r="R11" s="374"/>
      <c r="S11" s="374"/>
      <c r="T11" s="374"/>
      <c r="U11" s="374"/>
      <c r="V11" s="374"/>
      <c r="W11" s="374"/>
      <c r="X11" s="374"/>
      <c r="Y11" s="374"/>
      <c r="Z11" s="374"/>
      <c r="AA11" s="374"/>
      <c r="AB11" s="374"/>
      <c r="AC11" s="374"/>
      <c r="AD11" s="374"/>
      <c r="AE11" s="23" t="s">
        <v>995</v>
      </c>
      <c r="AF11" s="23" t="s">
        <v>996</v>
      </c>
      <c r="AG11" s="218">
        <v>1</v>
      </c>
      <c r="AH11" s="218">
        <v>0.04</v>
      </c>
      <c r="AI11" s="80">
        <v>0.04</v>
      </c>
      <c r="AJ11" s="218" t="s">
        <v>997</v>
      </c>
      <c r="AK11" s="218">
        <v>0.21</v>
      </c>
      <c r="AL11" s="80">
        <v>0.21</v>
      </c>
      <c r="AM11" s="218" t="s">
        <v>998</v>
      </c>
      <c r="AN11" s="218">
        <v>0.39</v>
      </c>
      <c r="AO11" s="80">
        <v>0.39</v>
      </c>
      <c r="AP11" s="218" t="s">
        <v>999</v>
      </c>
      <c r="AQ11" s="218">
        <v>0.36</v>
      </c>
      <c r="AR11" s="80">
        <v>0.36</v>
      </c>
      <c r="AS11" s="218" t="s">
        <v>1403</v>
      </c>
      <c r="AT11" s="218">
        <v>0.49</v>
      </c>
      <c r="AU11" s="80">
        <v>0.49</v>
      </c>
      <c r="AV11" s="218" t="s">
        <v>1404</v>
      </c>
      <c r="AW11" s="218">
        <v>0.59</v>
      </c>
      <c r="AX11" s="80">
        <v>0.59</v>
      </c>
      <c r="AY11" s="218" t="s">
        <v>1405</v>
      </c>
      <c r="AZ11" s="13" t="s">
        <v>162</v>
      </c>
      <c r="BA11" s="13" t="s">
        <v>988</v>
      </c>
    </row>
    <row r="12" spans="1:138" s="5" customFormat="1" ht="33.75" customHeight="1" x14ac:dyDescent="0.2">
      <c r="A12" s="366"/>
      <c r="B12" s="366"/>
      <c r="C12" s="366" t="s">
        <v>980</v>
      </c>
      <c r="D12" s="366" t="s">
        <v>981</v>
      </c>
      <c r="E12" s="409"/>
      <c r="F12" s="366"/>
      <c r="G12" s="366"/>
      <c r="H12" s="372"/>
      <c r="I12" s="372"/>
      <c r="J12" s="366"/>
      <c r="K12" s="366"/>
      <c r="L12" s="370"/>
      <c r="M12" s="374"/>
      <c r="N12" s="374"/>
      <c r="O12" s="374"/>
      <c r="P12" s="374"/>
      <c r="Q12" s="374"/>
      <c r="R12" s="374"/>
      <c r="S12" s="374"/>
      <c r="T12" s="374"/>
      <c r="U12" s="374"/>
      <c r="V12" s="374"/>
      <c r="W12" s="374"/>
      <c r="X12" s="374"/>
      <c r="Y12" s="374"/>
      <c r="Z12" s="374"/>
      <c r="AA12" s="374"/>
      <c r="AB12" s="374"/>
      <c r="AC12" s="374"/>
      <c r="AD12" s="374"/>
      <c r="AE12" s="23" t="s">
        <v>1000</v>
      </c>
      <c r="AF12" s="23" t="s">
        <v>1001</v>
      </c>
      <c r="AG12" s="218">
        <v>1</v>
      </c>
      <c r="AH12" s="218"/>
      <c r="AI12" s="80"/>
      <c r="AJ12" s="218"/>
      <c r="AK12" s="218"/>
      <c r="AL12" s="80"/>
      <c r="AM12" s="218"/>
      <c r="AN12" s="218"/>
      <c r="AO12" s="80"/>
      <c r="AP12" s="218"/>
      <c r="AQ12" s="218"/>
      <c r="AR12" s="80"/>
      <c r="AS12" s="218"/>
      <c r="AT12" s="218"/>
      <c r="AU12" s="80"/>
      <c r="AV12" s="218"/>
      <c r="AW12" s="218">
        <v>0.5</v>
      </c>
      <c r="AX12" s="80">
        <v>0.5</v>
      </c>
      <c r="AY12" s="218" t="s">
        <v>1406</v>
      </c>
      <c r="AZ12" s="13" t="s">
        <v>162</v>
      </c>
      <c r="BA12" s="13" t="s">
        <v>988</v>
      </c>
    </row>
    <row r="13" spans="1:138" s="5" customFormat="1" ht="33.75" customHeight="1" x14ac:dyDescent="0.2">
      <c r="A13" s="348" t="s">
        <v>86</v>
      </c>
      <c r="B13" s="348"/>
      <c r="C13" s="348" t="s">
        <v>980</v>
      </c>
      <c r="D13" s="348" t="s">
        <v>981</v>
      </c>
      <c r="E13" s="410"/>
      <c r="F13" s="348" t="s">
        <v>90</v>
      </c>
      <c r="G13" s="348" t="s">
        <v>91</v>
      </c>
      <c r="H13" s="372"/>
      <c r="I13" s="346"/>
      <c r="J13" s="348"/>
      <c r="K13" s="348"/>
      <c r="L13" s="350"/>
      <c r="M13" s="343"/>
      <c r="N13" s="343"/>
      <c r="O13" s="343"/>
      <c r="P13" s="343"/>
      <c r="Q13" s="343"/>
      <c r="R13" s="343"/>
      <c r="S13" s="343"/>
      <c r="T13" s="343"/>
      <c r="U13" s="343"/>
      <c r="V13" s="343"/>
      <c r="W13" s="343"/>
      <c r="X13" s="343"/>
      <c r="Y13" s="343"/>
      <c r="Z13" s="343"/>
      <c r="AA13" s="343"/>
      <c r="AB13" s="343"/>
      <c r="AC13" s="343"/>
      <c r="AD13" s="343"/>
      <c r="AE13" s="23" t="s">
        <v>1002</v>
      </c>
      <c r="AF13" s="23" t="s">
        <v>1003</v>
      </c>
      <c r="AG13" s="213">
        <v>1</v>
      </c>
      <c r="AH13" s="218"/>
      <c r="AI13" s="80"/>
      <c r="AJ13" s="218"/>
      <c r="AK13" s="218"/>
      <c r="AL13" s="80"/>
      <c r="AM13" s="218"/>
      <c r="AN13" s="218">
        <v>0.25</v>
      </c>
      <c r="AO13" s="80">
        <v>0.25</v>
      </c>
      <c r="AP13" s="218" t="s">
        <v>1004</v>
      </c>
      <c r="AQ13" s="218"/>
      <c r="AR13" s="80"/>
      <c r="AS13" s="218"/>
      <c r="AT13" s="218"/>
      <c r="AU13" s="80"/>
      <c r="AV13" s="218"/>
      <c r="AW13" s="218">
        <v>0.5</v>
      </c>
      <c r="AX13" s="80">
        <v>0.5</v>
      </c>
      <c r="AY13" s="218" t="s">
        <v>1407</v>
      </c>
      <c r="AZ13" s="13" t="s">
        <v>162</v>
      </c>
      <c r="BA13" s="13" t="s">
        <v>988</v>
      </c>
    </row>
    <row r="14" spans="1:138" ht="75" x14ac:dyDescent="0.25">
      <c r="H14" s="372"/>
      <c r="M14" s="71" t="s">
        <v>164</v>
      </c>
      <c r="N14" s="87" t="s">
        <v>11</v>
      </c>
      <c r="P14" s="71" t="s">
        <v>164</v>
      </c>
      <c r="Q14" s="87" t="s">
        <v>11</v>
      </c>
      <c r="S14" s="71" t="s">
        <v>164</v>
      </c>
      <c r="T14" s="87" t="s">
        <v>11</v>
      </c>
      <c r="V14" s="71" t="s">
        <v>164</v>
      </c>
      <c r="W14" s="87" t="s">
        <v>11</v>
      </c>
      <c r="Y14" s="71" t="s">
        <v>164</v>
      </c>
      <c r="Z14" s="87" t="s">
        <v>11</v>
      </c>
      <c r="AB14" s="71" t="s">
        <v>164</v>
      </c>
      <c r="AC14" s="87" t="s">
        <v>11</v>
      </c>
      <c r="AH14" s="71" t="s">
        <v>165</v>
      </c>
      <c r="AI14" s="87">
        <f>AVERAGE(AI8:AI13)</f>
        <v>0.04</v>
      </c>
      <c r="AK14" s="71" t="s">
        <v>165</v>
      </c>
      <c r="AL14" s="87">
        <f>AVERAGE(AL8:AL13)</f>
        <v>0.21</v>
      </c>
      <c r="AN14" s="71" t="s">
        <v>165</v>
      </c>
      <c r="AO14" s="87">
        <f>AVERAGE(AO8:AO13)</f>
        <v>0.28999999999999998</v>
      </c>
      <c r="AP14" s="9"/>
      <c r="AQ14" s="71" t="s">
        <v>165</v>
      </c>
      <c r="AR14" s="87">
        <f>AVERAGE(AR8:AR13)</f>
        <v>0.36</v>
      </c>
      <c r="AT14" s="71" t="s">
        <v>165</v>
      </c>
      <c r="AU14" s="87">
        <f>AVERAGE(AU8:AU13)</f>
        <v>0.49</v>
      </c>
      <c r="AW14" s="71" t="s">
        <v>165</v>
      </c>
      <c r="AX14" s="87">
        <f>AVERAGE(AX8:AX13)</f>
        <v>0.5033333333333333</v>
      </c>
      <c r="AY14" s="9"/>
      <c r="AZ14" s="9"/>
      <c r="BA14" s="9"/>
      <c r="EE14"/>
      <c r="EF14"/>
      <c r="EG14"/>
      <c r="EH14"/>
    </row>
    <row r="15" spans="1:138" s="5" customFormat="1" ht="33.75" customHeight="1" x14ac:dyDescent="0.2">
      <c r="A15" s="351" t="s">
        <v>86</v>
      </c>
      <c r="B15" s="351" t="s">
        <v>245</v>
      </c>
      <c r="C15" s="347" t="s">
        <v>32</v>
      </c>
      <c r="D15" s="347" t="s">
        <v>981</v>
      </c>
      <c r="E15" s="408" t="s">
        <v>1005</v>
      </c>
      <c r="F15" s="351" t="s">
        <v>90</v>
      </c>
      <c r="G15" s="351" t="s">
        <v>91</v>
      </c>
      <c r="H15" s="372"/>
      <c r="I15" s="22">
        <v>1276732878</v>
      </c>
      <c r="J15" s="211" t="s">
        <v>1006</v>
      </c>
      <c r="K15" s="211" t="s">
        <v>1007</v>
      </c>
      <c r="L15" s="215">
        <v>1</v>
      </c>
      <c r="M15" s="218">
        <v>0.99</v>
      </c>
      <c r="N15" s="218">
        <v>0.99</v>
      </c>
      <c r="O15" s="218" t="s">
        <v>1008</v>
      </c>
      <c r="P15" s="218">
        <v>1</v>
      </c>
      <c r="Q15" s="218">
        <v>1</v>
      </c>
      <c r="R15" s="218" t="s">
        <v>1009</v>
      </c>
      <c r="S15" s="218">
        <v>1</v>
      </c>
      <c r="T15" s="218">
        <v>1</v>
      </c>
      <c r="U15" s="218" t="s">
        <v>1010</v>
      </c>
      <c r="V15" s="218">
        <v>1</v>
      </c>
      <c r="W15" s="218">
        <v>1</v>
      </c>
      <c r="X15" s="218" t="s">
        <v>1408</v>
      </c>
      <c r="Y15" s="218">
        <v>0.999</v>
      </c>
      <c r="Z15" s="218">
        <v>1</v>
      </c>
      <c r="AA15" s="218" t="s">
        <v>1409</v>
      </c>
      <c r="AB15" s="218">
        <v>0.999</v>
      </c>
      <c r="AC15" s="218">
        <v>1</v>
      </c>
      <c r="AD15" s="218" t="s">
        <v>1410</v>
      </c>
      <c r="AE15" s="351" t="s">
        <v>95</v>
      </c>
      <c r="AF15" s="351"/>
      <c r="AG15" s="351"/>
      <c r="AH15" s="89"/>
      <c r="AI15" s="91"/>
      <c r="AJ15" s="89"/>
      <c r="AK15" s="89"/>
      <c r="AL15" s="91"/>
      <c r="AM15" s="89"/>
      <c r="AN15" s="89"/>
      <c r="AO15" s="91"/>
      <c r="AP15" s="89"/>
      <c r="AQ15" s="89"/>
      <c r="AR15" s="91"/>
      <c r="AS15" s="89"/>
      <c r="AT15" s="89"/>
      <c r="AU15" s="91"/>
      <c r="AV15" s="89"/>
      <c r="AW15" s="89"/>
      <c r="AX15" s="91"/>
      <c r="AY15" s="89"/>
      <c r="AZ15" s="13" t="s">
        <v>162</v>
      </c>
      <c r="BA15" s="13" t="s">
        <v>988</v>
      </c>
    </row>
    <row r="16" spans="1:138" s="5" customFormat="1" ht="33.75" customHeight="1" x14ac:dyDescent="0.2">
      <c r="A16" s="351"/>
      <c r="B16" s="351"/>
      <c r="C16" s="348"/>
      <c r="D16" s="348"/>
      <c r="E16" s="410"/>
      <c r="F16" s="351"/>
      <c r="G16" s="351"/>
      <c r="H16" s="372"/>
      <c r="I16" s="22">
        <v>990223631</v>
      </c>
      <c r="J16" s="211" t="s">
        <v>1011</v>
      </c>
      <c r="K16" s="211" t="s">
        <v>1012</v>
      </c>
      <c r="L16" s="215">
        <v>1</v>
      </c>
      <c r="M16" s="218">
        <v>1</v>
      </c>
      <c r="N16" s="218">
        <v>1</v>
      </c>
      <c r="O16" s="218" t="s">
        <v>1013</v>
      </c>
      <c r="P16" s="218">
        <v>1</v>
      </c>
      <c r="Q16" s="218">
        <v>1</v>
      </c>
      <c r="R16" s="218" t="s">
        <v>1014</v>
      </c>
      <c r="S16" s="218">
        <v>1</v>
      </c>
      <c r="T16" s="218">
        <v>1</v>
      </c>
      <c r="U16" s="218" t="s">
        <v>1015</v>
      </c>
      <c r="V16" s="218">
        <v>1</v>
      </c>
      <c r="W16" s="218">
        <v>1</v>
      </c>
      <c r="X16" s="218" t="s">
        <v>1411</v>
      </c>
      <c r="Y16" s="218">
        <v>1</v>
      </c>
      <c r="Z16" s="218">
        <v>1</v>
      </c>
      <c r="AA16" s="218" t="s">
        <v>1412</v>
      </c>
      <c r="AB16" s="218">
        <v>1</v>
      </c>
      <c r="AC16" s="218">
        <v>1</v>
      </c>
      <c r="AD16" s="218" t="s">
        <v>1413</v>
      </c>
      <c r="AE16" s="351" t="s">
        <v>95</v>
      </c>
      <c r="AF16" s="351"/>
      <c r="AG16" s="351"/>
      <c r="AH16" s="89"/>
      <c r="AI16" s="91"/>
      <c r="AJ16" s="89"/>
      <c r="AK16" s="89"/>
      <c r="AL16" s="91"/>
      <c r="AM16" s="89"/>
      <c r="AN16" s="89"/>
      <c r="AO16" s="91"/>
      <c r="AP16" s="89"/>
      <c r="AQ16" s="89"/>
      <c r="AR16" s="91"/>
      <c r="AS16" s="89"/>
      <c r="AT16" s="89"/>
      <c r="AU16" s="91"/>
      <c r="AV16" s="89"/>
      <c r="AW16" s="89"/>
      <c r="AX16" s="91"/>
      <c r="AY16" s="89"/>
      <c r="AZ16" s="13" t="s">
        <v>162</v>
      </c>
      <c r="BA16" s="13" t="s">
        <v>988</v>
      </c>
    </row>
    <row r="17" spans="1:138" ht="75" x14ac:dyDescent="0.25">
      <c r="H17" s="372"/>
      <c r="M17" s="71" t="s">
        <v>164</v>
      </c>
      <c r="N17" s="87">
        <f>AVERAGE(N15:N16)</f>
        <v>0.995</v>
      </c>
      <c r="P17" s="71" t="s">
        <v>164</v>
      </c>
      <c r="Q17" s="87">
        <f>AVERAGE(Q15:Q16)</f>
        <v>1</v>
      </c>
      <c r="S17" s="71" t="s">
        <v>164</v>
      </c>
      <c r="T17" s="87">
        <f>AVERAGE(T15:T16)</f>
        <v>1</v>
      </c>
      <c r="V17" s="71" t="s">
        <v>164</v>
      </c>
      <c r="W17" s="87">
        <f>AVERAGE(W15:W16)</f>
        <v>1</v>
      </c>
      <c r="Y17" s="71" t="s">
        <v>164</v>
      </c>
      <c r="Z17" s="87">
        <f>AVERAGE(Z15:Z16)</f>
        <v>1</v>
      </c>
      <c r="AB17" s="71" t="s">
        <v>164</v>
      </c>
      <c r="AC17" s="87">
        <f>AVERAGE(AC15:AC16)</f>
        <v>1</v>
      </c>
      <c r="AH17" s="71" t="s">
        <v>165</v>
      </c>
      <c r="AI17" s="87" t="s">
        <v>11</v>
      </c>
      <c r="AK17" s="71" t="s">
        <v>165</v>
      </c>
      <c r="AL17" s="87" t="s">
        <v>11</v>
      </c>
      <c r="AN17" s="71" t="s">
        <v>165</v>
      </c>
      <c r="AO17" s="87" t="s">
        <v>11</v>
      </c>
      <c r="AP17" s="9"/>
      <c r="AQ17" s="71" t="s">
        <v>165</v>
      </c>
      <c r="AR17" s="87" t="s">
        <v>11</v>
      </c>
      <c r="AT17" s="71" t="s">
        <v>165</v>
      </c>
      <c r="AU17" s="87" t="s">
        <v>11</v>
      </c>
      <c r="AW17" s="71" t="s">
        <v>165</v>
      </c>
      <c r="AX17" s="87" t="s">
        <v>11</v>
      </c>
      <c r="AY17" s="9"/>
      <c r="AZ17" s="9"/>
      <c r="BA17" s="9"/>
      <c r="EE17"/>
      <c r="EF17"/>
      <c r="EG17"/>
      <c r="EH17"/>
    </row>
    <row r="18" spans="1:138" s="5" customFormat="1" ht="111" customHeight="1" x14ac:dyDescent="0.2">
      <c r="A18" s="211" t="s">
        <v>86</v>
      </c>
      <c r="B18" s="211" t="s">
        <v>245</v>
      </c>
      <c r="C18" s="211" t="s">
        <v>1632</v>
      </c>
      <c r="D18" s="211" t="s">
        <v>981</v>
      </c>
      <c r="E18" s="213" t="s">
        <v>1016</v>
      </c>
      <c r="F18" s="211" t="s">
        <v>90</v>
      </c>
      <c r="G18" s="211" t="s">
        <v>91</v>
      </c>
      <c r="H18" s="372"/>
      <c r="I18" s="22">
        <v>376710180</v>
      </c>
      <c r="J18" s="211" t="s">
        <v>983</v>
      </c>
      <c r="K18" s="211" t="s">
        <v>984</v>
      </c>
      <c r="L18" s="24">
        <v>4</v>
      </c>
      <c r="M18" s="218"/>
      <c r="N18" s="80"/>
      <c r="O18" s="218"/>
      <c r="P18" s="218"/>
      <c r="Q18" s="80"/>
      <c r="R18" s="218"/>
      <c r="S18" s="218"/>
      <c r="T18" s="80"/>
      <c r="U18" s="218"/>
      <c r="V18" s="218"/>
      <c r="W18" s="80"/>
      <c r="X18" s="218"/>
      <c r="Y18" s="218"/>
      <c r="Z18" s="80"/>
      <c r="AA18" s="218"/>
      <c r="AB18" s="103">
        <v>2.2749999999999999</v>
      </c>
      <c r="AC18" s="80">
        <v>0.56899999999999995</v>
      </c>
      <c r="AD18" s="218" t="s">
        <v>1398</v>
      </c>
      <c r="AE18" s="211" t="s">
        <v>1017</v>
      </c>
      <c r="AF18" s="211" t="s">
        <v>1018</v>
      </c>
      <c r="AG18" s="24">
        <v>4</v>
      </c>
      <c r="AH18" s="218"/>
      <c r="AI18" s="80"/>
      <c r="AJ18" s="218"/>
      <c r="AK18" s="218"/>
      <c r="AL18" s="80"/>
      <c r="AM18" s="218"/>
      <c r="AN18" s="103">
        <v>4</v>
      </c>
      <c r="AO18" s="80">
        <v>1</v>
      </c>
      <c r="AP18" s="218" t="s">
        <v>1019</v>
      </c>
      <c r="AQ18" s="218"/>
      <c r="AR18" s="80"/>
      <c r="AS18" s="218"/>
      <c r="AT18" s="218"/>
      <c r="AU18" s="80"/>
      <c r="AV18" s="218"/>
      <c r="AW18" s="103">
        <v>5</v>
      </c>
      <c r="AX18" s="80">
        <v>1.25</v>
      </c>
      <c r="AY18" s="218" t="s">
        <v>1414</v>
      </c>
      <c r="AZ18" s="13" t="s">
        <v>162</v>
      </c>
      <c r="BA18" s="13" t="s">
        <v>988</v>
      </c>
    </row>
    <row r="19" spans="1:138" ht="75" x14ac:dyDescent="0.25">
      <c r="H19" s="372"/>
      <c r="M19" s="71" t="s">
        <v>164</v>
      </c>
      <c r="N19" s="87" t="s">
        <v>11</v>
      </c>
      <c r="P19" s="71" t="s">
        <v>164</v>
      </c>
      <c r="Q19" s="87" t="s">
        <v>11</v>
      </c>
      <c r="S19" s="71" t="s">
        <v>164</v>
      </c>
      <c r="T19" s="87" t="s">
        <v>11</v>
      </c>
      <c r="V19" s="71" t="s">
        <v>164</v>
      </c>
      <c r="W19" s="87" t="s">
        <v>11</v>
      </c>
      <c r="Y19" s="71" t="s">
        <v>164</v>
      </c>
      <c r="Z19" s="87" t="s">
        <v>11</v>
      </c>
      <c r="AB19" s="71" t="s">
        <v>164</v>
      </c>
      <c r="AC19" s="87" t="s">
        <v>11</v>
      </c>
      <c r="AH19" s="71" t="s">
        <v>165</v>
      </c>
      <c r="AI19" s="87" t="s">
        <v>11</v>
      </c>
      <c r="AK19" s="71" t="s">
        <v>165</v>
      </c>
      <c r="AL19" s="87" t="s">
        <v>11</v>
      </c>
      <c r="AN19" s="71" t="s">
        <v>165</v>
      </c>
      <c r="AO19" s="87">
        <f>AVERAGE(AO18)</f>
        <v>1</v>
      </c>
      <c r="AP19" s="9"/>
      <c r="AQ19" s="71" t="s">
        <v>165</v>
      </c>
      <c r="AR19" s="87" t="s">
        <v>11</v>
      </c>
      <c r="AT19" s="71" t="s">
        <v>165</v>
      </c>
      <c r="AU19" s="87" t="s">
        <v>11</v>
      </c>
      <c r="AW19" s="71" t="s">
        <v>165</v>
      </c>
      <c r="AX19" s="87">
        <f>AVERAGE(AX18)</f>
        <v>1.25</v>
      </c>
      <c r="AY19" s="9"/>
      <c r="AZ19" s="9"/>
      <c r="BA19" s="9"/>
      <c r="EE19"/>
      <c r="EF19"/>
      <c r="EG19"/>
      <c r="EH19"/>
    </row>
    <row r="20" spans="1:138" s="5" customFormat="1" ht="33.75" customHeight="1" x14ac:dyDescent="0.2">
      <c r="A20" s="351" t="s">
        <v>86</v>
      </c>
      <c r="B20" s="351" t="s">
        <v>245</v>
      </c>
      <c r="C20" s="351" t="s">
        <v>32</v>
      </c>
      <c r="D20" s="351" t="s">
        <v>981</v>
      </c>
      <c r="E20" s="344" t="s">
        <v>1020</v>
      </c>
      <c r="F20" s="351" t="s">
        <v>90</v>
      </c>
      <c r="G20" s="351" t="s">
        <v>91</v>
      </c>
      <c r="H20" s="372"/>
      <c r="I20" s="22">
        <v>375194139</v>
      </c>
      <c r="J20" s="211" t="s">
        <v>1021</v>
      </c>
      <c r="K20" s="211" t="s">
        <v>1022</v>
      </c>
      <c r="L20" s="215">
        <v>1</v>
      </c>
      <c r="M20" s="218">
        <v>0.99</v>
      </c>
      <c r="N20" s="218">
        <v>0.99</v>
      </c>
      <c r="O20" s="218" t="s">
        <v>1023</v>
      </c>
      <c r="P20" s="218">
        <v>0.996</v>
      </c>
      <c r="Q20" s="218">
        <v>0.996</v>
      </c>
      <c r="R20" s="218" t="s">
        <v>1024</v>
      </c>
      <c r="S20" s="218">
        <v>1</v>
      </c>
      <c r="T20" s="218">
        <v>1</v>
      </c>
      <c r="U20" s="218" t="s">
        <v>1025</v>
      </c>
      <c r="V20" s="218">
        <v>0.999</v>
      </c>
      <c r="W20" s="218">
        <v>0.999</v>
      </c>
      <c r="X20" s="218" t="s">
        <v>1415</v>
      </c>
      <c r="Y20" s="218">
        <v>0.999</v>
      </c>
      <c r="Z20" s="218">
        <v>0.999</v>
      </c>
      <c r="AA20" s="218" t="s">
        <v>1416</v>
      </c>
      <c r="AB20" s="218">
        <v>0.998</v>
      </c>
      <c r="AC20" s="218">
        <v>0.998</v>
      </c>
      <c r="AD20" s="218" t="s">
        <v>1417</v>
      </c>
      <c r="AE20" s="351" t="s">
        <v>95</v>
      </c>
      <c r="AF20" s="351"/>
      <c r="AG20" s="351"/>
      <c r="AH20" s="89"/>
      <c r="AI20" s="91"/>
      <c r="AJ20" s="89"/>
      <c r="AK20" s="89"/>
      <c r="AL20" s="91"/>
      <c r="AM20" s="89"/>
      <c r="AN20" s="89"/>
      <c r="AO20" s="91"/>
      <c r="AP20" s="89"/>
      <c r="AQ20" s="89"/>
      <c r="AR20" s="91"/>
      <c r="AS20" s="89"/>
      <c r="AT20" s="89"/>
      <c r="AU20" s="91"/>
      <c r="AV20" s="89"/>
      <c r="AW20" s="89"/>
      <c r="AX20" s="91"/>
      <c r="AY20" s="89"/>
      <c r="AZ20" s="13" t="s">
        <v>162</v>
      </c>
      <c r="BA20" s="13" t="s">
        <v>988</v>
      </c>
    </row>
    <row r="21" spans="1:138" s="5" customFormat="1" ht="33.75" customHeight="1" x14ac:dyDescent="0.2">
      <c r="A21" s="351"/>
      <c r="B21" s="351"/>
      <c r="C21" s="351"/>
      <c r="D21" s="351"/>
      <c r="E21" s="344"/>
      <c r="F21" s="351"/>
      <c r="G21" s="351"/>
      <c r="H21" s="372"/>
      <c r="I21" s="22">
        <v>1052428954</v>
      </c>
      <c r="J21" s="211" t="s">
        <v>1026</v>
      </c>
      <c r="K21" s="211" t="s">
        <v>1027</v>
      </c>
      <c r="L21" s="215">
        <v>0.95</v>
      </c>
      <c r="M21" s="218"/>
      <c r="N21" s="80"/>
      <c r="O21" s="218"/>
      <c r="P21" s="218">
        <v>0.88</v>
      </c>
      <c r="Q21" s="218">
        <v>0.88</v>
      </c>
      <c r="R21" s="218" t="s">
        <v>1028</v>
      </c>
      <c r="S21" s="218"/>
      <c r="T21" s="80"/>
      <c r="U21" s="218"/>
      <c r="V21" s="218">
        <v>0.97</v>
      </c>
      <c r="W21" s="80">
        <v>0.97</v>
      </c>
      <c r="X21" s="218" t="s">
        <v>1418</v>
      </c>
      <c r="Y21" s="218"/>
      <c r="Z21" s="218"/>
      <c r="AA21" s="218"/>
      <c r="AB21" s="218">
        <v>0.97199999999999998</v>
      </c>
      <c r="AC21" s="80">
        <v>0.97199999999999998</v>
      </c>
      <c r="AD21" s="218" t="s">
        <v>1419</v>
      </c>
      <c r="AE21" s="351" t="s">
        <v>95</v>
      </c>
      <c r="AF21" s="351"/>
      <c r="AG21" s="351"/>
      <c r="AH21" s="89"/>
      <c r="AI21" s="91"/>
      <c r="AJ21" s="89"/>
      <c r="AK21" s="89"/>
      <c r="AL21" s="91"/>
      <c r="AM21" s="89"/>
      <c r="AN21" s="89"/>
      <c r="AO21" s="91"/>
      <c r="AP21" s="89"/>
      <c r="AQ21" s="89"/>
      <c r="AR21" s="91"/>
      <c r="AS21" s="89"/>
      <c r="AT21" s="89"/>
      <c r="AU21" s="91"/>
      <c r="AV21" s="89"/>
      <c r="AW21" s="89"/>
      <c r="AX21" s="91"/>
      <c r="AY21" s="89"/>
      <c r="AZ21" s="13" t="s">
        <v>162</v>
      </c>
      <c r="BA21" s="13" t="s">
        <v>988</v>
      </c>
    </row>
    <row r="22" spans="1:138" s="5" customFormat="1" ht="33.75" customHeight="1" x14ac:dyDescent="0.2">
      <c r="A22" s="351"/>
      <c r="B22" s="351"/>
      <c r="C22" s="351"/>
      <c r="D22" s="351"/>
      <c r="E22" s="351"/>
      <c r="F22" s="351"/>
      <c r="G22" s="351"/>
      <c r="H22" s="372"/>
      <c r="I22" s="345">
        <v>129761618</v>
      </c>
      <c r="J22" s="347" t="s">
        <v>983</v>
      </c>
      <c r="K22" s="347" t="s">
        <v>984</v>
      </c>
      <c r="L22" s="393">
        <v>4</v>
      </c>
      <c r="M22" s="342"/>
      <c r="N22" s="342"/>
      <c r="O22" s="342"/>
      <c r="P22" s="342"/>
      <c r="Q22" s="342"/>
      <c r="R22" s="342"/>
      <c r="S22" s="342"/>
      <c r="T22" s="342"/>
      <c r="U22" s="342"/>
      <c r="V22" s="342"/>
      <c r="W22" s="342"/>
      <c r="X22" s="342"/>
      <c r="Y22" s="342"/>
      <c r="Z22" s="342"/>
      <c r="AA22" s="342"/>
      <c r="AB22" s="342">
        <v>2.2749999999999999E-2</v>
      </c>
      <c r="AC22" s="342">
        <v>0.56899999999999995</v>
      </c>
      <c r="AD22" s="342" t="s">
        <v>1398</v>
      </c>
      <c r="AE22" s="211" t="s">
        <v>985</v>
      </c>
      <c r="AF22" s="211" t="s">
        <v>986</v>
      </c>
      <c r="AG22" s="215">
        <v>1</v>
      </c>
      <c r="AH22" s="218"/>
      <c r="AI22" s="80"/>
      <c r="AJ22" s="218"/>
      <c r="AK22" s="218"/>
      <c r="AL22" s="80"/>
      <c r="AM22" s="218"/>
      <c r="AN22" s="218">
        <v>0.23</v>
      </c>
      <c r="AO22" s="80">
        <v>0.23</v>
      </c>
      <c r="AP22" s="218" t="s">
        <v>987</v>
      </c>
      <c r="AQ22" s="218"/>
      <c r="AR22" s="80"/>
      <c r="AS22" s="218"/>
      <c r="AT22" s="218"/>
      <c r="AU22" s="80"/>
      <c r="AV22" s="218"/>
      <c r="AW22" s="218">
        <v>0.55000000000000004</v>
      </c>
      <c r="AX22" s="80">
        <v>0.55000000000000004</v>
      </c>
      <c r="AY22" s="218" t="s">
        <v>1399</v>
      </c>
      <c r="AZ22" s="13" t="s">
        <v>162</v>
      </c>
      <c r="BA22" s="13" t="s">
        <v>988</v>
      </c>
    </row>
    <row r="23" spans="1:138" s="5" customFormat="1" ht="33.75" customHeight="1" x14ac:dyDescent="0.2">
      <c r="A23" s="351"/>
      <c r="B23" s="351"/>
      <c r="C23" s="351"/>
      <c r="D23" s="351"/>
      <c r="E23" s="351"/>
      <c r="F23" s="351"/>
      <c r="G23" s="351"/>
      <c r="H23" s="372"/>
      <c r="I23" s="372"/>
      <c r="J23" s="366"/>
      <c r="K23" s="366"/>
      <c r="L23" s="427"/>
      <c r="M23" s="374"/>
      <c r="N23" s="374"/>
      <c r="O23" s="374"/>
      <c r="P23" s="374"/>
      <c r="Q23" s="374"/>
      <c r="R23" s="374"/>
      <c r="S23" s="374"/>
      <c r="T23" s="374"/>
      <c r="U23" s="374"/>
      <c r="V23" s="374"/>
      <c r="W23" s="374"/>
      <c r="X23" s="374"/>
      <c r="Y23" s="374"/>
      <c r="Z23" s="374"/>
      <c r="AA23" s="374"/>
      <c r="AB23" s="374"/>
      <c r="AC23" s="374"/>
      <c r="AD23" s="374"/>
      <c r="AE23" s="211" t="s">
        <v>1029</v>
      </c>
      <c r="AF23" s="211" t="s">
        <v>1030</v>
      </c>
      <c r="AG23" s="218">
        <v>0.1</v>
      </c>
      <c r="AH23" s="218">
        <v>0.98</v>
      </c>
      <c r="AI23" s="80">
        <v>0.98</v>
      </c>
      <c r="AJ23" s="218" t="s">
        <v>1031</v>
      </c>
      <c r="AK23" s="218">
        <v>0.93</v>
      </c>
      <c r="AL23" s="80">
        <v>0.93</v>
      </c>
      <c r="AM23" s="218" t="s">
        <v>1032</v>
      </c>
      <c r="AN23" s="218">
        <v>0.92</v>
      </c>
      <c r="AO23" s="80">
        <v>0.92</v>
      </c>
      <c r="AP23" s="218" t="s">
        <v>1033</v>
      </c>
      <c r="AQ23" s="218">
        <v>0.91400000000000003</v>
      </c>
      <c r="AR23" s="80">
        <v>0.91400000000000003</v>
      </c>
      <c r="AS23" s="218" t="s">
        <v>1420</v>
      </c>
      <c r="AT23" s="218">
        <v>0.88700000000000001</v>
      </c>
      <c r="AU23" s="80">
        <v>0.88700000000000001</v>
      </c>
      <c r="AV23" s="218" t="s">
        <v>1421</v>
      </c>
      <c r="AW23" s="218">
        <v>0.86799999999999999</v>
      </c>
      <c r="AX23" s="80">
        <v>0.86799999999999999</v>
      </c>
      <c r="AY23" s="218" t="s">
        <v>1422</v>
      </c>
      <c r="AZ23" s="13" t="s">
        <v>162</v>
      </c>
      <c r="BA23" s="13" t="s">
        <v>988</v>
      </c>
    </row>
    <row r="24" spans="1:138" s="5" customFormat="1" ht="33.75" customHeight="1" x14ac:dyDescent="0.2">
      <c r="A24" s="351"/>
      <c r="B24" s="351"/>
      <c r="C24" s="351"/>
      <c r="D24" s="351"/>
      <c r="E24" s="351"/>
      <c r="F24" s="351"/>
      <c r="G24" s="351"/>
      <c r="H24" s="372"/>
      <c r="I24" s="372"/>
      <c r="J24" s="366"/>
      <c r="K24" s="366"/>
      <c r="L24" s="427"/>
      <c r="M24" s="374"/>
      <c r="N24" s="374"/>
      <c r="O24" s="374"/>
      <c r="P24" s="374"/>
      <c r="Q24" s="374"/>
      <c r="R24" s="374"/>
      <c r="S24" s="374"/>
      <c r="T24" s="374"/>
      <c r="U24" s="374"/>
      <c r="V24" s="374"/>
      <c r="W24" s="374"/>
      <c r="X24" s="374"/>
      <c r="Y24" s="374"/>
      <c r="Z24" s="374"/>
      <c r="AA24" s="374"/>
      <c r="AB24" s="374"/>
      <c r="AC24" s="374"/>
      <c r="AD24" s="374"/>
      <c r="AE24" s="211" t="s">
        <v>991</v>
      </c>
      <c r="AF24" s="211" t="s">
        <v>992</v>
      </c>
      <c r="AG24" s="213">
        <v>8</v>
      </c>
      <c r="AH24" s="218"/>
      <c r="AI24" s="80"/>
      <c r="AJ24" s="218"/>
      <c r="AK24" s="218"/>
      <c r="AL24" s="80"/>
      <c r="AM24" s="218"/>
      <c r="AN24" s="218"/>
      <c r="AO24" s="80"/>
      <c r="AP24" s="218"/>
      <c r="AQ24" s="218"/>
      <c r="AR24" s="80"/>
      <c r="AS24" s="218"/>
      <c r="AT24" s="218"/>
      <c r="AU24" s="80"/>
      <c r="AV24" s="218"/>
      <c r="AW24" s="103">
        <v>1.8</v>
      </c>
      <c r="AX24" s="80">
        <v>0.23</v>
      </c>
      <c r="AY24" s="218" t="s">
        <v>1401</v>
      </c>
      <c r="AZ24" s="13" t="s">
        <v>162</v>
      </c>
      <c r="BA24" s="13" t="s">
        <v>988</v>
      </c>
    </row>
    <row r="25" spans="1:138" s="5" customFormat="1" ht="33.75" customHeight="1" x14ac:dyDescent="0.2">
      <c r="A25" s="351"/>
      <c r="B25" s="351"/>
      <c r="C25" s="351"/>
      <c r="D25" s="351"/>
      <c r="E25" s="351"/>
      <c r="F25" s="351"/>
      <c r="G25" s="351"/>
      <c r="H25" s="346"/>
      <c r="I25" s="346"/>
      <c r="J25" s="348"/>
      <c r="K25" s="348"/>
      <c r="L25" s="394"/>
      <c r="M25" s="343"/>
      <c r="N25" s="343"/>
      <c r="O25" s="343"/>
      <c r="P25" s="343"/>
      <c r="Q25" s="343"/>
      <c r="R25" s="343"/>
      <c r="S25" s="343"/>
      <c r="T25" s="343"/>
      <c r="U25" s="343"/>
      <c r="V25" s="343"/>
      <c r="W25" s="343"/>
      <c r="X25" s="343"/>
      <c r="Y25" s="343"/>
      <c r="Z25" s="343"/>
      <c r="AA25" s="343"/>
      <c r="AB25" s="343"/>
      <c r="AC25" s="343"/>
      <c r="AD25" s="343"/>
      <c r="AE25" s="211" t="s">
        <v>1034</v>
      </c>
      <c r="AF25" s="211" t="s">
        <v>1035</v>
      </c>
      <c r="AG25" s="218">
        <v>0.85</v>
      </c>
      <c r="AH25" s="218"/>
      <c r="AI25" s="80"/>
      <c r="AJ25" s="218"/>
      <c r="AK25" s="218"/>
      <c r="AL25" s="80"/>
      <c r="AM25" s="218"/>
      <c r="AN25" s="218"/>
      <c r="AO25" s="80"/>
      <c r="AP25" s="218"/>
      <c r="AQ25" s="218"/>
      <c r="AR25" s="80"/>
      <c r="AS25" s="218"/>
      <c r="AT25" s="218"/>
      <c r="AU25" s="80"/>
      <c r="AV25" s="218"/>
      <c r="AW25" s="218">
        <v>0.85599999999999998</v>
      </c>
      <c r="AX25" s="80">
        <v>1.01</v>
      </c>
      <c r="AY25" s="218" t="s">
        <v>1423</v>
      </c>
      <c r="AZ25" s="13" t="s">
        <v>162</v>
      </c>
      <c r="BA25" s="13" t="s">
        <v>988</v>
      </c>
    </row>
    <row r="26" spans="1:138" ht="75" x14ac:dyDescent="0.25">
      <c r="M26" s="71" t="s">
        <v>164</v>
      </c>
      <c r="N26" s="87">
        <f>AVERAGE(N20:N25)</f>
        <v>0.99</v>
      </c>
      <c r="P26" s="71" t="s">
        <v>164</v>
      </c>
      <c r="Q26" s="87">
        <f>AVERAGE(Q20:Q25)</f>
        <v>0.93799999999999994</v>
      </c>
      <c r="S26" s="71" t="s">
        <v>164</v>
      </c>
      <c r="T26" s="87">
        <f>AVERAGE(T20:T25)</f>
        <v>1</v>
      </c>
      <c r="V26" s="71" t="s">
        <v>164</v>
      </c>
      <c r="W26" s="87">
        <f>AVERAGE(W20:W25)</f>
        <v>0.98449999999999993</v>
      </c>
      <c r="Y26" s="71" t="s">
        <v>164</v>
      </c>
      <c r="Z26" s="87">
        <f>AVERAGE(Z20:Z25)</f>
        <v>0.999</v>
      </c>
      <c r="AB26" s="71" t="s">
        <v>164</v>
      </c>
      <c r="AC26" s="87">
        <f>AVERAGE(AC20:AC25)</f>
        <v>0.84633333333333327</v>
      </c>
      <c r="AH26" s="71" t="s">
        <v>165</v>
      </c>
      <c r="AI26" s="87">
        <f>AVERAGE(AI20:AI25)</f>
        <v>0.98</v>
      </c>
      <c r="AK26" s="71" t="s">
        <v>165</v>
      </c>
      <c r="AL26" s="87">
        <f>AVERAGE(AL20:AL25)</f>
        <v>0.93</v>
      </c>
      <c r="AN26" s="71" t="s">
        <v>165</v>
      </c>
      <c r="AO26" s="87">
        <f>AVERAGE(AO20:AO25)</f>
        <v>0.57500000000000007</v>
      </c>
      <c r="AP26" s="9"/>
      <c r="AQ26" s="71" t="s">
        <v>165</v>
      </c>
      <c r="AR26" s="87">
        <f>AVERAGE(AR20:AR25)</f>
        <v>0.91400000000000003</v>
      </c>
      <c r="AT26" s="71" t="s">
        <v>165</v>
      </c>
      <c r="AU26" s="87">
        <f>AVERAGE(AU20:AU25)</f>
        <v>0.88700000000000001</v>
      </c>
      <c r="AW26" s="71" t="s">
        <v>165</v>
      </c>
      <c r="AX26" s="87">
        <f>AVERAGE(AX20:AX25)</f>
        <v>0.66450000000000009</v>
      </c>
      <c r="AY26" s="9"/>
      <c r="AZ26" s="9"/>
      <c r="BA26" s="9"/>
      <c r="EE26"/>
      <c r="EF26"/>
      <c r="EG26"/>
      <c r="EH26"/>
    </row>
    <row r="27" spans="1:138" s="5" customFormat="1" ht="33.75" customHeight="1" x14ac:dyDescent="0.2">
      <c r="A27" s="163"/>
      <c r="B27" s="163"/>
      <c r="C27" s="164"/>
      <c r="D27" s="163"/>
      <c r="E27" s="164"/>
      <c r="F27" s="163"/>
      <c r="G27" s="163"/>
      <c r="H27" s="75"/>
      <c r="I27" s="75"/>
      <c r="J27" s="165"/>
      <c r="K27" s="165"/>
      <c r="L27" s="166"/>
      <c r="M27" s="78"/>
      <c r="N27" s="88"/>
      <c r="O27" s="78"/>
      <c r="P27" s="78"/>
      <c r="Q27" s="88"/>
      <c r="R27" s="78"/>
      <c r="S27" s="78"/>
      <c r="T27" s="88"/>
      <c r="U27" s="78"/>
      <c r="V27" s="78"/>
      <c r="W27" s="88"/>
      <c r="X27" s="78"/>
      <c r="Y27" s="78"/>
      <c r="Z27" s="88"/>
      <c r="AA27" s="78"/>
      <c r="AB27" s="78"/>
      <c r="AC27" s="88"/>
      <c r="AD27" s="78"/>
      <c r="AE27" s="167"/>
      <c r="AF27" s="167"/>
      <c r="AG27" s="166"/>
      <c r="AH27" s="78"/>
      <c r="AI27" s="88"/>
      <c r="AJ27" s="78"/>
      <c r="AK27" s="78"/>
      <c r="AL27" s="88"/>
      <c r="AM27" s="78"/>
      <c r="AN27" s="78"/>
      <c r="AO27" s="88"/>
      <c r="AP27" s="78"/>
      <c r="AQ27" s="78"/>
      <c r="AR27" s="88"/>
      <c r="AS27" s="78"/>
      <c r="AT27" s="78"/>
      <c r="AU27" s="88"/>
      <c r="AV27" s="78"/>
      <c r="AW27" s="78"/>
      <c r="AX27" s="88"/>
      <c r="AY27" s="78"/>
      <c r="AZ27" s="167"/>
      <c r="BA27" s="167"/>
    </row>
    <row r="28" spans="1:138" ht="75" x14ac:dyDescent="0.25">
      <c r="M28" s="71" t="s">
        <v>155</v>
      </c>
      <c r="N28" s="87">
        <f>AVERAGE(N14,N17,N19,N26)</f>
        <v>0.99249999999999994</v>
      </c>
      <c r="P28" s="71" t="s">
        <v>155</v>
      </c>
      <c r="Q28" s="87">
        <f>AVERAGE(Q14,Q17,Q19,Q26)</f>
        <v>0.96899999999999997</v>
      </c>
      <c r="S28" s="71" t="s">
        <v>155</v>
      </c>
      <c r="T28" s="87">
        <f>AVERAGE(T14,T17,T19,T26)</f>
        <v>1</v>
      </c>
      <c r="V28" s="71" t="s">
        <v>155</v>
      </c>
      <c r="W28" s="87">
        <f>AVERAGE(W14,W17,W19,W26)</f>
        <v>0.99224999999999997</v>
      </c>
      <c r="Y28" s="71" t="s">
        <v>155</v>
      </c>
      <c r="Z28" s="87">
        <f>AVERAGE(Z14,Z17,Z19,Z26)</f>
        <v>0.99950000000000006</v>
      </c>
      <c r="AB28" s="71" t="s">
        <v>155</v>
      </c>
      <c r="AC28" s="87">
        <f>AVERAGE(AC14,AC17,AC19,AC26)</f>
        <v>0.92316666666666669</v>
      </c>
      <c r="AH28" s="71" t="s">
        <v>156</v>
      </c>
      <c r="AI28" s="87">
        <f>AVERAGE(AI14,AI17,AI19,AI26)</f>
        <v>0.51</v>
      </c>
      <c r="AK28" s="71" t="s">
        <v>156</v>
      </c>
      <c r="AL28" s="87">
        <f>AVERAGE(AL14,AL17,AL19,AL26)</f>
        <v>0.57000000000000006</v>
      </c>
      <c r="AN28" s="71" t="s">
        <v>156</v>
      </c>
      <c r="AO28" s="87">
        <f>AVERAGE(AO14,AO17,AO19,AO26)</f>
        <v>0.6216666666666667</v>
      </c>
      <c r="AP28" s="9"/>
      <c r="AQ28" s="71" t="s">
        <v>156</v>
      </c>
      <c r="AR28" s="87">
        <f>AVERAGE(AR14,AR17,AR19,AR26)</f>
        <v>0.63700000000000001</v>
      </c>
      <c r="AT28" s="71" t="s">
        <v>156</v>
      </c>
      <c r="AU28" s="87">
        <f>AVERAGE(AU14,AU17,AU19,AU26)</f>
        <v>0.6885</v>
      </c>
      <c r="AW28" s="71" t="s">
        <v>156</v>
      </c>
      <c r="AX28" s="87">
        <f>AVERAGE(AX14,AX17,AX19,AX26)</f>
        <v>0.80594444444444446</v>
      </c>
      <c r="AY28" s="9"/>
      <c r="AZ28" s="9"/>
      <c r="BA28" s="9"/>
      <c r="EE28"/>
      <c r="EF28"/>
      <c r="EG28"/>
      <c r="EH28"/>
    </row>
    <row r="29" spans="1:138" s="5" customFormat="1" ht="38.25" customHeight="1" x14ac:dyDescent="0.25">
      <c r="A29"/>
      <c r="B29"/>
      <c r="C29" s="4"/>
      <c r="D29" s="4"/>
      <c r="E29" s="4"/>
      <c r="F29" s="4"/>
      <c r="G29" s="4"/>
      <c r="H29" s="1"/>
      <c r="I29" s="1"/>
      <c r="J29" s="4"/>
      <c r="K29" s="4"/>
      <c r="L29" s="6"/>
      <c r="M29" s="4"/>
      <c r="N29" s="84"/>
      <c r="O29" s="6"/>
      <c r="P29" s="4"/>
      <c r="Q29" s="84"/>
      <c r="R29" s="6"/>
      <c r="S29" s="4"/>
      <c r="T29" s="84"/>
      <c r="U29" s="6"/>
      <c r="V29" s="4"/>
      <c r="W29" s="84"/>
      <c r="X29" s="6"/>
      <c r="Y29" s="4"/>
      <c r="Z29" s="84"/>
      <c r="AA29" s="6"/>
      <c r="AB29" s="4"/>
      <c r="AC29" s="84"/>
      <c r="AD29" s="6"/>
      <c r="AE29" s="3"/>
      <c r="AF29" s="3"/>
      <c r="AG29" s="8"/>
      <c r="AH29" s="4"/>
      <c r="AI29" s="84"/>
      <c r="AJ29" s="6"/>
      <c r="AK29" s="4"/>
      <c r="AL29" s="84"/>
      <c r="AM29" s="6"/>
      <c r="AN29" s="4"/>
      <c r="AO29" s="84"/>
      <c r="AP29" s="6"/>
      <c r="AQ29" s="4"/>
      <c r="AR29" s="84"/>
      <c r="AS29" s="6"/>
      <c r="AT29" s="4"/>
      <c r="AU29" s="84"/>
      <c r="AV29" s="6"/>
      <c r="AW29" s="4"/>
      <c r="AX29" s="84"/>
      <c r="AY29" s="6"/>
      <c r="AZ29" s="12"/>
      <c r="BA29" s="12"/>
    </row>
    <row r="30" spans="1:138" ht="38.25" customHeight="1" x14ac:dyDescent="0.25"/>
    <row r="31" spans="1:138" ht="38.25" customHeight="1" x14ac:dyDescent="0.25">
      <c r="A31" t="s">
        <v>290</v>
      </c>
    </row>
  </sheetData>
  <autoFilter ref="A7:AZ31" xr:uid="{00000000-0009-0000-0000-000009000000}"/>
  <mergeCells count="87">
    <mergeCell ref="AD22:AD25"/>
    <mergeCell ref="W22:W25"/>
    <mergeCell ref="X22:X25"/>
    <mergeCell ref="Y22:Y25"/>
    <mergeCell ref="Z22:Z25"/>
    <mergeCell ref="AA22:AA25"/>
    <mergeCell ref="AB22:AB25"/>
    <mergeCell ref="R22:R25"/>
    <mergeCell ref="S22:S25"/>
    <mergeCell ref="T22:T25"/>
    <mergeCell ref="U22:U25"/>
    <mergeCell ref="AC22:AC25"/>
    <mergeCell ref="M22:M25"/>
    <mergeCell ref="N22:N25"/>
    <mergeCell ref="O22:O25"/>
    <mergeCell ref="P22:P25"/>
    <mergeCell ref="Q22:Q25"/>
    <mergeCell ref="AE15:AG15"/>
    <mergeCell ref="AE16:AG16"/>
    <mergeCell ref="A20:A25"/>
    <mergeCell ref="B20:B25"/>
    <mergeCell ref="C20:C25"/>
    <mergeCell ref="D20:D25"/>
    <mergeCell ref="E20:E25"/>
    <mergeCell ref="F20:F25"/>
    <mergeCell ref="G20:G25"/>
    <mergeCell ref="V22:V25"/>
    <mergeCell ref="AE20:AG20"/>
    <mergeCell ref="AE21:AG21"/>
    <mergeCell ref="I22:I25"/>
    <mergeCell ref="J22:J25"/>
    <mergeCell ref="K22:K25"/>
    <mergeCell ref="L22:L25"/>
    <mergeCell ref="W9:W13"/>
    <mergeCell ref="AD9:AD13"/>
    <mergeCell ref="A15:A16"/>
    <mergeCell ref="B15:B16"/>
    <mergeCell ref="C15:C16"/>
    <mergeCell ref="D15:D16"/>
    <mergeCell ref="E15:E16"/>
    <mergeCell ref="F15:F16"/>
    <mergeCell ref="G15:G16"/>
    <mergeCell ref="X9:X13"/>
    <mergeCell ref="Y9:Y13"/>
    <mergeCell ref="Z9:Z13"/>
    <mergeCell ref="AA9:AA13"/>
    <mergeCell ref="AB9:AB13"/>
    <mergeCell ref="AC9:AC13"/>
    <mergeCell ref="R9:R13"/>
    <mergeCell ref="P9:P13"/>
    <mergeCell ref="S9:S13"/>
    <mergeCell ref="T9:T13"/>
    <mergeCell ref="U9:U13"/>
    <mergeCell ref="V9:V13"/>
    <mergeCell ref="A8:A13"/>
    <mergeCell ref="B8:B13"/>
    <mergeCell ref="C8:C13"/>
    <mergeCell ref="D8:D13"/>
    <mergeCell ref="O9:O13"/>
    <mergeCell ref="E8:E13"/>
    <mergeCell ref="AK6:AM6"/>
    <mergeCell ref="AN6:AP6"/>
    <mergeCell ref="AQ6:AS6"/>
    <mergeCell ref="AT6:AV6"/>
    <mergeCell ref="P6:R6"/>
    <mergeCell ref="Q9:Q13"/>
    <mergeCell ref="F8:F13"/>
    <mergeCell ref="G8:G13"/>
    <mergeCell ref="H8:H25"/>
    <mergeCell ref="I9:I13"/>
    <mergeCell ref="J9:J13"/>
    <mergeCell ref="K9:K13"/>
    <mergeCell ref="L9:L13"/>
    <mergeCell ref="M9:M13"/>
    <mergeCell ref="N9:N13"/>
    <mergeCell ref="AZ6:BA6"/>
    <mergeCell ref="S6:U6"/>
    <mergeCell ref="V6:X6"/>
    <mergeCell ref="Y6:AA6"/>
    <mergeCell ref="AB6:AD6"/>
    <mergeCell ref="AE6:AG6"/>
    <mergeCell ref="AH6:AJ6"/>
    <mergeCell ref="D6:E6"/>
    <mergeCell ref="F6:I6"/>
    <mergeCell ref="J6:L6"/>
    <mergeCell ref="M6:O6"/>
    <mergeCell ref="AW6:AY6"/>
  </mergeCells>
  <pageMargins left="0.75" right="0.75" top="1" bottom="1" header="0.5" footer="0.5"/>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221F3-D6C8-4DC4-B0C5-38638FEDD971}">
  <sheetPr>
    <tabColor theme="7" tint="-0.249977111117893"/>
  </sheetPr>
  <dimension ref="A1:EH19"/>
  <sheetViews>
    <sheetView showGridLines="0" topLeftCell="A6" zoomScale="80" zoomScaleNormal="80" workbookViewId="0">
      <selection activeCell="C12" sqref="C12"/>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customWidth="1"/>
    <col min="7" max="7" width="45.7109375" style="4" customWidth="1"/>
    <col min="8" max="8" width="19.42578125" style="1" customWidth="1"/>
    <col min="9" max="9" width="15.5703125" style="1" customWidth="1"/>
    <col min="10" max="11" width="45.7109375" style="4" customWidth="1"/>
    <col min="12" max="12" width="17.7109375" style="6" customWidth="1"/>
    <col min="13" max="13" width="15.28515625" style="4" customWidth="1"/>
    <col min="14" max="14" width="23.42578125" style="4" customWidth="1"/>
    <col min="15" max="15" width="17.7109375" style="6" customWidth="1"/>
    <col min="16" max="16" width="15.28515625" style="4" customWidth="1"/>
    <col min="17" max="17" width="23.42578125" style="4" customWidth="1"/>
    <col min="18" max="18" width="17.7109375" style="6" customWidth="1"/>
    <col min="19" max="19" width="15.28515625" style="4" customWidth="1"/>
    <col min="20" max="20" width="23.42578125" style="4" customWidth="1"/>
    <col min="21" max="21" width="17.7109375" style="6" customWidth="1"/>
    <col min="22" max="22" width="15.28515625" style="4" customWidth="1"/>
    <col min="23" max="23" width="23.42578125" style="4" customWidth="1"/>
    <col min="24" max="24" width="17.7109375" style="6" customWidth="1"/>
    <col min="25" max="25" width="15.28515625" style="4" customWidth="1"/>
    <col min="26" max="26" width="23.42578125" style="4" customWidth="1"/>
    <col min="27" max="27" width="17.7109375" style="6" customWidth="1"/>
    <col min="28" max="28" width="15.28515625" style="4" customWidth="1"/>
    <col min="29" max="29" width="23.42578125" style="4" customWidth="1"/>
    <col min="30" max="30" width="17.7109375" style="6" customWidth="1"/>
    <col min="31" max="32" width="45.7109375" style="3" customWidth="1"/>
    <col min="33" max="33" width="15.28515625" style="8" customWidth="1"/>
    <col min="34" max="34" width="15.28515625" style="4" customWidth="1"/>
    <col min="35" max="35" width="23.42578125" style="4" customWidth="1"/>
    <col min="36" max="36" width="17.7109375" style="6" customWidth="1"/>
    <col min="37" max="37" width="15.28515625" style="4" customWidth="1"/>
    <col min="38" max="38" width="23.42578125" style="4" customWidth="1"/>
    <col min="39" max="39" width="17.7109375" style="6" customWidth="1"/>
    <col min="40" max="40" width="15.28515625" style="4" customWidth="1"/>
    <col min="41" max="41" width="23.42578125" style="4" customWidth="1"/>
    <col min="42" max="42" width="17.7109375" style="6" customWidth="1"/>
    <col min="43" max="43" width="15.28515625" style="4" customWidth="1"/>
    <col min="44" max="44" width="23.42578125" style="4" customWidth="1"/>
    <col min="45" max="45" width="17.7109375" style="6" customWidth="1"/>
    <col min="46" max="46" width="15.28515625" style="4" customWidth="1"/>
    <col min="47" max="47" width="23.42578125" style="4" customWidth="1"/>
    <col min="48" max="48" width="17.7109375" style="6" customWidth="1"/>
    <col min="49" max="49" width="15.28515625" style="4" customWidth="1"/>
    <col min="50" max="50" width="23.42578125" style="4" customWidth="1"/>
    <col min="51" max="51" width="31.5703125" style="6" customWidth="1"/>
    <col min="52" max="52" width="30.140625" style="12" bestFit="1" customWidth="1"/>
    <col min="53" max="53" width="45.7109375" style="12" bestFit="1" customWidth="1"/>
    <col min="54" max="138" width="11.42578125" style="9"/>
  </cols>
  <sheetData>
    <row r="1" spans="1:138" x14ac:dyDescent="0.25">
      <c r="A1" s="2"/>
      <c r="B1" s="2"/>
      <c r="H1" s="2"/>
      <c r="I1" s="2"/>
      <c r="AG1" s="7"/>
    </row>
    <row r="2" spans="1:138" x14ac:dyDescent="0.25">
      <c r="A2" s="2"/>
      <c r="B2" s="2"/>
      <c r="H2" s="2"/>
      <c r="I2" s="2"/>
      <c r="AG2" s="7"/>
    </row>
    <row r="3" spans="1:138" x14ac:dyDescent="0.25">
      <c r="A3" s="2"/>
      <c r="B3" s="2"/>
      <c r="H3" s="2"/>
      <c r="I3" s="2"/>
      <c r="AG3" s="7"/>
    </row>
    <row r="4" spans="1:138" x14ac:dyDescent="0.25">
      <c r="A4" s="2"/>
      <c r="B4" s="2"/>
      <c r="H4" s="2"/>
      <c r="I4" s="2"/>
      <c r="AG4" s="7"/>
    </row>
    <row r="5" spans="1:138" x14ac:dyDescent="0.25">
      <c r="A5" s="14"/>
      <c r="B5" s="14"/>
      <c r="C5" s="15"/>
      <c r="D5" s="15"/>
      <c r="E5" s="15"/>
      <c r="F5" s="15"/>
      <c r="G5" s="15"/>
      <c r="H5" s="14"/>
      <c r="I5" s="14"/>
      <c r="J5" s="15"/>
      <c r="K5" s="15"/>
      <c r="L5" s="16"/>
      <c r="M5" s="15"/>
      <c r="N5" s="15"/>
      <c r="O5" s="16"/>
      <c r="P5" s="15"/>
      <c r="Q5" s="15"/>
      <c r="R5" s="16"/>
      <c r="S5" s="15"/>
      <c r="T5" s="15"/>
      <c r="U5" s="16"/>
      <c r="V5" s="15"/>
      <c r="W5" s="15"/>
      <c r="X5" s="16"/>
      <c r="Y5" s="15"/>
      <c r="Z5" s="15"/>
      <c r="AA5" s="16"/>
      <c r="AB5" s="15"/>
      <c r="AC5" s="15"/>
      <c r="AD5" s="16"/>
      <c r="AE5" s="17"/>
      <c r="AF5" s="17"/>
      <c r="AG5" s="18"/>
      <c r="AH5" s="15"/>
      <c r="AI5" s="15"/>
      <c r="AJ5" s="16"/>
      <c r="AK5" s="15"/>
      <c r="AL5" s="15"/>
      <c r="AM5" s="16"/>
      <c r="AN5" s="15"/>
      <c r="AO5" s="15"/>
      <c r="AP5" s="16"/>
      <c r="AQ5" s="15"/>
      <c r="AR5" s="15"/>
      <c r="AS5" s="16"/>
      <c r="AT5" s="15"/>
      <c r="AU5" s="15"/>
      <c r="AV5" s="16"/>
      <c r="AW5" s="15"/>
      <c r="AX5" s="15"/>
      <c r="AY5" s="16"/>
      <c r="AZ5" s="19"/>
      <c r="BA5" s="19"/>
    </row>
    <row r="6" spans="1:138" s="11" customFormat="1" ht="30" x14ac:dyDescent="0.2">
      <c r="A6" s="170" t="s">
        <v>61</v>
      </c>
      <c r="B6" s="170" t="s">
        <v>62</v>
      </c>
      <c r="C6" s="305"/>
      <c r="D6" s="335" t="s">
        <v>63</v>
      </c>
      <c r="E6" s="336"/>
      <c r="F6" s="335" t="s">
        <v>64</v>
      </c>
      <c r="G6" s="337"/>
      <c r="H6" s="337"/>
      <c r="I6" s="336"/>
      <c r="J6" s="338" t="s">
        <v>65</v>
      </c>
      <c r="K6" s="338"/>
      <c r="L6" s="338"/>
      <c r="M6" s="339" t="s">
        <v>2</v>
      </c>
      <c r="N6" s="340"/>
      <c r="O6" s="341"/>
      <c r="P6" s="339" t="s">
        <v>3</v>
      </c>
      <c r="Q6" s="340"/>
      <c r="R6" s="341"/>
      <c r="S6" s="339" t="s">
        <v>4</v>
      </c>
      <c r="T6" s="340"/>
      <c r="U6" s="341"/>
      <c r="V6" s="339" t="s">
        <v>1081</v>
      </c>
      <c r="W6" s="340"/>
      <c r="X6" s="341"/>
      <c r="Y6" s="339" t="s">
        <v>1082</v>
      </c>
      <c r="Z6" s="340"/>
      <c r="AA6" s="341"/>
      <c r="AB6" s="339" t="s">
        <v>1083</v>
      </c>
      <c r="AC6" s="340"/>
      <c r="AD6" s="341"/>
      <c r="AE6" s="373" t="s">
        <v>66</v>
      </c>
      <c r="AF6" s="373"/>
      <c r="AG6" s="373"/>
      <c r="AH6" s="367" t="s">
        <v>2</v>
      </c>
      <c r="AI6" s="368"/>
      <c r="AJ6" s="369"/>
      <c r="AK6" s="367" t="s">
        <v>3</v>
      </c>
      <c r="AL6" s="368"/>
      <c r="AM6" s="369"/>
      <c r="AN6" s="367" t="s">
        <v>4</v>
      </c>
      <c r="AO6" s="368"/>
      <c r="AP6" s="369"/>
      <c r="AQ6" s="367" t="s">
        <v>1214</v>
      </c>
      <c r="AR6" s="368"/>
      <c r="AS6" s="369"/>
      <c r="AT6" s="367" t="s">
        <v>1082</v>
      </c>
      <c r="AU6" s="368"/>
      <c r="AV6" s="369"/>
      <c r="AW6" s="367" t="s">
        <v>1083</v>
      </c>
      <c r="AX6" s="368"/>
      <c r="AY6" s="369"/>
      <c r="AZ6" s="338" t="s">
        <v>67</v>
      </c>
      <c r="BA6" s="338"/>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row>
    <row r="7" spans="1:138" s="11" customFormat="1" ht="49.5" customHeight="1" x14ac:dyDescent="0.2">
      <c r="A7" s="170" t="s">
        <v>68</v>
      </c>
      <c r="B7" s="170" t="s">
        <v>69</v>
      </c>
      <c r="C7" s="170" t="s">
        <v>70</v>
      </c>
      <c r="D7" s="170" t="s">
        <v>71</v>
      </c>
      <c r="E7" s="170" t="s">
        <v>72</v>
      </c>
      <c r="F7" s="170" t="s">
        <v>73</v>
      </c>
      <c r="G7" s="170" t="s">
        <v>74</v>
      </c>
      <c r="H7" s="20" t="s">
        <v>75</v>
      </c>
      <c r="I7" s="20" t="s">
        <v>76</v>
      </c>
      <c r="J7" s="170" t="s">
        <v>65</v>
      </c>
      <c r="K7" s="170" t="s">
        <v>77</v>
      </c>
      <c r="L7" s="170" t="s">
        <v>78</v>
      </c>
      <c r="M7" s="170" t="s">
        <v>79</v>
      </c>
      <c r="N7" s="170" t="s">
        <v>80</v>
      </c>
      <c r="O7" s="170" t="s">
        <v>81</v>
      </c>
      <c r="P7" s="170" t="s">
        <v>79</v>
      </c>
      <c r="Q7" s="170" t="s">
        <v>80</v>
      </c>
      <c r="R7" s="170" t="s">
        <v>81</v>
      </c>
      <c r="S7" s="170" t="s">
        <v>79</v>
      </c>
      <c r="T7" s="170" t="s">
        <v>80</v>
      </c>
      <c r="U7" s="170" t="s">
        <v>81</v>
      </c>
      <c r="V7" s="185" t="s">
        <v>79</v>
      </c>
      <c r="W7" s="185" t="s">
        <v>80</v>
      </c>
      <c r="X7" s="185" t="s">
        <v>81</v>
      </c>
      <c r="Y7" s="185" t="s">
        <v>79</v>
      </c>
      <c r="Z7" s="185" t="s">
        <v>80</v>
      </c>
      <c r="AA7" s="185" t="s">
        <v>81</v>
      </c>
      <c r="AB7" s="185" t="s">
        <v>79</v>
      </c>
      <c r="AC7" s="185" t="s">
        <v>80</v>
      </c>
      <c r="AD7" s="185" t="s">
        <v>81</v>
      </c>
      <c r="AE7" s="308" t="s">
        <v>66</v>
      </c>
      <c r="AF7" s="308" t="s">
        <v>82</v>
      </c>
      <c r="AG7" s="308" t="s">
        <v>83</v>
      </c>
      <c r="AH7" s="308" t="s">
        <v>79</v>
      </c>
      <c r="AI7" s="308" t="s">
        <v>80</v>
      </c>
      <c r="AJ7" s="308" t="s">
        <v>81</v>
      </c>
      <c r="AK7" s="308" t="s">
        <v>79</v>
      </c>
      <c r="AL7" s="308" t="s">
        <v>80</v>
      </c>
      <c r="AM7" s="308" t="s">
        <v>81</v>
      </c>
      <c r="AN7" s="308" t="s">
        <v>79</v>
      </c>
      <c r="AO7" s="308" t="s">
        <v>80</v>
      </c>
      <c r="AP7" s="308" t="s">
        <v>81</v>
      </c>
      <c r="AQ7" s="308" t="s">
        <v>79</v>
      </c>
      <c r="AR7" s="308" t="s">
        <v>80</v>
      </c>
      <c r="AS7" s="308" t="s">
        <v>81</v>
      </c>
      <c r="AT7" s="308" t="s">
        <v>79</v>
      </c>
      <c r="AU7" s="308" t="s">
        <v>80</v>
      </c>
      <c r="AV7" s="308" t="s">
        <v>81</v>
      </c>
      <c r="AW7" s="308" t="s">
        <v>79</v>
      </c>
      <c r="AX7" s="308" t="s">
        <v>80</v>
      </c>
      <c r="AY7" s="308" t="s">
        <v>81</v>
      </c>
      <c r="AZ7" s="170" t="s">
        <v>84</v>
      </c>
      <c r="BA7" s="170" t="s">
        <v>85</v>
      </c>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row>
    <row r="8" spans="1:138" s="5" customFormat="1" ht="33.75" customHeight="1" x14ac:dyDescent="0.2">
      <c r="A8" s="347" t="s">
        <v>86</v>
      </c>
      <c r="B8" s="347" t="s">
        <v>87</v>
      </c>
      <c r="C8" s="347" t="s">
        <v>1645</v>
      </c>
      <c r="D8" s="347" t="s">
        <v>1038</v>
      </c>
      <c r="E8" s="408" t="s">
        <v>1039</v>
      </c>
      <c r="F8" s="347" t="s">
        <v>806</v>
      </c>
      <c r="G8" s="347" t="s">
        <v>807</v>
      </c>
      <c r="H8" s="345">
        <v>210736667</v>
      </c>
      <c r="I8" s="22">
        <v>83066667</v>
      </c>
      <c r="J8" s="171" t="s">
        <v>1040</v>
      </c>
      <c r="K8" s="171" t="s">
        <v>1041</v>
      </c>
      <c r="L8" s="177">
        <v>1</v>
      </c>
      <c r="M8" s="183">
        <v>1</v>
      </c>
      <c r="N8" s="80">
        <f>L8/12</f>
        <v>8.3333333333333329E-2</v>
      </c>
      <c r="O8" s="183" t="s">
        <v>1042</v>
      </c>
      <c r="P8" s="183">
        <v>1</v>
      </c>
      <c r="Q8" s="80">
        <f>$N$8*2</f>
        <v>0.16666666666666666</v>
      </c>
      <c r="R8" s="183" t="s">
        <v>1043</v>
      </c>
      <c r="S8" s="183">
        <v>1</v>
      </c>
      <c r="T8" s="80">
        <f>$N$8*3</f>
        <v>0.25</v>
      </c>
      <c r="U8" s="183" t="s">
        <v>1044</v>
      </c>
      <c r="V8" s="188">
        <v>1</v>
      </c>
      <c r="W8" s="80">
        <f>(V8/12)*4</f>
        <v>0.33333333333333331</v>
      </c>
      <c r="X8" s="188" t="s">
        <v>1215</v>
      </c>
      <c r="Y8" s="188">
        <v>1</v>
      </c>
      <c r="Z8" s="80">
        <f>(Y8/12)*5</f>
        <v>0.41666666666666663</v>
      </c>
      <c r="AA8" s="188" t="s">
        <v>1217</v>
      </c>
      <c r="AB8" s="188">
        <v>1</v>
      </c>
      <c r="AC8" s="80">
        <f>(AB8/12)*6</f>
        <v>0.5</v>
      </c>
      <c r="AD8" s="188" t="s">
        <v>1220</v>
      </c>
      <c r="AE8" s="351" t="s">
        <v>95</v>
      </c>
      <c r="AF8" s="351"/>
      <c r="AG8" s="351"/>
      <c r="AH8" s="89"/>
      <c r="AI8" s="90"/>
      <c r="AJ8" s="89"/>
      <c r="AK8" s="89"/>
      <c r="AL8" s="90"/>
      <c r="AM8" s="89"/>
      <c r="AN8" s="89"/>
      <c r="AO8" s="90"/>
      <c r="AP8" s="89"/>
      <c r="AQ8" s="89"/>
      <c r="AR8" s="90"/>
      <c r="AS8" s="89"/>
      <c r="AT8" s="89"/>
      <c r="AU8" s="90"/>
      <c r="AV8" s="89"/>
      <c r="AW8" s="89"/>
      <c r="AX8" s="90"/>
      <c r="AY8" s="89"/>
      <c r="AZ8" s="13" t="s">
        <v>924</v>
      </c>
      <c r="BA8" s="13" t="s">
        <v>925</v>
      </c>
    </row>
    <row r="9" spans="1:138" s="5" customFormat="1" ht="84.75" customHeight="1" x14ac:dyDescent="0.2">
      <c r="A9" s="366"/>
      <c r="B9" s="366"/>
      <c r="C9" s="366"/>
      <c r="D9" s="366"/>
      <c r="E9" s="409"/>
      <c r="F9" s="366"/>
      <c r="G9" s="366"/>
      <c r="H9" s="372"/>
      <c r="I9" s="22">
        <v>44370000</v>
      </c>
      <c r="J9" s="171" t="s">
        <v>1045</v>
      </c>
      <c r="K9" s="171" t="s">
        <v>1046</v>
      </c>
      <c r="L9" s="177">
        <v>1</v>
      </c>
      <c r="M9" s="183">
        <v>1</v>
      </c>
      <c r="N9" s="80">
        <f>L9/12</f>
        <v>8.3333333333333329E-2</v>
      </c>
      <c r="O9" s="183" t="s">
        <v>1047</v>
      </c>
      <c r="P9" s="183">
        <v>1</v>
      </c>
      <c r="Q9" s="80">
        <f>$N$8*2</f>
        <v>0.16666666666666666</v>
      </c>
      <c r="R9" s="183" t="s">
        <v>1048</v>
      </c>
      <c r="S9" s="183">
        <v>1</v>
      </c>
      <c r="T9" s="80">
        <f>$N$8*3</f>
        <v>0.25</v>
      </c>
      <c r="U9" s="183" t="s">
        <v>1049</v>
      </c>
      <c r="V9" s="188">
        <v>1</v>
      </c>
      <c r="W9" s="80">
        <f>(V9/12)*4</f>
        <v>0.33333333333333331</v>
      </c>
      <c r="X9" s="188" t="s">
        <v>1216</v>
      </c>
      <c r="Y9" s="188">
        <v>1</v>
      </c>
      <c r="Z9" s="80">
        <f>(Y9/12)*5</f>
        <v>0.41666666666666663</v>
      </c>
      <c r="AA9" s="188" t="s">
        <v>1216</v>
      </c>
      <c r="AB9" s="188">
        <v>1</v>
      </c>
      <c r="AC9" s="80">
        <f>(AB9/12)*6</f>
        <v>0.5</v>
      </c>
      <c r="AD9" s="188" t="s">
        <v>1218</v>
      </c>
      <c r="AE9" s="351" t="s">
        <v>95</v>
      </c>
      <c r="AF9" s="351"/>
      <c r="AG9" s="351"/>
      <c r="AH9" s="89"/>
      <c r="AI9" s="90"/>
      <c r="AJ9" s="89"/>
      <c r="AK9" s="89"/>
      <c r="AL9" s="90"/>
      <c r="AM9" s="89"/>
      <c r="AN9" s="89"/>
      <c r="AO9" s="90"/>
      <c r="AP9" s="89"/>
      <c r="AQ9" s="89"/>
      <c r="AR9" s="90"/>
      <c r="AS9" s="89"/>
      <c r="AT9" s="89"/>
      <c r="AU9" s="90"/>
      <c r="AV9" s="89"/>
      <c r="AW9" s="89"/>
      <c r="AX9" s="90"/>
      <c r="AY9" s="89"/>
      <c r="AZ9" s="13" t="s">
        <v>924</v>
      </c>
      <c r="BA9" s="13" t="s">
        <v>1050</v>
      </c>
    </row>
    <row r="10" spans="1:138" s="5" customFormat="1" ht="53.45" customHeight="1" x14ac:dyDescent="0.2">
      <c r="A10" s="366"/>
      <c r="B10" s="366"/>
      <c r="C10" s="366"/>
      <c r="D10" s="366"/>
      <c r="E10" s="409"/>
      <c r="F10" s="366"/>
      <c r="G10" s="366"/>
      <c r="H10" s="372"/>
      <c r="I10" s="345">
        <v>83300000</v>
      </c>
      <c r="J10" s="347" t="s">
        <v>1051</v>
      </c>
      <c r="K10" s="347" t="s">
        <v>1052</v>
      </c>
      <c r="L10" s="349">
        <v>1</v>
      </c>
      <c r="M10" s="342"/>
      <c r="N10" s="342"/>
      <c r="O10" s="342" t="s">
        <v>1053</v>
      </c>
      <c r="P10" s="342"/>
      <c r="Q10" s="342"/>
      <c r="R10" s="342" t="s">
        <v>1053</v>
      </c>
      <c r="S10" s="342">
        <v>0.25</v>
      </c>
      <c r="T10" s="342">
        <v>0.25</v>
      </c>
      <c r="U10" s="342" t="s">
        <v>1054</v>
      </c>
      <c r="V10" s="342">
        <v>0.25</v>
      </c>
      <c r="W10" s="342">
        <v>0.25</v>
      </c>
      <c r="X10" s="342" t="s">
        <v>1053</v>
      </c>
      <c r="Y10" s="342">
        <v>0.25</v>
      </c>
      <c r="Z10" s="342">
        <v>0.25</v>
      </c>
      <c r="AA10" s="342" t="s">
        <v>1053</v>
      </c>
      <c r="AB10" s="342">
        <v>0.5</v>
      </c>
      <c r="AC10" s="342">
        <v>0.5</v>
      </c>
      <c r="AD10" s="342" t="s">
        <v>1219</v>
      </c>
      <c r="AE10" s="23" t="s">
        <v>1055</v>
      </c>
      <c r="AF10" s="23" t="s">
        <v>1056</v>
      </c>
      <c r="AG10" s="183">
        <v>1</v>
      </c>
      <c r="AH10" s="183"/>
      <c r="AI10" s="80"/>
      <c r="AJ10" s="183" t="s">
        <v>1053</v>
      </c>
      <c r="AK10" s="183"/>
      <c r="AL10" s="80"/>
      <c r="AM10" s="183" t="s">
        <v>1053</v>
      </c>
      <c r="AN10" s="183">
        <v>0.4</v>
      </c>
      <c r="AO10" s="80">
        <v>0.4</v>
      </c>
      <c r="AP10" s="183" t="s">
        <v>1057</v>
      </c>
      <c r="AQ10" s="188">
        <v>0.4</v>
      </c>
      <c r="AR10" s="80">
        <v>0.4</v>
      </c>
      <c r="AS10" s="188" t="s">
        <v>1053</v>
      </c>
      <c r="AT10" s="188">
        <v>0.4</v>
      </c>
      <c r="AU10" s="80">
        <v>0.4</v>
      </c>
      <c r="AV10" s="188" t="s">
        <v>1053</v>
      </c>
      <c r="AW10" s="188">
        <v>0.6</v>
      </c>
      <c r="AX10" s="80">
        <f>AW10</f>
        <v>0.6</v>
      </c>
      <c r="AY10" s="188" t="s">
        <v>1224</v>
      </c>
      <c r="AZ10" s="13" t="s">
        <v>924</v>
      </c>
      <c r="BA10" s="13" t="s">
        <v>925</v>
      </c>
    </row>
    <row r="11" spans="1:138" s="5" customFormat="1" ht="63" customHeight="1" x14ac:dyDescent="0.2">
      <c r="A11" s="348"/>
      <c r="B11" s="348"/>
      <c r="C11" s="348"/>
      <c r="D11" s="348"/>
      <c r="E11" s="410"/>
      <c r="F11" s="348"/>
      <c r="G11" s="348"/>
      <c r="H11" s="346"/>
      <c r="I11" s="346"/>
      <c r="J11" s="348"/>
      <c r="K11" s="348"/>
      <c r="L11" s="350"/>
      <c r="M11" s="343"/>
      <c r="N11" s="343"/>
      <c r="O11" s="343"/>
      <c r="P11" s="343"/>
      <c r="Q11" s="343"/>
      <c r="R11" s="343"/>
      <c r="S11" s="343"/>
      <c r="T11" s="343"/>
      <c r="U11" s="343"/>
      <c r="V11" s="343"/>
      <c r="W11" s="343"/>
      <c r="X11" s="343"/>
      <c r="Y11" s="343"/>
      <c r="Z11" s="343"/>
      <c r="AA11" s="343"/>
      <c r="AB11" s="343"/>
      <c r="AC11" s="343"/>
      <c r="AD11" s="343"/>
      <c r="AE11" s="23" t="s">
        <v>1058</v>
      </c>
      <c r="AF11" s="23" t="s">
        <v>1059</v>
      </c>
      <c r="AG11" s="172">
        <v>10</v>
      </c>
      <c r="AH11" s="172">
        <v>0</v>
      </c>
      <c r="AI11" s="172">
        <v>0</v>
      </c>
      <c r="AJ11" s="183" t="s">
        <v>1060</v>
      </c>
      <c r="AK11" s="172">
        <v>2</v>
      </c>
      <c r="AL11" s="172">
        <f>AK11/$AG$11</f>
        <v>0.2</v>
      </c>
      <c r="AM11" s="183" t="s">
        <v>1061</v>
      </c>
      <c r="AN11" s="172">
        <v>4</v>
      </c>
      <c r="AO11" s="172">
        <f>AN11/$AG$11</f>
        <v>0.4</v>
      </c>
      <c r="AP11" s="183" t="s">
        <v>1062</v>
      </c>
      <c r="AQ11" s="186">
        <v>6</v>
      </c>
      <c r="AR11" s="186">
        <f>AQ11/AG11</f>
        <v>0.6</v>
      </c>
      <c r="AS11" s="188" t="s">
        <v>1221</v>
      </c>
      <c r="AT11" s="186">
        <v>8</v>
      </c>
      <c r="AU11" s="186">
        <f>AT11/$AG$11</f>
        <v>0.8</v>
      </c>
      <c r="AV11" s="188" t="s">
        <v>1222</v>
      </c>
      <c r="AW11" s="186">
        <v>10</v>
      </c>
      <c r="AX11" s="186">
        <f>AW11/$AG$11</f>
        <v>1</v>
      </c>
      <c r="AY11" s="188" t="s">
        <v>1223</v>
      </c>
      <c r="AZ11" s="13" t="s">
        <v>924</v>
      </c>
      <c r="BA11" s="13" t="s">
        <v>925</v>
      </c>
    </row>
    <row r="12" spans="1:138" ht="75" x14ac:dyDescent="0.25">
      <c r="M12" s="71" t="s">
        <v>155</v>
      </c>
      <c r="N12" s="72">
        <f>AVERAGE(N8:N11)</f>
        <v>8.3333333333333329E-2</v>
      </c>
      <c r="P12" s="71" t="s">
        <v>155</v>
      </c>
      <c r="Q12" s="72">
        <f>AVERAGE(Q8:Q11)</f>
        <v>0.16666666666666666</v>
      </c>
      <c r="S12" s="71" t="s">
        <v>155</v>
      </c>
      <c r="T12" s="72">
        <f>AVERAGE(T8:T11)</f>
        <v>0.25</v>
      </c>
      <c r="V12" s="71" t="s">
        <v>155</v>
      </c>
      <c r="W12" s="72">
        <f>AVERAGE(W8:W11)</f>
        <v>0.30555555555555552</v>
      </c>
      <c r="Y12" s="71" t="s">
        <v>155</v>
      </c>
      <c r="Z12" s="72">
        <f>AVERAGE(Z8:Z11)</f>
        <v>0.3611111111111111</v>
      </c>
      <c r="AB12" s="71" t="s">
        <v>155</v>
      </c>
      <c r="AC12" s="72">
        <f>AVERAGE(AC8:AC11)</f>
        <v>0.5</v>
      </c>
      <c r="AH12" s="71" t="s">
        <v>156</v>
      </c>
      <c r="AI12" s="72">
        <f>AVERAGE(AI10:AI11)</f>
        <v>0</v>
      </c>
      <c r="AK12" s="71" t="s">
        <v>156</v>
      </c>
      <c r="AL12" s="72">
        <f>AVERAGE(AL10:AL11)</f>
        <v>0.2</v>
      </c>
      <c r="AN12" s="71" t="s">
        <v>156</v>
      </c>
      <c r="AO12" s="72">
        <f>AVERAGE(AO10:AO11)</f>
        <v>0.4</v>
      </c>
      <c r="AP12" s="9"/>
      <c r="AQ12" s="71" t="s">
        <v>156</v>
      </c>
      <c r="AR12" s="72">
        <f>AVERAGE(AR10:AR11)</f>
        <v>0.5</v>
      </c>
      <c r="AT12" s="71" t="s">
        <v>156</v>
      </c>
      <c r="AU12" s="72">
        <f>AVERAGE(AU10:AU11)</f>
        <v>0.60000000000000009</v>
      </c>
      <c r="AW12" s="71" t="s">
        <v>156</v>
      </c>
      <c r="AX12" s="72">
        <f>AVERAGE(AX10:AX11)</f>
        <v>0.8</v>
      </c>
      <c r="AY12" s="9"/>
      <c r="AZ12" s="9"/>
      <c r="BA12" s="9"/>
      <c r="EE12"/>
      <c r="EF12"/>
      <c r="EG12"/>
      <c r="EH12"/>
    </row>
    <row r="13" spans="1:138" s="5" customFormat="1" ht="38.25" customHeight="1" x14ac:dyDescent="0.25">
      <c r="A13"/>
      <c r="B13"/>
      <c r="C13" s="4"/>
      <c r="D13" s="4"/>
      <c r="E13" s="26"/>
      <c r="F13" s="4"/>
      <c r="G13" s="4"/>
      <c r="H13" s="1"/>
      <c r="I13" s="1"/>
      <c r="J13" s="4"/>
      <c r="K13" s="4"/>
      <c r="L13" s="6"/>
      <c r="M13" s="4"/>
      <c r="N13" s="4"/>
      <c r="O13" s="6"/>
      <c r="P13" s="4"/>
      <c r="Q13" s="4"/>
      <c r="R13" s="6"/>
      <c r="S13" s="4"/>
      <c r="T13" s="4"/>
      <c r="U13" s="6"/>
      <c r="V13" s="4"/>
      <c r="W13" s="4"/>
      <c r="X13" s="6"/>
      <c r="Y13" s="4"/>
      <c r="Z13" s="4"/>
      <c r="AA13" s="6"/>
      <c r="AB13" s="4"/>
      <c r="AC13" s="4"/>
      <c r="AD13" s="6"/>
      <c r="AE13" s="3"/>
      <c r="AF13" s="3"/>
      <c r="AG13" s="8"/>
      <c r="AH13" s="4"/>
      <c r="AI13" s="4"/>
      <c r="AJ13" s="6"/>
      <c r="AK13" s="4"/>
      <c r="AL13" s="4"/>
      <c r="AM13" s="6"/>
      <c r="AN13" s="4"/>
      <c r="AO13" s="4"/>
      <c r="AP13" s="6"/>
      <c r="AQ13" s="4"/>
      <c r="AR13" s="4"/>
      <c r="AS13" s="6"/>
      <c r="AT13" s="4"/>
      <c r="AU13" s="4"/>
      <c r="AV13" s="6"/>
      <c r="AW13" s="4"/>
      <c r="AX13" s="4"/>
      <c r="AY13" s="6"/>
      <c r="AZ13" s="12"/>
      <c r="BA13" s="12"/>
    </row>
    <row r="14" spans="1:138" ht="38.25" customHeight="1" x14ac:dyDescent="0.25">
      <c r="E14" s="26"/>
    </row>
    <row r="15" spans="1:138" ht="38.25" customHeight="1" x14ac:dyDescent="0.25">
      <c r="A15" t="s">
        <v>290</v>
      </c>
      <c r="E15" s="26"/>
    </row>
    <row r="16" spans="1:138" x14ac:dyDescent="0.25">
      <c r="E16" s="26"/>
    </row>
    <row r="17" spans="5:5" x14ac:dyDescent="0.25">
      <c r="E17" s="26"/>
    </row>
    <row r="18" spans="5:5" x14ac:dyDescent="0.25">
      <c r="E18" s="26"/>
    </row>
    <row r="19" spans="5:5" x14ac:dyDescent="0.25">
      <c r="E19" s="26"/>
    </row>
  </sheetData>
  <autoFilter ref="A7:AZ15" xr:uid="{00000000-0009-0000-0000-000000000000}"/>
  <mergeCells count="49">
    <mergeCell ref="A8:A11"/>
    <mergeCell ref="B8:B11"/>
    <mergeCell ref="C8:C11"/>
    <mergeCell ref="D8:D11"/>
    <mergeCell ref="E8:E11"/>
    <mergeCell ref="AA10:AA11"/>
    <mergeCell ref="AB10:AB11"/>
    <mergeCell ref="AC10:AC11"/>
    <mergeCell ref="AZ6:BA6"/>
    <mergeCell ref="P6:R6"/>
    <mergeCell ref="S6:U6"/>
    <mergeCell ref="AE6:AG6"/>
    <mergeCell ref="AH6:AJ6"/>
    <mergeCell ref="AK6:AM6"/>
    <mergeCell ref="AN6:AP6"/>
    <mergeCell ref="AQ6:AS6"/>
    <mergeCell ref="AT6:AV6"/>
    <mergeCell ref="AW6:AY6"/>
    <mergeCell ref="V6:X6"/>
    <mergeCell ref="Y6:AA6"/>
    <mergeCell ref="AB6:AD6"/>
    <mergeCell ref="S10:S11"/>
    <mergeCell ref="T10:T11"/>
    <mergeCell ref="U10:U11"/>
    <mergeCell ref="N10:N11"/>
    <mergeCell ref="O10:O11"/>
    <mergeCell ref="P10:P11"/>
    <mergeCell ref="Q10:Q11"/>
    <mergeCell ref="I10:I11"/>
    <mergeCell ref="J10:J11"/>
    <mergeCell ref="K10:K11"/>
    <mergeCell ref="L10:L11"/>
    <mergeCell ref="R10:R11"/>
    <mergeCell ref="M10:M11"/>
    <mergeCell ref="D6:E6"/>
    <mergeCell ref="F6:I6"/>
    <mergeCell ref="J6:L6"/>
    <mergeCell ref="M6:O6"/>
    <mergeCell ref="AE8:AG8"/>
    <mergeCell ref="F8:F11"/>
    <mergeCell ref="G8:G11"/>
    <mergeCell ref="H8:H11"/>
    <mergeCell ref="AD10:AD11"/>
    <mergeCell ref="AE9:AG9"/>
    <mergeCell ref="V10:V11"/>
    <mergeCell ref="W10:W11"/>
    <mergeCell ref="X10:X11"/>
    <mergeCell ref="Y10:Y11"/>
    <mergeCell ref="Z10:Z11"/>
  </mergeCells>
  <conditionalFormatting sqref="AY10:AY12">
    <cfRule type="duplicateValues" dxfId="0" priority="1"/>
  </conditionalFormatting>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A0F9F-9B4B-43C2-AE93-092812090557}">
  <sheetPr>
    <tabColor theme="7" tint="-0.249977111117893"/>
  </sheetPr>
  <dimension ref="A1:EH18"/>
  <sheetViews>
    <sheetView showGridLines="0" tabSelected="1" topLeftCell="A2" zoomScale="80" zoomScaleNormal="80" workbookViewId="0">
      <selection activeCell="E11" sqref="E11"/>
    </sheetView>
  </sheetViews>
  <sheetFormatPr baseColWidth="10" defaultColWidth="11.42578125" defaultRowHeight="15" x14ac:dyDescent="0.25"/>
  <cols>
    <col min="1" max="1" width="45.42578125" customWidth="1"/>
    <col min="2" max="2" width="21.85546875" style="12" customWidth="1"/>
    <col min="3" max="3" width="24.5703125" style="12" customWidth="1"/>
    <col min="4" max="4" width="45.7109375" bestFit="1" customWidth="1"/>
    <col min="5" max="5" width="19.42578125" style="4" customWidth="1"/>
    <col min="6" max="6" width="15.140625" style="4" bestFit="1" customWidth="1"/>
    <col min="7" max="7" width="43" style="4" bestFit="1" customWidth="1"/>
    <col min="8" max="8" width="15.5703125" style="4" bestFit="1" customWidth="1"/>
    <col min="9" max="9" width="45.7109375" style="4" bestFit="1" customWidth="1"/>
    <col min="10" max="10" width="19.42578125" style="1" customWidth="1"/>
    <col min="11" max="11" width="15.5703125" style="1" customWidth="1"/>
    <col min="12" max="13" width="45.7109375" style="4" bestFit="1" customWidth="1"/>
    <col min="14" max="14" width="16.28515625" style="4" customWidth="1"/>
    <col min="15" max="15" width="15.28515625" style="4" customWidth="1"/>
    <col min="16" max="16" width="23.42578125" style="4" customWidth="1"/>
    <col min="17" max="17" width="17.7109375" style="6" bestFit="1" customWidth="1"/>
    <col min="18" max="18" width="15.28515625" style="4" customWidth="1"/>
    <col min="19" max="19" width="23.42578125" style="4" customWidth="1"/>
    <col min="20" max="20" width="17.7109375" style="6" bestFit="1" customWidth="1"/>
    <col min="21" max="21" width="15.28515625" style="4" customWidth="1"/>
    <col min="22" max="22" width="23.42578125" style="4" customWidth="1"/>
    <col min="23" max="23" width="17.7109375" style="6" bestFit="1" customWidth="1"/>
    <col min="24" max="24" width="15.28515625" style="4" customWidth="1"/>
    <col min="25" max="25" width="23.42578125" style="4" customWidth="1"/>
    <col min="26" max="26" width="17.7109375" style="6" bestFit="1" customWidth="1"/>
    <col min="27" max="27" width="15.28515625" style="4" customWidth="1"/>
    <col min="28" max="28" width="23.42578125" style="4" customWidth="1"/>
    <col min="29" max="29" width="17.7109375" style="6" bestFit="1" customWidth="1"/>
    <col min="30" max="30" width="15.28515625" style="4" customWidth="1"/>
    <col min="31" max="31" width="23.42578125" style="4" customWidth="1"/>
    <col min="32" max="32" width="17.7109375" style="6" bestFit="1" customWidth="1"/>
    <col min="33" max="34" width="45.7109375" style="3" bestFit="1" customWidth="1"/>
    <col min="35" max="35" width="15.28515625" style="8" bestFit="1" customWidth="1"/>
    <col min="36" max="36" width="15.28515625" style="4" customWidth="1"/>
    <col min="37" max="37" width="23.42578125" style="4" customWidth="1"/>
    <col min="38" max="38" width="17.7109375" style="6" bestFit="1" customWidth="1"/>
    <col min="39" max="39" width="15.28515625" style="4" customWidth="1"/>
    <col min="40" max="40" width="23.42578125" style="4" customWidth="1"/>
    <col min="41" max="41" width="17.7109375" style="6" bestFit="1" customWidth="1"/>
    <col min="42" max="42" width="15.28515625" style="4" customWidth="1"/>
    <col min="43" max="43" width="23.42578125" style="4" customWidth="1"/>
    <col min="44" max="44" width="17.7109375" style="6" bestFit="1" customWidth="1"/>
    <col min="45" max="45" width="15.28515625" style="4" customWidth="1"/>
    <col min="46" max="46" width="23.42578125" style="4" customWidth="1"/>
    <col min="47" max="47" width="17.7109375" style="6" bestFit="1" customWidth="1"/>
    <col min="48" max="48" width="15.28515625" style="4" customWidth="1"/>
    <col min="49" max="49" width="23.42578125" style="4" customWidth="1"/>
    <col min="50" max="50" width="17.7109375" style="6" bestFit="1" customWidth="1"/>
    <col min="51" max="51" width="15.28515625" style="4" customWidth="1"/>
    <col min="52" max="52" width="23.42578125" style="4" customWidth="1"/>
    <col min="53" max="53" width="17.7109375" style="6" bestFit="1" customWidth="1"/>
    <col min="54" max="138" width="11.42578125" style="9"/>
  </cols>
  <sheetData>
    <row r="1" spans="1:138" x14ac:dyDescent="0.25">
      <c r="J1"/>
      <c r="K1"/>
      <c r="AI1" s="158"/>
    </row>
    <row r="2" spans="1:138" x14ac:dyDescent="0.25">
      <c r="J2"/>
      <c r="K2"/>
      <c r="AI2" s="158"/>
    </row>
    <row r="3" spans="1:138" x14ac:dyDescent="0.25">
      <c r="J3"/>
      <c r="K3"/>
      <c r="AI3" s="158"/>
    </row>
    <row r="4" spans="1:138" x14ac:dyDescent="0.25">
      <c r="J4"/>
      <c r="K4"/>
      <c r="AI4" s="158"/>
    </row>
    <row r="5" spans="1:138" ht="30" customHeight="1" x14ac:dyDescent="0.25">
      <c r="J5"/>
      <c r="K5"/>
      <c r="AI5" s="158"/>
    </row>
    <row r="6" spans="1:138" s="11" customFormat="1" ht="30" x14ac:dyDescent="0.2">
      <c r="A6" s="210" t="s">
        <v>61</v>
      </c>
      <c r="B6" s="338" t="s">
        <v>67</v>
      </c>
      <c r="C6" s="338"/>
      <c r="D6" s="210" t="s">
        <v>62</v>
      </c>
      <c r="E6" s="305"/>
      <c r="F6" s="335" t="s">
        <v>63</v>
      </c>
      <c r="G6" s="336"/>
      <c r="H6" s="335" t="s">
        <v>64</v>
      </c>
      <c r="I6" s="337"/>
      <c r="J6" s="337"/>
      <c r="K6" s="336"/>
      <c r="L6" s="335" t="s">
        <v>65</v>
      </c>
      <c r="M6" s="337"/>
      <c r="N6" s="336"/>
      <c r="O6" s="339" t="s">
        <v>2</v>
      </c>
      <c r="P6" s="340"/>
      <c r="Q6" s="341"/>
      <c r="R6" s="339" t="s">
        <v>3</v>
      </c>
      <c r="S6" s="340"/>
      <c r="T6" s="341"/>
      <c r="U6" s="339" t="s">
        <v>4</v>
      </c>
      <c r="V6" s="340"/>
      <c r="W6" s="341"/>
      <c r="X6" s="339" t="s">
        <v>1081</v>
      </c>
      <c r="Y6" s="340"/>
      <c r="Z6" s="341"/>
      <c r="AA6" s="339" t="s">
        <v>1082</v>
      </c>
      <c r="AB6" s="340"/>
      <c r="AC6" s="341"/>
      <c r="AD6" s="339" t="s">
        <v>1083</v>
      </c>
      <c r="AE6" s="340"/>
      <c r="AF6" s="341"/>
      <c r="AG6" s="373" t="s">
        <v>66</v>
      </c>
      <c r="AH6" s="373"/>
      <c r="AI6" s="373"/>
      <c r="AJ6" s="367" t="s">
        <v>2</v>
      </c>
      <c r="AK6" s="368"/>
      <c r="AL6" s="369"/>
      <c r="AM6" s="367" t="s">
        <v>3</v>
      </c>
      <c r="AN6" s="368"/>
      <c r="AO6" s="369"/>
      <c r="AP6" s="367" t="s">
        <v>4</v>
      </c>
      <c r="AQ6" s="368"/>
      <c r="AR6" s="369"/>
      <c r="AS6" s="367" t="s">
        <v>1081</v>
      </c>
      <c r="AT6" s="368"/>
      <c r="AU6" s="369"/>
      <c r="AV6" s="367" t="s">
        <v>1082</v>
      </c>
      <c r="AW6" s="368"/>
      <c r="AX6" s="369"/>
      <c r="AY6" s="367" t="s">
        <v>1083</v>
      </c>
      <c r="AZ6" s="368"/>
      <c r="BA6" s="369"/>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row>
    <row r="7" spans="1:138" s="11" customFormat="1" ht="42.75" customHeight="1" x14ac:dyDescent="0.2">
      <c r="A7" s="210" t="s">
        <v>68</v>
      </c>
      <c r="B7" s="210" t="s">
        <v>84</v>
      </c>
      <c r="C7" s="210" t="s">
        <v>85</v>
      </c>
      <c r="D7" s="210" t="s">
        <v>69</v>
      </c>
      <c r="E7" s="210" t="s">
        <v>70</v>
      </c>
      <c r="F7" s="210" t="s">
        <v>71</v>
      </c>
      <c r="G7" s="210" t="s">
        <v>72</v>
      </c>
      <c r="H7" s="210" t="s">
        <v>73</v>
      </c>
      <c r="I7" s="210" t="s">
        <v>74</v>
      </c>
      <c r="J7" s="20" t="s">
        <v>75</v>
      </c>
      <c r="K7" s="20" t="s">
        <v>76</v>
      </c>
      <c r="L7" s="210" t="s">
        <v>65</v>
      </c>
      <c r="M7" s="210" t="s">
        <v>77</v>
      </c>
      <c r="N7" s="210" t="s">
        <v>78</v>
      </c>
      <c r="O7" s="210" t="s">
        <v>79</v>
      </c>
      <c r="P7" s="210" t="s">
        <v>80</v>
      </c>
      <c r="Q7" s="210" t="s">
        <v>81</v>
      </c>
      <c r="R7" s="210" t="s">
        <v>79</v>
      </c>
      <c r="S7" s="210" t="s">
        <v>80</v>
      </c>
      <c r="T7" s="210" t="s">
        <v>81</v>
      </c>
      <c r="U7" s="210" t="s">
        <v>79</v>
      </c>
      <c r="V7" s="210" t="s">
        <v>80</v>
      </c>
      <c r="W7" s="210" t="s">
        <v>81</v>
      </c>
      <c r="X7" s="210" t="s">
        <v>79</v>
      </c>
      <c r="Y7" s="210" t="s">
        <v>80</v>
      </c>
      <c r="Z7" s="210" t="s">
        <v>81</v>
      </c>
      <c r="AA7" s="210" t="s">
        <v>79</v>
      </c>
      <c r="AB7" s="210" t="s">
        <v>80</v>
      </c>
      <c r="AC7" s="210" t="s">
        <v>81</v>
      </c>
      <c r="AD7" s="210" t="s">
        <v>79</v>
      </c>
      <c r="AE7" s="210" t="s">
        <v>80</v>
      </c>
      <c r="AF7" s="210" t="s">
        <v>81</v>
      </c>
      <c r="AG7" s="308" t="s">
        <v>66</v>
      </c>
      <c r="AH7" s="308" t="s">
        <v>82</v>
      </c>
      <c r="AI7" s="308" t="s">
        <v>83</v>
      </c>
      <c r="AJ7" s="308" t="s">
        <v>79</v>
      </c>
      <c r="AK7" s="308" t="s">
        <v>80</v>
      </c>
      <c r="AL7" s="308" t="s">
        <v>81</v>
      </c>
      <c r="AM7" s="308" t="s">
        <v>79</v>
      </c>
      <c r="AN7" s="308" t="s">
        <v>80</v>
      </c>
      <c r="AO7" s="312" t="s">
        <v>81</v>
      </c>
      <c r="AP7" s="308" t="s">
        <v>79</v>
      </c>
      <c r="AQ7" s="308" t="s">
        <v>80</v>
      </c>
      <c r="AR7" s="308" t="s">
        <v>81</v>
      </c>
      <c r="AS7" s="308" t="s">
        <v>79</v>
      </c>
      <c r="AT7" s="308" t="s">
        <v>80</v>
      </c>
      <c r="AU7" s="308" t="s">
        <v>81</v>
      </c>
      <c r="AV7" s="308" t="s">
        <v>79</v>
      </c>
      <c r="AW7" s="308" t="s">
        <v>80</v>
      </c>
      <c r="AX7" s="308" t="s">
        <v>81</v>
      </c>
      <c r="AY7" s="308" t="s">
        <v>79</v>
      </c>
      <c r="AZ7" s="308" t="s">
        <v>80</v>
      </c>
      <c r="BA7" s="308" t="s">
        <v>81</v>
      </c>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row>
    <row r="8" spans="1:138" s="5" customFormat="1" ht="43.5" customHeight="1" x14ac:dyDescent="0.2">
      <c r="A8" s="471" t="s">
        <v>86</v>
      </c>
      <c r="B8" s="471" t="s">
        <v>96</v>
      </c>
      <c r="C8" s="471" t="s">
        <v>97</v>
      </c>
      <c r="D8" s="471" t="s">
        <v>87</v>
      </c>
      <c r="E8" s="472" t="s">
        <v>1633</v>
      </c>
      <c r="F8" s="471" t="s">
        <v>17</v>
      </c>
      <c r="G8" s="471" t="s">
        <v>1063</v>
      </c>
      <c r="H8" s="471" t="s">
        <v>806</v>
      </c>
      <c r="I8" s="471" t="s">
        <v>807</v>
      </c>
      <c r="J8" s="470">
        <v>584873425</v>
      </c>
      <c r="K8" s="470">
        <v>584873425</v>
      </c>
      <c r="L8" s="348" t="s">
        <v>1064</v>
      </c>
      <c r="M8" s="348" t="s">
        <v>1065</v>
      </c>
      <c r="N8" s="343">
        <v>0.9</v>
      </c>
      <c r="O8" s="343">
        <v>0.82</v>
      </c>
      <c r="P8" s="474">
        <v>0.91</v>
      </c>
      <c r="Q8" s="475" t="s">
        <v>1066</v>
      </c>
      <c r="R8" s="343">
        <v>0.77</v>
      </c>
      <c r="S8" s="477">
        <v>0.86</v>
      </c>
      <c r="T8" s="475" t="s">
        <v>1067</v>
      </c>
      <c r="U8" s="343">
        <v>0.93</v>
      </c>
      <c r="V8" s="477">
        <v>1.03</v>
      </c>
      <c r="W8" s="343" t="s">
        <v>1068</v>
      </c>
      <c r="X8" s="343">
        <v>0.92</v>
      </c>
      <c r="Y8" s="477">
        <v>1.02</v>
      </c>
      <c r="Z8" s="475" t="s">
        <v>1424</v>
      </c>
      <c r="AA8" s="343">
        <v>0.94</v>
      </c>
      <c r="AB8" s="477">
        <v>1.04</v>
      </c>
      <c r="AC8" s="475" t="s">
        <v>1425</v>
      </c>
      <c r="AD8" s="343">
        <v>0.95</v>
      </c>
      <c r="AE8" s="477">
        <v>1.06</v>
      </c>
      <c r="AF8" s="343" t="s">
        <v>1426</v>
      </c>
      <c r="AG8" s="217" t="s">
        <v>1069</v>
      </c>
      <c r="AH8" s="217" t="s">
        <v>1070</v>
      </c>
      <c r="AI8" s="212">
        <v>0.9</v>
      </c>
      <c r="AJ8" s="104">
        <v>0.83</v>
      </c>
      <c r="AK8" s="104">
        <v>0.93</v>
      </c>
      <c r="AL8" s="104" t="s">
        <v>1071</v>
      </c>
      <c r="AM8" s="104">
        <v>0.75</v>
      </c>
      <c r="AN8" s="104">
        <v>0.83</v>
      </c>
      <c r="AO8" s="81" t="s">
        <v>1072</v>
      </c>
      <c r="AP8" s="81">
        <v>0.96</v>
      </c>
      <c r="AQ8" s="81">
        <v>1.07</v>
      </c>
      <c r="AR8" s="81" t="s">
        <v>1073</v>
      </c>
      <c r="AS8" s="104">
        <v>0.94</v>
      </c>
      <c r="AT8" s="104">
        <v>1.04</v>
      </c>
      <c r="AU8" s="104" t="s">
        <v>1427</v>
      </c>
      <c r="AV8" s="104">
        <v>0.95</v>
      </c>
      <c r="AW8" s="104">
        <v>1.06</v>
      </c>
      <c r="AX8" s="81" t="s">
        <v>1428</v>
      </c>
      <c r="AY8" s="81">
        <v>0.96</v>
      </c>
      <c r="AZ8" s="81">
        <v>1.06</v>
      </c>
      <c r="BA8" s="81" t="s">
        <v>1429</v>
      </c>
    </row>
    <row r="9" spans="1:138" s="5" customFormat="1" ht="33.75" customHeight="1" x14ac:dyDescent="0.2">
      <c r="A9" s="366"/>
      <c r="B9" s="366"/>
      <c r="C9" s="366"/>
      <c r="D9" s="366"/>
      <c r="E9" s="409"/>
      <c r="F9" s="366"/>
      <c r="G9" s="366"/>
      <c r="H9" s="366"/>
      <c r="I9" s="366"/>
      <c r="J9" s="372"/>
      <c r="K9" s="372"/>
      <c r="L9" s="351" t="s">
        <v>1064</v>
      </c>
      <c r="M9" s="351" t="s">
        <v>1065</v>
      </c>
      <c r="N9" s="473">
        <v>0.9</v>
      </c>
      <c r="O9" s="473"/>
      <c r="P9" s="356"/>
      <c r="Q9" s="476"/>
      <c r="R9" s="473"/>
      <c r="S9" s="343"/>
      <c r="T9" s="476"/>
      <c r="U9" s="473"/>
      <c r="V9" s="343"/>
      <c r="W9" s="473"/>
      <c r="X9" s="473"/>
      <c r="Y9" s="343"/>
      <c r="Z9" s="476"/>
      <c r="AA9" s="473"/>
      <c r="AB9" s="343"/>
      <c r="AC9" s="476"/>
      <c r="AD9" s="473"/>
      <c r="AE9" s="343"/>
      <c r="AF9" s="473"/>
      <c r="AG9" s="13" t="s">
        <v>1074</v>
      </c>
      <c r="AH9" s="13" t="s">
        <v>1075</v>
      </c>
      <c r="AI9" s="215">
        <v>0.9</v>
      </c>
      <c r="AJ9" s="81">
        <v>0.8</v>
      </c>
      <c r="AK9" s="81">
        <v>0.89</v>
      </c>
      <c r="AL9" s="81" t="s">
        <v>1076</v>
      </c>
      <c r="AM9" s="81">
        <v>0.79</v>
      </c>
      <c r="AN9" s="81">
        <v>0.87</v>
      </c>
      <c r="AO9" s="104" t="s">
        <v>1077</v>
      </c>
      <c r="AP9" s="104">
        <v>0.79</v>
      </c>
      <c r="AQ9" s="104">
        <v>0.87</v>
      </c>
      <c r="AR9" s="104" t="s">
        <v>1078</v>
      </c>
      <c r="AS9" s="81">
        <v>0.73</v>
      </c>
      <c r="AT9" s="81">
        <v>0.81</v>
      </c>
      <c r="AU9" s="81" t="s">
        <v>1430</v>
      </c>
      <c r="AV9" s="81">
        <v>0.74</v>
      </c>
      <c r="AW9" s="81">
        <v>0.82</v>
      </c>
      <c r="AX9" s="104" t="s">
        <v>1431</v>
      </c>
      <c r="AY9" s="104">
        <v>0.87</v>
      </c>
      <c r="AZ9" s="104">
        <v>0.96</v>
      </c>
      <c r="BA9" s="104" t="s">
        <v>1432</v>
      </c>
    </row>
    <row r="10" spans="1:138" s="5" customFormat="1" ht="57.75" customHeight="1" x14ac:dyDescent="0.2">
      <c r="A10" s="348"/>
      <c r="B10" s="348"/>
      <c r="C10" s="348"/>
      <c r="D10" s="348" t="s">
        <v>87</v>
      </c>
      <c r="E10" s="410"/>
      <c r="F10" s="348"/>
      <c r="G10" s="348"/>
      <c r="H10" s="348" t="s">
        <v>806</v>
      </c>
      <c r="I10" s="348" t="s">
        <v>807</v>
      </c>
      <c r="J10" s="346"/>
      <c r="K10" s="346"/>
      <c r="L10" s="211" t="s">
        <v>1079</v>
      </c>
      <c r="M10" s="211" t="s">
        <v>1080</v>
      </c>
      <c r="N10" s="218">
        <v>0.85</v>
      </c>
      <c r="O10" s="218"/>
      <c r="P10" s="80"/>
      <c r="Q10" s="218"/>
      <c r="R10" s="218"/>
      <c r="S10" s="80"/>
      <c r="T10" s="218"/>
      <c r="U10" s="218"/>
      <c r="V10" s="80"/>
      <c r="W10" s="218"/>
      <c r="X10" s="218"/>
      <c r="Y10" s="80"/>
      <c r="Z10" s="218"/>
      <c r="AA10" s="218"/>
      <c r="AB10" s="80"/>
      <c r="AC10" s="218"/>
      <c r="AD10" s="218"/>
      <c r="AE10" s="80"/>
      <c r="AF10" s="218"/>
      <c r="AG10" s="351" t="s">
        <v>95</v>
      </c>
      <c r="AH10" s="351"/>
      <c r="AI10" s="351"/>
      <c r="AJ10" s="89"/>
      <c r="AK10" s="90"/>
      <c r="AL10" s="89"/>
      <c r="AM10" s="89"/>
      <c r="AN10" s="90"/>
      <c r="AO10" s="89"/>
      <c r="AP10" s="89"/>
      <c r="AQ10" s="90"/>
      <c r="AR10" s="89"/>
      <c r="AS10" s="89"/>
      <c r="AT10" s="90"/>
      <c r="AU10" s="89"/>
      <c r="AV10" s="89"/>
      <c r="AW10" s="90"/>
      <c r="AX10" s="89"/>
      <c r="AY10" s="89"/>
      <c r="AZ10" s="90"/>
      <c r="BA10" s="89"/>
    </row>
    <row r="11" spans="1:138" ht="75" x14ac:dyDescent="0.25">
      <c r="E11" s="26"/>
      <c r="O11" s="71" t="s">
        <v>155</v>
      </c>
      <c r="P11" s="72">
        <f>AVERAGE(P8:P10)</f>
        <v>0.91</v>
      </c>
      <c r="R11" s="71" t="s">
        <v>155</v>
      </c>
      <c r="S11" s="72">
        <f>AVERAGE(S8:S10)</f>
        <v>0.86</v>
      </c>
      <c r="U11" s="71" t="s">
        <v>155</v>
      </c>
      <c r="V11" s="72">
        <f>AVERAGE(V8:V10)</f>
        <v>1.03</v>
      </c>
      <c r="X11" s="71" t="s">
        <v>155</v>
      </c>
      <c r="Y11" s="72">
        <f>AVERAGE(Y8:Y10)</f>
        <v>1.02</v>
      </c>
      <c r="AA11" s="71" t="s">
        <v>155</v>
      </c>
      <c r="AB11" s="72">
        <f>AVERAGE(AB8:AB10)</f>
        <v>1.04</v>
      </c>
      <c r="AD11" s="71" t="s">
        <v>155</v>
      </c>
      <c r="AE11" s="72">
        <f>AVERAGE(AE8:AE10)</f>
        <v>1.06</v>
      </c>
      <c r="AJ11" s="71" t="s">
        <v>156</v>
      </c>
      <c r="AK11" s="72">
        <f>AVERAGE(AK8:AK10)</f>
        <v>0.91</v>
      </c>
      <c r="AM11" s="71" t="s">
        <v>156</v>
      </c>
      <c r="AN11" s="72">
        <f>AVERAGE(AN8:AN10)</f>
        <v>0.85</v>
      </c>
      <c r="AP11" s="71" t="s">
        <v>156</v>
      </c>
      <c r="AQ11" s="72">
        <f>AVERAGE(AQ8:AQ10)</f>
        <v>0.97</v>
      </c>
      <c r="AS11" s="71" t="s">
        <v>156</v>
      </c>
      <c r="AT11" s="72">
        <f>AVERAGE(AT8:AT10)</f>
        <v>0.92500000000000004</v>
      </c>
      <c r="AV11" s="71" t="s">
        <v>156</v>
      </c>
      <c r="AW11" s="72">
        <f>AVERAGE(AW8:AW10)</f>
        <v>0.94</v>
      </c>
      <c r="AY11" s="71" t="s">
        <v>156</v>
      </c>
      <c r="AZ11" s="72">
        <f>AVERAGE(AZ8:AZ10)</f>
        <v>1.01</v>
      </c>
    </row>
    <row r="12" spans="1:138" x14ac:dyDescent="0.25">
      <c r="E12" s="26"/>
    </row>
    <row r="13" spans="1:138" x14ac:dyDescent="0.25">
      <c r="A13" t="s">
        <v>290</v>
      </c>
      <c r="E13" s="26"/>
    </row>
    <row r="14" spans="1:138" x14ac:dyDescent="0.25">
      <c r="E14" s="26"/>
    </row>
    <row r="15" spans="1:138" x14ac:dyDescent="0.25">
      <c r="E15" s="26"/>
    </row>
    <row r="16" spans="1:138" x14ac:dyDescent="0.25">
      <c r="E16" s="26"/>
    </row>
    <row r="17" spans="5:5" x14ac:dyDescent="0.25">
      <c r="E17" s="26"/>
    </row>
    <row r="18" spans="5:5" x14ac:dyDescent="0.25">
      <c r="E18" s="26"/>
    </row>
  </sheetData>
  <autoFilter ref="A7:AR10" xr:uid="{00000000-0009-0000-0000-00000C000000}"/>
  <mergeCells count="50">
    <mergeCell ref="AD8:AD9"/>
    <mergeCell ref="AE8:AE9"/>
    <mergeCell ref="AF8:AF9"/>
    <mergeCell ref="AG10:AI10"/>
    <mergeCell ref="X8:X9"/>
    <mergeCell ref="Y8:Y9"/>
    <mergeCell ref="Z8:Z9"/>
    <mergeCell ref="AA8:AA9"/>
    <mergeCell ref="AB8:AB9"/>
    <mergeCell ref="AC8:AC9"/>
    <mergeCell ref="W8:W9"/>
    <mergeCell ref="L8:L9"/>
    <mergeCell ref="M8:M9"/>
    <mergeCell ref="N8:N9"/>
    <mergeCell ref="O8:O9"/>
    <mergeCell ref="P8:P9"/>
    <mergeCell ref="Q8:Q9"/>
    <mergeCell ref="R8:R9"/>
    <mergeCell ref="S8:S9"/>
    <mergeCell ref="T8:T9"/>
    <mergeCell ref="U8:U9"/>
    <mergeCell ref="V8:V9"/>
    <mergeCell ref="K8:K10"/>
    <mergeCell ref="A8:A10"/>
    <mergeCell ref="B8:B10"/>
    <mergeCell ref="C8:C10"/>
    <mergeCell ref="D8:D10"/>
    <mergeCell ref="E8:E10"/>
    <mergeCell ref="F8:F10"/>
    <mergeCell ref="G8:G10"/>
    <mergeCell ref="H8:H10"/>
    <mergeCell ref="I8:I10"/>
    <mergeCell ref="J8:J10"/>
    <mergeCell ref="AY6:BA6"/>
    <mergeCell ref="R6:T6"/>
    <mergeCell ref="U6:W6"/>
    <mergeCell ref="X6:Z6"/>
    <mergeCell ref="AA6:AC6"/>
    <mergeCell ref="AD6:AF6"/>
    <mergeCell ref="AG6:AI6"/>
    <mergeCell ref="AJ6:AL6"/>
    <mergeCell ref="AM6:AO6"/>
    <mergeCell ref="AP6:AR6"/>
    <mergeCell ref="AS6:AU6"/>
    <mergeCell ref="AV6:AX6"/>
    <mergeCell ref="O6:Q6"/>
    <mergeCell ref="B6:C6"/>
    <mergeCell ref="F6:G6"/>
    <mergeCell ref="H6:K6"/>
    <mergeCell ref="L6:N6"/>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88FFD-7754-4353-88C6-2EC1C1705CBD}">
  <sheetPr>
    <tabColor theme="2" tint="-0.749992370372631"/>
  </sheetPr>
  <dimension ref="A1:DM19"/>
  <sheetViews>
    <sheetView showGridLines="0" zoomScale="80" zoomScaleNormal="80" workbookViewId="0">
      <selection activeCell="C8" sqref="C8:C9"/>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17.7109375" style="6" bestFit="1"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30" width="17.7109375" style="6" customWidth="1"/>
    <col min="31" max="31" width="30.140625" style="12" bestFit="1" customWidth="1"/>
    <col min="32" max="32" width="45.7109375" style="12" bestFit="1" customWidth="1"/>
    <col min="33" max="117" width="11.42578125" style="9"/>
  </cols>
  <sheetData>
    <row r="1" spans="1:117" x14ac:dyDescent="0.25">
      <c r="A1" s="2"/>
      <c r="B1" s="2"/>
      <c r="H1" s="2"/>
      <c r="I1" s="2"/>
    </row>
    <row r="2" spans="1:117" x14ac:dyDescent="0.25">
      <c r="A2" s="2"/>
      <c r="B2" s="2"/>
      <c r="H2" s="2"/>
      <c r="I2" s="2"/>
    </row>
    <row r="3" spans="1:117" x14ac:dyDescent="0.25">
      <c r="A3" s="2"/>
      <c r="B3" s="2"/>
      <c r="H3" s="2"/>
      <c r="I3" s="2"/>
    </row>
    <row r="4" spans="1:117" x14ac:dyDescent="0.25">
      <c r="A4" s="2"/>
      <c r="B4" s="2"/>
      <c r="H4" s="2"/>
      <c r="I4" s="2"/>
    </row>
    <row r="5" spans="1:117" x14ac:dyDescent="0.25">
      <c r="A5" s="14"/>
      <c r="B5" s="14"/>
      <c r="C5" s="15"/>
      <c r="D5" s="15"/>
      <c r="E5" s="15"/>
      <c r="F5" s="15"/>
      <c r="G5" s="15"/>
      <c r="H5" s="14"/>
      <c r="I5" s="14"/>
      <c r="J5" s="15"/>
      <c r="K5" s="15"/>
      <c r="L5" s="16"/>
      <c r="M5" s="15"/>
      <c r="N5" s="85"/>
      <c r="O5" s="16"/>
      <c r="P5" s="15"/>
      <c r="Q5" s="85"/>
      <c r="R5" s="16"/>
      <c r="S5" s="15"/>
      <c r="T5" s="85"/>
      <c r="U5" s="16"/>
      <c r="V5" s="16"/>
      <c r="W5" s="16"/>
      <c r="X5" s="16"/>
      <c r="Y5" s="16"/>
      <c r="Z5" s="16"/>
      <c r="AA5" s="16"/>
      <c r="AB5" s="16"/>
      <c r="AC5" s="16"/>
      <c r="AD5" s="16"/>
      <c r="AE5" s="19"/>
      <c r="AF5" s="19"/>
    </row>
    <row r="6" spans="1:117" s="11" customFormat="1" ht="30" x14ac:dyDescent="0.2">
      <c r="A6" s="170" t="s">
        <v>61</v>
      </c>
      <c r="B6" s="170" t="s">
        <v>62</v>
      </c>
      <c r="C6" s="305"/>
      <c r="D6" s="335" t="s">
        <v>63</v>
      </c>
      <c r="E6" s="336"/>
      <c r="F6" s="335" t="s">
        <v>64</v>
      </c>
      <c r="G6" s="337"/>
      <c r="H6" s="337"/>
      <c r="I6" s="336"/>
      <c r="J6" s="338" t="s">
        <v>65</v>
      </c>
      <c r="K6" s="338"/>
      <c r="L6" s="338"/>
      <c r="M6" s="339" t="s">
        <v>2</v>
      </c>
      <c r="N6" s="340"/>
      <c r="O6" s="341"/>
      <c r="P6" s="339" t="s">
        <v>3</v>
      </c>
      <c r="Q6" s="340"/>
      <c r="R6" s="341"/>
      <c r="S6" s="339" t="s">
        <v>4</v>
      </c>
      <c r="T6" s="340"/>
      <c r="U6" s="341"/>
      <c r="V6" s="339" t="s">
        <v>1081</v>
      </c>
      <c r="W6" s="340"/>
      <c r="X6" s="341"/>
      <c r="Y6" s="339" t="s">
        <v>1082</v>
      </c>
      <c r="Z6" s="340"/>
      <c r="AA6" s="341"/>
      <c r="AB6" s="339" t="s">
        <v>1083</v>
      </c>
      <c r="AC6" s="340"/>
      <c r="AD6" s="341"/>
      <c r="AE6" s="338" t="s">
        <v>67</v>
      </c>
      <c r="AF6" s="338"/>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row>
    <row r="7" spans="1:117" s="11" customFormat="1" ht="49.5" customHeight="1" x14ac:dyDescent="0.2">
      <c r="A7" s="170" t="s">
        <v>68</v>
      </c>
      <c r="B7" s="170" t="s">
        <v>69</v>
      </c>
      <c r="C7" s="170" t="s">
        <v>70</v>
      </c>
      <c r="D7" s="170" t="s">
        <v>71</v>
      </c>
      <c r="E7" s="170" t="s">
        <v>72</v>
      </c>
      <c r="F7" s="170" t="s">
        <v>73</v>
      </c>
      <c r="G7" s="170" t="s">
        <v>74</v>
      </c>
      <c r="H7" s="20" t="s">
        <v>75</v>
      </c>
      <c r="I7" s="20" t="s">
        <v>76</v>
      </c>
      <c r="J7" s="170" t="s">
        <v>65</v>
      </c>
      <c r="K7" s="170" t="s">
        <v>77</v>
      </c>
      <c r="L7" s="170" t="s">
        <v>78</v>
      </c>
      <c r="M7" s="170" t="s">
        <v>79</v>
      </c>
      <c r="N7" s="86" t="s">
        <v>80</v>
      </c>
      <c r="O7" s="170" t="s">
        <v>81</v>
      </c>
      <c r="P7" s="170" t="s">
        <v>79</v>
      </c>
      <c r="Q7" s="86" t="s">
        <v>80</v>
      </c>
      <c r="R7" s="170" t="s">
        <v>81</v>
      </c>
      <c r="S7" s="170" t="s">
        <v>79</v>
      </c>
      <c r="T7" s="86" t="s">
        <v>80</v>
      </c>
      <c r="U7" s="170" t="s">
        <v>81</v>
      </c>
      <c r="V7" s="189" t="s">
        <v>79</v>
      </c>
      <c r="W7" s="86" t="s">
        <v>80</v>
      </c>
      <c r="X7" s="189" t="s">
        <v>81</v>
      </c>
      <c r="Y7" s="189" t="s">
        <v>79</v>
      </c>
      <c r="Z7" s="86" t="s">
        <v>80</v>
      </c>
      <c r="AA7" s="189" t="s">
        <v>81</v>
      </c>
      <c r="AB7" s="189" t="s">
        <v>79</v>
      </c>
      <c r="AC7" s="86" t="s">
        <v>80</v>
      </c>
      <c r="AD7" s="189" t="s">
        <v>81</v>
      </c>
      <c r="AE7" s="170" t="s">
        <v>84</v>
      </c>
      <c r="AF7" s="170" t="s">
        <v>85</v>
      </c>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row>
    <row r="8" spans="1:117" s="5" customFormat="1" ht="33.75" customHeight="1" x14ac:dyDescent="0.2">
      <c r="A8" s="351" t="s">
        <v>86</v>
      </c>
      <c r="B8" s="351" t="s">
        <v>245</v>
      </c>
      <c r="C8" s="351" t="s">
        <v>11</v>
      </c>
      <c r="D8" s="351" t="s">
        <v>1036</v>
      </c>
      <c r="E8" s="344" t="s">
        <v>1036</v>
      </c>
      <c r="F8" s="171" t="s">
        <v>90</v>
      </c>
      <c r="G8" s="23" t="s">
        <v>293</v>
      </c>
      <c r="H8" s="345">
        <f>+I8+I9</f>
        <v>294365663</v>
      </c>
      <c r="I8" s="22">
        <v>100000000</v>
      </c>
      <c r="J8" s="347" t="s">
        <v>1037</v>
      </c>
      <c r="K8" s="347" t="s">
        <v>147</v>
      </c>
      <c r="L8" s="349">
        <v>1</v>
      </c>
      <c r="M8" s="342">
        <v>0</v>
      </c>
      <c r="N8" s="342">
        <v>0</v>
      </c>
      <c r="O8" s="342" t="s">
        <v>363</v>
      </c>
      <c r="P8" s="342">
        <v>0</v>
      </c>
      <c r="Q8" s="342">
        <v>0</v>
      </c>
      <c r="R8" s="342" t="s">
        <v>363</v>
      </c>
      <c r="S8" s="342">
        <v>0</v>
      </c>
      <c r="T8" s="342">
        <v>0</v>
      </c>
      <c r="U8" s="342" t="s">
        <v>363</v>
      </c>
      <c r="V8" s="342">
        <v>0</v>
      </c>
      <c r="W8" s="342">
        <v>0</v>
      </c>
      <c r="X8" s="342" t="s">
        <v>363</v>
      </c>
      <c r="Y8" s="342">
        <v>0</v>
      </c>
      <c r="Z8" s="342">
        <v>0</v>
      </c>
      <c r="AA8" s="342" t="s">
        <v>363</v>
      </c>
      <c r="AB8" s="342">
        <v>0.99</v>
      </c>
      <c r="AC8" s="342">
        <v>0.99</v>
      </c>
      <c r="AD8" s="342"/>
      <c r="AE8" s="352" t="s">
        <v>108</v>
      </c>
      <c r="AF8" s="352" t="s">
        <v>109</v>
      </c>
    </row>
    <row r="9" spans="1:117" s="5" customFormat="1" ht="33.75" customHeight="1" x14ac:dyDescent="0.2">
      <c r="A9" s="351"/>
      <c r="B9" s="351"/>
      <c r="C9" s="351"/>
      <c r="D9" s="351"/>
      <c r="E9" s="344"/>
      <c r="F9" s="171" t="s">
        <v>806</v>
      </c>
      <c r="G9" s="171" t="s">
        <v>807</v>
      </c>
      <c r="H9" s="346"/>
      <c r="I9" s="22">
        <v>194365663</v>
      </c>
      <c r="J9" s="348"/>
      <c r="K9" s="348"/>
      <c r="L9" s="350"/>
      <c r="M9" s="343"/>
      <c r="N9" s="343"/>
      <c r="O9" s="343"/>
      <c r="P9" s="343"/>
      <c r="Q9" s="343"/>
      <c r="R9" s="343"/>
      <c r="S9" s="343"/>
      <c r="T9" s="343"/>
      <c r="U9" s="343"/>
      <c r="V9" s="343"/>
      <c r="W9" s="343"/>
      <c r="X9" s="343"/>
      <c r="Y9" s="343"/>
      <c r="Z9" s="343"/>
      <c r="AA9" s="343"/>
      <c r="AB9" s="343"/>
      <c r="AC9" s="343"/>
      <c r="AD9" s="343"/>
      <c r="AE9" s="353"/>
      <c r="AF9" s="353"/>
    </row>
    <row r="10" spans="1:117" ht="75" x14ac:dyDescent="0.25">
      <c r="M10" s="71" t="s">
        <v>155</v>
      </c>
      <c r="N10" s="87">
        <f>AVERAGE(N8:N9)</f>
        <v>0</v>
      </c>
      <c r="P10" s="71" t="s">
        <v>155</v>
      </c>
      <c r="Q10" s="87">
        <f>AVERAGE(Q8:Q9)</f>
        <v>0</v>
      </c>
      <c r="S10" s="71" t="s">
        <v>155</v>
      </c>
      <c r="T10" s="87">
        <f>AVERAGE(T8:T9)</f>
        <v>0</v>
      </c>
      <c r="V10" s="71" t="s">
        <v>155</v>
      </c>
      <c r="W10" s="87">
        <f>AVERAGE(W8:W9)</f>
        <v>0</v>
      </c>
      <c r="Y10" s="71" t="s">
        <v>155</v>
      </c>
      <c r="Z10" s="87">
        <f>AVERAGE(Z8:Z9)</f>
        <v>0</v>
      </c>
      <c r="AB10" s="71" t="s">
        <v>155</v>
      </c>
      <c r="AC10" s="87">
        <f>AVERAGE(AC8:AC9)</f>
        <v>0.99</v>
      </c>
      <c r="AE10" s="9"/>
      <c r="AF10" s="9"/>
      <c r="DJ10"/>
      <c r="DK10"/>
      <c r="DL10"/>
      <c r="DM10"/>
    </row>
    <row r="11" spans="1:117" s="5" customFormat="1" ht="38.25" customHeight="1" x14ac:dyDescent="0.25">
      <c r="A11"/>
      <c r="B11"/>
      <c r="C11" s="4"/>
      <c r="D11" s="4"/>
      <c r="E11" s="26"/>
      <c r="F11" s="4"/>
      <c r="G11" s="4"/>
      <c r="H11" s="1"/>
      <c r="I11" s="1"/>
      <c r="J11" s="4"/>
      <c r="K11" s="4"/>
      <c r="L11" s="6"/>
      <c r="M11" s="4"/>
      <c r="N11" s="84"/>
      <c r="O11" s="6"/>
      <c r="P11" s="4"/>
      <c r="Q11" s="84"/>
      <c r="R11" s="6"/>
      <c r="S11" s="4"/>
      <c r="T11" s="84"/>
      <c r="U11" s="6"/>
      <c r="V11" s="6"/>
      <c r="W11" s="6"/>
      <c r="X11" s="6"/>
      <c r="Y11" s="6"/>
      <c r="Z11" s="6"/>
      <c r="AA11" s="6"/>
      <c r="AB11" s="6"/>
      <c r="AC11" s="6"/>
      <c r="AD11" s="6"/>
      <c r="AE11" s="12"/>
      <c r="AF11" s="12"/>
    </row>
    <row r="12" spans="1:117" ht="38.25" customHeight="1" x14ac:dyDescent="0.25">
      <c r="E12" s="26"/>
    </row>
    <row r="13" spans="1:117" ht="38.25" customHeight="1" x14ac:dyDescent="0.25">
      <c r="A13" t="s">
        <v>290</v>
      </c>
      <c r="E13" s="26"/>
    </row>
    <row r="14" spans="1:117" x14ac:dyDescent="0.25">
      <c r="E14" s="26"/>
    </row>
    <row r="15" spans="1:117" x14ac:dyDescent="0.25">
      <c r="E15" s="26"/>
    </row>
    <row r="16" spans="1:117" x14ac:dyDescent="0.25">
      <c r="E16" s="26"/>
    </row>
    <row r="17" spans="5:5" x14ac:dyDescent="0.25">
      <c r="E17" s="26"/>
    </row>
    <row r="18" spans="5:5" x14ac:dyDescent="0.25">
      <c r="E18" s="26"/>
    </row>
    <row r="19" spans="5:5" x14ac:dyDescent="0.25">
      <c r="E19" s="26"/>
    </row>
  </sheetData>
  <autoFilter ref="A7:AE13" xr:uid="{00000000-0009-0000-0000-000000000000}"/>
  <mergeCells count="39">
    <mergeCell ref="A8:A9"/>
    <mergeCell ref="B8:B9"/>
    <mergeCell ref="C8:C9"/>
    <mergeCell ref="D8:D9"/>
    <mergeCell ref="AE8:AE9"/>
    <mergeCell ref="M8:M9"/>
    <mergeCell ref="N8:N9"/>
    <mergeCell ref="O8:O9"/>
    <mergeCell ref="P8:P9"/>
    <mergeCell ref="Q8:Q9"/>
    <mergeCell ref="R8:R9"/>
    <mergeCell ref="S8:S9"/>
    <mergeCell ref="T8:T9"/>
    <mergeCell ref="U8:U9"/>
    <mergeCell ref="Z8:Z9"/>
    <mergeCell ref="AA8:AA9"/>
    <mergeCell ref="W8:W9"/>
    <mergeCell ref="X8:X9"/>
    <mergeCell ref="Y8:Y9"/>
    <mergeCell ref="AE6:AF6"/>
    <mergeCell ref="AB6:AD6"/>
    <mergeCell ref="V6:X6"/>
    <mergeCell ref="Y6:AA6"/>
    <mergeCell ref="AF8:AF9"/>
    <mergeCell ref="AB8:AB9"/>
    <mergeCell ref="AC8:AC9"/>
    <mergeCell ref="AD8:AD9"/>
    <mergeCell ref="D6:E6"/>
    <mergeCell ref="F6:I6"/>
    <mergeCell ref="J6:L6"/>
    <mergeCell ref="M6:O6"/>
    <mergeCell ref="V8:V9"/>
    <mergeCell ref="E8:E9"/>
    <mergeCell ref="S6:U6"/>
    <mergeCell ref="H8:H9"/>
    <mergeCell ref="J8:J9"/>
    <mergeCell ref="K8:K9"/>
    <mergeCell ref="L8:L9"/>
    <mergeCell ref="P6:R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A8CD-5B31-4306-ABDA-38EF01D8D33F}">
  <sheetPr>
    <tabColor theme="5" tint="-0.249977111117893"/>
  </sheetPr>
  <dimension ref="A1:EH32"/>
  <sheetViews>
    <sheetView showGridLines="0" topLeftCell="A5" zoomScale="80" zoomScaleNormal="80" workbookViewId="0">
      <selection activeCell="D5" sqref="D5"/>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5.140625" style="4" bestFit="1"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22.42578125" style="4" customWidth="1"/>
    <col min="14" max="14" width="23.42578125" style="4" customWidth="1"/>
    <col min="15" max="15" width="30.42578125" style="6" customWidth="1"/>
    <col min="16" max="16" width="15.28515625" style="4" customWidth="1"/>
    <col min="17" max="17" width="23.42578125" style="4" customWidth="1"/>
    <col min="18" max="18" width="41.5703125" style="6" customWidth="1"/>
    <col min="19" max="19" width="15.28515625" style="4" customWidth="1"/>
    <col min="20" max="20" width="23.42578125" style="4" customWidth="1"/>
    <col min="21" max="21" width="41.5703125" style="6" customWidth="1"/>
    <col min="22" max="22" width="26.42578125" style="6" bestFit="1" customWidth="1"/>
    <col min="23" max="23" width="25.7109375" style="6" customWidth="1"/>
    <col min="24" max="24" width="41.5703125" style="6" customWidth="1"/>
    <col min="25" max="25" width="26.42578125" style="6" bestFit="1" customWidth="1"/>
    <col min="26" max="26" width="21.42578125" style="6" customWidth="1"/>
    <col min="27" max="27" width="41.5703125" style="6" customWidth="1"/>
    <col min="28" max="28" width="26.42578125" style="6" bestFit="1" customWidth="1"/>
    <col min="29" max="30" width="41.5703125" style="6" customWidth="1"/>
    <col min="31" max="32" width="45.7109375" style="3" bestFit="1" customWidth="1"/>
    <col min="33" max="33" width="15.28515625" style="8" bestFit="1" customWidth="1"/>
    <col min="34" max="34" width="15.28515625" style="4" customWidth="1"/>
    <col min="35" max="35" width="23.42578125" style="4" customWidth="1"/>
    <col min="36" max="36" width="36.28515625" style="6" customWidth="1"/>
    <col min="37" max="37" width="15.28515625" style="4" customWidth="1"/>
    <col min="38" max="38" width="23.42578125" style="4" customWidth="1"/>
    <col min="39" max="39" width="38.7109375" style="6" customWidth="1"/>
    <col min="40" max="40" width="15.28515625" style="4" customWidth="1"/>
    <col min="41" max="41" width="23.42578125" style="4" customWidth="1"/>
    <col min="42" max="42" width="37.42578125" style="6" customWidth="1"/>
    <col min="43" max="43" width="18.7109375" style="6" customWidth="1"/>
    <col min="44" max="44" width="23.85546875" style="6" customWidth="1"/>
    <col min="45" max="45" width="37.42578125" style="6" customWidth="1"/>
    <col min="46" max="46" width="16.140625" style="6" customWidth="1"/>
    <col min="47" max="47" width="20.28515625" style="6" customWidth="1"/>
    <col min="48" max="48" width="37.42578125" style="6" customWidth="1"/>
    <col min="49" max="49" width="17.5703125" style="6" customWidth="1"/>
    <col min="50" max="50" width="17.28515625" style="6" customWidth="1"/>
    <col min="51" max="51" width="26" style="6" customWidth="1"/>
    <col min="52" max="52" width="30.140625" style="12" bestFit="1" customWidth="1"/>
    <col min="53" max="53" width="45.7109375" style="12" bestFit="1" customWidth="1"/>
    <col min="54" max="138" width="11.42578125" style="9"/>
  </cols>
  <sheetData>
    <row r="1" spans="1:138" x14ac:dyDescent="0.25">
      <c r="A1" s="2"/>
      <c r="B1" s="2"/>
      <c r="H1" s="2"/>
      <c r="I1" s="2"/>
      <c r="AG1" s="7"/>
    </row>
    <row r="2" spans="1:138" x14ac:dyDescent="0.25">
      <c r="A2" s="2"/>
      <c r="B2" s="2"/>
      <c r="H2" s="2"/>
      <c r="I2" s="2"/>
      <c r="AG2" s="7"/>
    </row>
    <row r="3" spans="1:138" x14ac:dyDescent="0.25">
      <c r="A3" s="2"/>
      <c r="B3" s="2"/>
      <c r="H3" s="2"/>
      <c r="I3" s="2"/>
      <c r="AG3" s="7"/>
    </row>
    <row r="4" spans="1:138" x14ac:dyDescent="0.25">
      <c r="A4" s="2"/>
      <c r="B4" s="2"/>
      <c r="H4" s="2"/>
      <c r="I4" s="2"/>
      <c r="AG4" s="7"/>
    </row>
    <row r="5" spans="1:138" x14ac:dyDescent="0.25">
      <c r="A5" s="14"/>
      <c r="B5" s="14"/>
      <c r="C5" s="15"/>
      <c r="D5" s="15"/>
      <c r="E5" s="15"/>
      <c r="F5" s="15"/>
      <c r="G5" s="15"/>
      <c r="H5" s="14"/>
      <c r="I5" s="14"/>
      <c r="J5" s="15"/>
      <c r="K5" s="15"/>
      <c r="L5" s="16"/>
      <c r="M5" s="15"/>
      <c r="N5" s="15"/>
      <c r="O5" s="16"/>
      <c r="P5" s="15"/>
      <c r="Q5" s="15"/>
      <c r="R5" s="16"/>
      <c r="S5" s="15"/>
      <c r="T5" s="15"/>
      <c r="U5" s="16"/>
      <c r="V5" s="16"/>
      <c r="W5" s="16"/>
      <c r="X5" s="16"/>
      <c r="Y5" s="16"/>
      <c r="Z5" s="16"/>
      <c r="AA5" s="16"/>
      <c r="AB5" s="16"/>
      <c r="AC5" s="16"/>
      <c r="AD5" s="16"/>
      <c r="AE5" s="17"/>
      <c r="AF5" s="17"/>
      <c r="AG5" s="18"/>
      <c r="AH5" s="15"/>
      <c r="AI5" s="15"/>
      <c r="AJ5" s="16"/>
      <c r="AK5" s="15"/>
      <c r="AL5" s="15"/>
      <c r="AM5" s="16"/>
      <c r="AN5" s="15"/>
      <c r="AO5" s="15"/>
      <c r="AP5" s="16"/>
      <c r="AQ5" s="16"/>
      <c r="AR5" s="16"/>
      <c r="AS5" s="16"/>
      <c r="AT5" s="16"/>
      <c r="AU5" s="16"/>
      <c r="AV5" s="16"/>
      <c r="AW5" s="16"/>
      <c r="AX5" s="16"/>
      <c r="AY5" s="16"/>
      <c r="AZ5" s="19"/>
      <c r="BA5" s="19"/>
    </row>
    <row r="6" spans="1:138" s="11" customFormat="1" ht="30" x14ac:dyDescent="0.2">
      <c r="A6" s="170" t="s">
        <v>61</v>
      </c>
      <c r="B6" s="170" t="s">
        <v>62</v>
      </c>
      <c r="C6" s="305"/>
      <c r="D6" s="335" t="s">
        <v>63</v>
      </c>
      <c r="E6" s="336"/>
      <c r="F6" s="335" t="s">
        <v>64</v>
      </c>
      <c r="G6" s="337"/>
      <c r="H6" s="337"/>
      <c r="I6" s="336"/>
      <c r="J6" s="338" t="s">
        <v>65</v>
      </c>
      <c r="K6" s="338"/>
      <c r="L6" s="338"/>
      <c r="M6" s="339" t="s">
        <v>2</v>
      </c>
      <c r="N6" s="340"/>
      <c r="O6" s="341"/>
      <c r="P6" s="339" t="s">
        <v>3</v>
      </c>
      <c r="Q6" s="340"/>
      <c r="R6" s="341"/>
      <c r="S6" s="339" t="s">
        <v>4</v>
      </c>
      <c r="T6" s="340"/>
      <c r="U6" s="341"/>
      <c r="V6" s="339" t="s">
        <v>1081</v>
      </c>
      <c r="W6" s="340"/>
      <c r="X6" s="341"/>
      <c r="Y6" s="339" t="s">
        <v>1082</v>
      </c>
      <c r="Z6" s="340"/>
      <c r="AA6" s="341"/>
      <c r="AB6" s="339" t="s">
        <v>1083</v>
      </c>
      <c r="AC6" s="340"/>
      <c r="AD6" s="341"/>
      <c r="AE6" s="373" t="s">
        <v>66</v>
      </c>
      <c r="AF6" s="373"/>
      <c r="AG6" s="373"/>
      <c r="AH6" s="367" t="s">
        <v>2</v>
      </c>
      <c r="AI6" s="368"/>
      <c r="AJ6" s="369"/>
      <c r="AK6" s="367" t="s">
        <v>3</v>
      </c>
      <c r="AL6" s="368"/>
      <c r="AM6" s="369"/>
      <c r="AN6" s="367" t="s">
        <v>4</v>
      </c>
      <c r="AO6" s="368"/>
      <c r="AP6" s="369"/>
      <c r="AQ6" s="360" t="s">
        <v>1081</v>
      </c>
      <c r="AR6" s="361"/>
      <c r="AS6" s="362"/>
      <c r="AT6" s="360" t="s">
        <v>1082</v>
      </c>
      <c r="AU6" s="361"/>
      <c r="AV6" s="362"/>
      <c r="AW6" s="360" t="s">
        <v>1083</v>
      </c>
      <c r="AX6" s="361"/>
      <c r="AY6" s="362"/>
      <c r="AZ6" s="338" t="s">
        <v>67</v>
      </c>
      <c r="BA6" s="338"/>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row>
    <row r="7" spans="1:138" s="11" customFormat="1" ht="49.5" customHeight="1" x14ac:dyDescent="0.2">
      <c r="A7" s="170" t="s">
        <v>68</v>
      </c>
      <c r="B7" s="170" t="s">
        <v>69</v>
      </c>
      <c r="C7" s="170" t="s">
        <v>70</v>
      </c>
      <c r="D7" s="170" t="s">
        <v>71</v>
      </c>
      <c r="E7" s="170" t="s">
        <v>72</v>
      </c>
      <c r="F7" s="170" t="s">
        <v>73</v>
      </c>
      <c r="G7" s="170" t="s">
        <v>74</v>
      </c>
      <c r="H7" s="20" t="s">
        <v>75</v>
      </c>
      <c r="I7" s="20" t="s">
        <v>76</v>
      </c>
      <c r="J7" s="170" t="s">
        <v>65</v>
      </c>
      <c r="K7" s="170" t="s">
        <v>77</v>
      </c>
      <c r="L7" s="170" t="s">
        <v>78</v>
      </c>
      <c r="M7" s="170" t="s">
        <v>79</v>
      </c>
      <c r="N7" s="170" t="s">
        <v>80</v>
      </c>
      <c r="O7" s="170" t="s">
        <v>81</v>
      </c>
      <c r="P7" s="170" t="s">
        <v>79</v>
      </c>
      <c r="Q7" s="170" t="s">
        <v>80</v>
      </c>
      <c r="R7" s="170" t="s">
        <v>81</v>
      </c>
      <c r="S7" s="170" t="s">
        <v>79</v>
      </c>
      <c r="T7" s="170" t="s">
        <v>80</v>
      </c>
      <c r="U7" s="170" t="s">
        <v>81</v>
      </c>
      <c r="V7" s="189" t="s">
        <v>79</v>
      </c>
      <c r="W7" s="189" t="s">
        <v>80</v>
      </c>
      <c r="X7" s="189" t="s">
        <v>81</v>
      </c>
      <c r="Y7" s="189" t="s">
        <v>79</v>
      </c>
      <c r="Z7" s="189" t="s">
        <v>80</v>
      </c>
      <c r="AA7" s="189" t="s">
        <v>81</v>
      </c>
      <c r="AB7" s="189" t="s">
        <v>79</v>
      </c>
      <c r="AC7" s="189" t="s">
        <v>80</v>
      </c>
      <c r="AD7" s="189" t="s">
        <v>81</v>
      </c>
      <c r="AE7" s="308" t="s">
        <v>66</v>
      </c>
      <c r="AF7" s="308" t="s">
        <v>82</v>
      </c>
      <c r="AG7" s="308" t="s">
        <v>83</v>
      </c>
      <c r="AH7" s="308" t="s">
        <v>79</v>
      </c>
      <c r="AI7" s="308" t="s">
        <v>80</v>
      </c>
      <c r="AJ7" s="308" t="s">
        <v>81</v>
      </c>
      <c r="AK7" s="308" t="s">
        <v>79</v>
      </c>
      <c r="AL7" s="308" t="s">
        <v>80</v>
      </c>
      <c r="AM7" s="308" t="s">
        <v>81</v>
      </c>
      <c r="AN7" s="308" t="s">
        <v>79</v>
      </c>
      <c r="AO7" s="308" t="s">
        <v>80</v>
      </c>
      <c r="AP7" s="308" t="s">
        <v>81</v>
      </c>
      <c r="AQ7" s="308" t="s">
        <v>79</v>
      </c>
      <c r="AR7" s="308" t="s">
        <v>80</v>
      </c>
      <c r="AS7" s="308" t="s">
        <v>81</v>
      </c>
      <c r="AT7" s="308" t="s">
        <v>79</v>
      </c>
      <c r="AU7" s="308" t="s">
        <v>80</v>
      </c>
      <c r="AV7" s="308" t="s">
        <v>81</v>
      </c>
      <c r="AW7" s="308" t="s">
        <v>79</v>
      </c>
      <c r="AX7" s="308" t="s">
        <v>80</v>
      </c>
      <c r="AY7" s="308" t="s">
        <v>81</v>
      </c>
      <c r="AZ7" s="170" t="s">
        <v>84</v>
      </c>
      <c r="BA7" s="170" t="s">
        <v>85</v>
      </c>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row>
    <row r="8" spans="1:138" s="5" customFormat="1" ht="24" x14ac:dyDescent="0.2">
      <c r="A8" s="347" t="s">
        <v>86</v>
      </c>
      <c r="B8" s="347" t="s">
        <v>87</v>
      </c>
      <c r="C8" s="363" t="s">
        <v>1634</v>
      </c>
      <c r="D8" s="347" t="s">
        <v>7</v>
      </c>
      <c r="E8" s="363" t="s">
        <v>89</v>
      </c>
      <c r="F8" s="347" t="s">
        <v>90</v>
      </c>
      <c r="G8" s="347" t="s">
        <v>91</v>
      </c>
      <c r="H8" s="345">
        <v>1247390478</v>
      </c>
      <c r="I8" s="22">
        <v>162796422</v>
      </c>
      <c r="J8" s="171" t="s">
        <v>92</v>
      </c>
      <c r="K8" s="171" t="s">
        <v>93</v>
      </c>
      <c r="L8" s="172">
        <v>1</v>
      </c>
      <c r="M8" s="183">
        <v>0</v>
      </c>
      <c r="N8" s="83">
        <v>0</v>
      </c>
      <c r="O8" s="80" t="s">
        <v>94</v>
      </c>
      <c r="P8" s="183">
        <v>0</v>
      </c>
      <c r="Q8" s="83">
        <v>0</v>
      </c>
      <c r="R8" s="80" t="s">
        <v>94</v>
      </c>
      <c r="S8" s="183">
        <v>0</v>
      </c>
      <c r="T8" s="83">
        <v>0</v>
      </c>
      <c r="U8" s="80" t="s">
        <v>94</v>
      </c>
      <c r="V8" s="190">
        <v>0</v>
      </c>
      <c r="W8" s="83">
        <v>0</v>
      </c>
      <c r="X8" s="80" t="s">
        <v>94</v>
      </c>
      <c r="Y8" s="190">
        <v>0</v>
      </c>
      <c r="Z8" s="83">
        <v>0</v>
      </c>
      <c r="AA8" s="80" t="s">
        <v>94</v>
      </c>
      <c r="AB8" s="190">
        <v>0</v>
      </c>
      <c r="AC8" s="83">
        <v>0</v>
      </c>
      <c r="AD8" s="80" t="s">
        <v>94</v>
      </c>
      <c r="AE8" s="351" t="s">
        <v>95</v>
      </c>
      <c r="AF8" s="351"/>
      <c r="AG8" s="351"/>
      <c r="AH8" s="93"/>
      <c r="AI8" s="93"/>
      <c r="AJ8" s="93"/>
      <c r="AK8" s="93"/>
      <c r="AL8" s="93"/>
      <c r="AM8" s="93"/>
      <c r="AN8" s="93"/>
      <c r="AO8" s="93"/>
      <c r="AP8" s="93"/>
      <c r="AQ8" s="93"/>
      <c r="AR8" s="93"/>
      <c r="AS8" s="93"/>
      <c r="AT8" s="93"/>
      <c r="AU8" s="93"/>
      <c r="AV8" s="93"/>
      <c r="AW8" s="93"/>
      <c r="AX8" s="93"/>
      <c r="AY8" s="93"/>
      <c r="AZ8" s="13" t="s">
        <v>96</v>
      </c>
      <c r="BA8" s="13" t="s">
        <v>97</v>
      </c>
    </row>
    <row r="9" spans="1:138" s="5" customFormat="1" ht="33.75" customHeight="1" x14ac:dyDescent="0.2">
      <c r="A9" s="366"/>
      <c r="B9" s="366"/>
      <c r="C9" s="364"/>
      <c r="D9" s="366"/>
      <c r="E9" s="364"/>
      <c r="F9" s="366"/>
      <c r="G9" s="366"/>
      <c r="H9" s="372"/>
      <c r="I9" s="345">
        <v>43907500</v>
      </c>
      <c r="J9" s="351" t="s">
        <v>98</v>
      </c>
      <c r="K9" s="351" t="s">
        <v>99</v>
      </c>
      <c r="L9" s="371">
        <v>2</v>
      </c>
      <c r="M9" s="342">
        <v>0.03</v>
      </c>
      <c r="N9" s="378">
        <v>0.03</v>
      </c>
      <c r="O9" s="354" t="s">
        <v>100</v>
      </c>
      <c r="P9" s="342">
        <v>0.1</v>
      </c>
      <c r="Q9" s="342">
        <v>0.1</v>
      </c>
      <c r="R9" s="354" t="s">
        <v>101</v>
      </c>
      <c r="S9" s="342">
        <v>0.1</v>
      </c>
      <c r="T9" s="342">
        <v>0.1</v>
      </c>
      <c r="U9" s="354" t="s">
        <v>102</v>
      </c>
      <c r="V9" s="354">
        <v>0.1</v>
      </c>
      <c r="W9" s="354">
        <v>0.1</v>
      </c>
      <c r="X9" s="354" t="s">
        <v>1225</v>
      </c>
      <c r="Y9" s="354">
        <v>0.2</v>
      </c>
      <c r="Z9" s="354">
        <v>0.2</v>
      </c>
      <c r="AA9" s="354" t="s">
        <v>1226</v>
      </c>
      <c r="AB9" s="354">
        <v>0.4</v>
      </c>
      <c r="AC9" s="354">
        <v>0.4</v>
      </c>
      <c r="AD9" s="354" t="s">
        <v>1227</v>
      </c>
      <c r="AE9" s="13" t="s">
        <v>103</v>
      </c>
      <c r="AF9" s="13" t="s">
        <v>104</v>
      </c>
      <c r="AG9" s="177">
        <v>1</v>
      </c>
      <c r="AH9" s="183">
        <v>0.05</v>
      </c>
      <c r="AI9" s="80">
        <v>0.05</v>
      </c>
      <c r="AJ9" s="110" t="s">
        <v>105</v>
      </c>
      <c r="AK9" s="183">
        <v>0.05</v>
      </c>
      <c r="AL9" s="183">
        <v>0.05</v>
      </c>
      <c r="AM9" s="110" t="s">
        <v>106</v>
      </c>
      <c r="AN9" s="183">
        <v>0.05</v>
      </c>
      <c r="AO9" s="183">
        <v>0.05</v>
      </c>
      <c r="AP9" s="110" t="s">
        <v>107</v>
      </c>
      <c r="AQ9" s="80">
        <v>0.05</v>
      </c>
      <c r="AR9" s="80">
        <v>0.05</v>
      </c>
      <c r="AS9" s="110" t="s">
        <v>1239</v>
      </c>
      <c r="AT9" s="80">
        <v>0.05</v>
      </c>
      <c r="AU9" s="80">
        <v>0.05</v>
      </c>
      <c r="AV9" s="110" t="s">
        <v>1241</v>
      </c>
      <c r="AW9" s="80">
        <v>0.4</v>
      </c>
      <c r="AX9" s="80">
        <v>0.4</v>
      </c>
      <c r="AY9" s="110" t="s">
        <v>1244</v>
      </c>
      <c r="AZ9" s="13" t="s">
        <v>108</v>
      </c>
      <c r="BA9" s="13" t="s">
        <v>109</v>
      </c>
    </row>
    <row r="10" spans="1:138" s="5" customFormat="1" ht="57.75" customHeight="1" x14ac:dyDescent="0.2">
      <c r="A10" s="366"/>
      <c r="B10" s="366"/>
      <c r="C10" s="364"/>
      <c r="D10" s="366"/>
      <c r="E10" s="364"/>
      <c r="F10" s="366"/>
      <c r="G10" s="366"/>
      <c r="H10" s="372"/>
      <c r="I10" s="372"/>
      <c r="J10" s="351"/>
      <c r="K10" s="351"/>
      <c r="L10" s="371"/>
      <c r="M10" s="374"/>
      <c r="N10" s="379"/>
      <c r="O10" s="355"/>
      <c r="P10" s="374"/>
      <c r="Q10" s="374"/>
      <c r="R10" s="355"/>
      <c r="S10" s="374"/>
      <c r="T10" s="374"/>
      <c r="U10" s="355"/>
      <c r="V10" s="355"/>
      <c r="W10" s="355"/>
      <c r="X10" s="355"/>
      <c r="Y10" s="355"/>
      <c r="Z10" s="355"/>
      <c r="AA10" s="355"/>
      <c r="AB10" s="355"/>
      <c r="AC10" s="355"/>
      <c r="AD10" s="355"/>
      <c r="AE10" s="13" t="s">
        <v>110</v>
      </c>
      <c r="AF10" s="13" t="s">
        <v>104</v>
      </c>
      <c r="AG10" s="177">
        <v>1</v>
      </c>
      <c r="AH10" s="183">
        <v>0.05</v>
      </c>
      <c r="AI10" s="80">
        <v>0.05</v>
      </c>
      <c r="AJ10" s="110" t="s">
        <v>105</v>
      </c>
      <c r="AK10" s="183">
        <v>0.25</v>
      </c>
      <c r="AL10" s="80">
        <v>0.25</v>
      </c>
      <c r="AM10" s="110" t="s">
        <v>111</v>
      </c>
      <c r="AN10" s="183">
        <v>0.25</v>
      </c>
      <c r="AO10" s="80">
        <v>0.25</v>
      </c>
      <c r="AP10" s="110" t="s">
        <v>112</v>
      </c>
      <c r="AQ10" s="80">
        <v>0.25</v>
      </c>
      <c r="AR10" s="80">
        <v>0.25</v>
      </c>
      <c r="AS10" s="110" t="s">
        <v>1240</v>
      </c>
      <c r="AT10" s="80">
        <v>0.3</v>
      </c>
      <c r="AU10" s="80">
        <v>0.3</v>
      </c>
      <c r="AV10" s="110" t="s">
        <v>1242</v>
      </c>
      <c r="AW10" s="80">
        <v>0.4</v>
      </c>
      <c r="AX10" s="80">
        <v>0.4</v>
      </c>
      <c r="AY10" s="110" t="s">
        <v>1244</v>
      </c>
      <c r="AZ10" s="13" t="s">
        <v>108</v>
      </c>
      <c r="BA10" s="13" t="s">
        <v>109</v>
      </c>
    </row>
    <row r="11" spans="1:138" s="5" customFormat="1" ht="33.75" customHeight="1" x14ac:dyDescent="0.2">
      <c r="A11" s="366"/>
      <c r="B11" s="366"/>
      <c r="C11" s="364"/>
      <c r="D11" s="366"/>
      <c r="E11" s="364"/>
      <c r="F11" s="366"/>
      <c r="G11" s="366"/>
      <c r="H11" s="372"/>
      <c r="I11" s="346"/>
      <c r="J11" s="351"/>
      <c r="K11" s="351"/>
      <c r="L11" s="371"/>
      <c r="M11" s="343"/>
      <c r="N11" s="380"/>
      <c r="O11" s="356"/>
      <c r="P11" s="343"/>
      <c r="Q11" s="343"/>
      <c r="R11" s="356"/>
      <c r="S11" s="343"/>
      <c r="T11" s="343"/>
      <c r="U11" s="356"/>
      <c r="V11" s="356"/>
      <c r="W11" s="356"/>
      <c r="X11" s="356"/>
      <c r="Y11" s="356"/>
      <c r="Z11" s="356"/>
      <c r="AA11" s="356"/>
      <c r="AB11" s="356"/>
      <c r="AC11" s="356"/>
      <c r="AD11" s="356"/>
      <c r="AE11" s="13" t="s">
        <v>113</v>
      </c>
      <c r="AF11" s="13" t="s">
        <v>114</v>
      </c>
      <c r="AG11" s="177">
        <v>1</v>
      </c>
      <c r="AH11" s="183">
        <v>0</v>
      </c>
      <c r="AI11" s="80">
        <v>0</v>
      </c>
      <c r="AJ11" s="80" t="s">
        <v>115</v>
      </c>
      <c r="AK11" s="183">
        <v>0</v>
      </c>
      <c r="AL11" s="80">
        <v>0</v>
      </c>
      <c r="AM11" s="80" t="s">
        <v>116</v>
      </c>
      <c r="AN11" s="183">
        <v>0</v>
      </c>
      <c r="AO11" s="80">
        <v>0</v>
      </c>
      <c r="AP11" s="80" t="s">
        <v>117</v>
      </c>
      <c r="AQ11" s="80">
        <v>0</v>
      </c>
      <c r="AR11" s="80">
        <v>0</v>
      </c>
      <c r="AS11" s="80" t="s">
        <v>1238</v>
      </c>
      <c r="AT11" s="80">
        <v>0.2</v>
      </c>
      <c r="AU11" s="80">
        <v>0.2</v>
      </c>
      <c r="AV11" s="80" t="s">
        <v>1243</v>
      </c>
      <c r="AW11" s="80">
        <v>0.5</v>
      </c>
      <c r="AX11" s="80">
        <v>0.5</v>
      </c>
      <c r="AY11" s="196" t="s">
        <v>1245</v>
      </c>
      <c r="AZ11" s="13" t="s">
        <v>108</v>
      </c>
      <c r="BA11" s="13" t="s">
        <v>109</v>
      </c>
    </row>
    <row r="12" spans="1:138" s="5" customFormat="1" ht="75.75" customHeight="1" x14ac:dyDescent="0.2">
      <c r="A12" s="366"/>
      <c r="B12" s="366"/>
      <c r="C12" s="364"/>
      <c r="D12" s="366"/>
      <c r="E12" s="364"/>
      <c r="F12" s="366"/>
      <c r="G12" s="366"/>
      <c r="H12" s="372"/>
      <c r="I12" s="22">
        <v>433071719</v>
      </c>
      <c r="J12" s="171" t="s">
        <v>118</v>
      </c>
      <c r="K12" s="171" t="s">
        <v>119</v>
      </c>
      <c r="L12" s="177">
        <v>0.96</v>
      </c>
      <c r="M12" s="106">
        <v>4.2000000000000003E-2</v>
      </c>
      <c r="N12" s="106">
        <v>4.2000000000000003E-2</v>
      </c>
      <c r="O12" s="80" t="s">
        <v>120</v>
      </c>
      <c r="P12" s="106">
        <v>0.13200000000000001</v>
      </c>
      <c r="Q12" s="106">
        <v>0.13200000000000001</v>
      </c>
      <c r="R12" s="80" t="s">
        <v>121</v>
      </c>
      <c r="S12" s="106">
        <v>0.217</v>
      </c>
      <c r="T12" s="106">
        <v>0.217</v>
      </c>
      <c r="U12" s="107" t="s">
        <v>122</v>
      </c>
      <c r="V12" s="156">
        <v>0.30299999999999999</v>
      </c>
      <c r="W12" s="156">
        <v>0.30299999999999999</v>
      </c>
      <c r="X12" s="80" t="s">
        <v>1230</v>
      </c>
      <c r="Y12" s="156">
        <v>0.39100000000000001</v>
      </c>
      <c r="Z12" s="156">
        <v>0.39100000000000001</v>
      </c>
      <c r="AA12" s="80" t="s">
        <v>1229</v>
      </c>
      <c r="AB12" s="100">
        <v>0.49380000000000002</v>
      </c>
      <c r="AC12" s="100">
        <v>0.49380000000000002</v>
      </c>
      <c r="AD12" s="80" t="s">
        <v>1228</v>
      </c>
      <c r="AE12" s="351" t="s">
        <v>95</v>
      </c>
      <c r="AF12" s="351"/>
      <c r="AG12" s="351"/>
      <c r="AH12" s="89"/>
      <c r="AI12" s="91"/>
      <c r="AJ12" s="89"/>
      <c r="AK12" s="89"/>
      <c r="AL12" s="91"/>
      <c r="AM12" s="89"/>
      <c r="AN12" s="89"/>
      <c r="AO12" s="91"/>
      <c r="AP12" s="89"/>
      <c r="AQ12" s="89"/>
      <c r="AR12" s="89"/>
      <c r="AS12" s="89"/>
      <c r="AT12" s="89"/>
      <c r="AU12" s="89"/>
      <c r="AV12" s="89"/>
      <c r="AW12" s="89"/>
      <c r="AX12" s="89"/>
      <c r="AY12" s="89"/>
      <c r="AZ12" s="13" t="s">
        <v>108</v>
      </c>
      <c r="BA12" s="13" t="s">
        <v>109</v>
      </c>
    </row>
    <row r="13" spans="1:138" s="5" customFormat="1" ht="63" customHeight="1" x14ac:dyDescent="0.2">
      <c r="A13" s="366" t="s">
        <v>86</v>
      </c>
      <c r="B13" s="366" t="s">
        <v>87</v>
      </c>
      <c r="C13" s="364" t="s">
        <v>88</v>
      </c>
      <c r="D13" s="366" t="s">
        <v>7</v>
      </c>
      <c r="E13" s="364" t="s">
        <v>89</v>
      </c>
      <c r="F13" s="366" t="s">
        <v>90</v>
      </c>
      <c r="G13" s="366"/>
      <c r="H13" s="372"/>
      <c r="I13" s="22">
        <v>241722685</v>
      </c>
      <c r="J13" s="171" t="s">
        <v>123</v>
      </c>
      <c r="K13" s="171" t="s">
        <v>124</v>
      </c>
      <c r="L13" s="172">
        <v>7</v>
      </c>
      <c r="M13" s="183">
        <v>0</v>
      </c>
      <c r="N13" s="83">
        <v>0</v>
      </c>
      <c r="O13" s="80" t="s">
        <v>125</v>
      </c>
      <c r="P13" s="183">
        <v>0.04</v>
      </c>
      <c r="Q13" s="183">
        <v>0.04</v>
      </c>
      <c r="R13" s="80" t="s">
        <v>126</v>
      </c>
      <c r="S13" s="183">
        <v>0.12</v>
      </c>
      <c r="T13" s="183">
        <v>0.12</v>
      </c>
      <c r="U13" s="80" t="s">
        <v>127</v>
      </c>
      <c r="V13" s="80">
        <v>0.24</v>
      </c>
      <c r="W13" s="80">
        <v>0.24</v>
      </c>
      <c r="X13" s="80" t="s">
        <v>1231</v>
      </c>
      <c r="Y13" s="80">
        <v>0.28000000000000003</v>
      </c>
      <c r="Z13" s="80">
        <v>0.28000000000000003</v>
      </c>
      <c r="AA13" s="80" t="s">
        <v>1232</v>
      </c>
      <c r="AB13" s="80">
        <v>0.36</v>
      </c>
      <c r="AC13" s="80">
        <v>0.36</v>
      </c>
      <c r="AD13" s="80" t="s">
        <v>1233</v>
      </c>
      <c r="AE13" s="13" t="s">
        <v>128</v>
      </c>
      <c r="AF13" s="13" t="s">
        <v>129</v>
      </c>
      <c r="AG13" s="24">
        <v>25</v>
      </c>
      <c r="AH13" s="183">
        <v>0</v>
      </c>
      <c r="AI13" s="80">
        <v>0</v>
      </c>
      <c r="AJ13" s="80" t="s">
        <v>130</v>
      </c>
      <c r="AK13" s="183">
        <v>0.04</v>
      </c>
      <c r="AL13" s="80">
        <v>0.04</v>
      </c>
      <c r="AM13" s="80" t="s">
        <v>131</v>
      </c>
      <c r="AN13" s="183">
        <v>0.12</v>
      </c>
      <c r="AO13" s="80">
        <v>0.12</v>
      </c>
      <c r="AP13" s="80" t="s">
        <v>132</v>
      </c>
      <c r="AQ13" s="80">
        <v>0.24</v>
      </c>
      <c r="AR13" s="80">
        <v>0.24</v>
      </c>
      <c r="AS13" s="80" t="s">
        <v>1248</v>
      </c>
      <c r="AT13" s="80">
        <v>0.28000000000000003</v>
      </c>
      <c r="AU13" s="80">
        <v>0.28000000000000003</v>
      </c>
      <c r="AV13" s="80" t="s">
        <v>1247</v>
      </c>
      <c r="AW13" s="80">
        <v>0.36</v>
      </c>
      <c r="AX13" s="80">
        <v>0.36</v>
      </c>
      <c r="AY13" s="80" t="s">
        <v>1246</v>
      </c>
      <c r="AZ13" s="13" t="s">
        <v>108</v>
      </c>
      <c r="BA13" s="13" t="s">
        <v>109</v>
      </c>
    </row>
    <row r="14" spans="1:138" s="5" customFormat="1" ht="253.5" customHeight="1" x14ac:dyDescent="0.2">
      <c r="A14" s="366"/>
      <c r="B14" s="366"/>
      <c r="C14" s="364"/>
      <c r="D14" s="366"/>
      <c r="E14" s="364"/>
      <c r="F14" s="366"/>
      <c r="G14" s="366"/>
      <c r="H14" s="372"/>
      <c r="I14" s="22">
        <v>93240750</v>
      </c>
      <c r="J14" s="171" t="s">
        <v>133</v>
      </c>
      <c r="K14" s="171" t="s">
        <v>134</v>
      </c>
      <c r="L14" s="172">
        <v>1</v>
      </c>
      <c r="M14" s="183">
        <v>0</v>
      </c>
      <c r="N14" s="83">
        <v>0</v>
      </c>
      <c r="O14" s="80" t="s">
        <v>135</v>
      </c>
      <c r="P14" s="106">
        <v>8.3000000000000004E-2</v>
      </c>
      <c r="Q14" s="106">
        <v>8.3000000000000004E-2</v>
      </c>
      <c r="R14" s="80" t="s">
        <v>136</v>
      </c>
      <c r="S14" s="106">
        <v>0.23599999999999999</v>
      </c>
      <c r="T14" s="106">
        <v>0.23599999999999999</v>
      </c>
      <c r="U14" s="80" t="s">
        <v>137</v>
      </c>
      <c r="V14" s="156">
        <v>0.39600000000000002</v>
      </c>
      <c r="W14" s="156">
        <v>0.39600000000000002</v>
      </c>
      <c r="X14" s="80" t="s">
        <v>1236</v>
      </c>
      <c r="Y14" s="156">
        <v>0.54600000000000004</v>
      </c>
      <c r="Z14" s="156">
        <v>0.54600000000000004</v>
      </c>
      <c r="AA14" s="80" t="s">
        <v>1235</v>
      </c>
      <c r="AB14" s="156">
        <v>0.63800000000000001</v>
      </c>
      <c r="AC14" s="156">
        <v>0.63800000000000001</v>
      </c>
      <c r="AD14" s="80" t="s">
        <v>1234</v>
      </c>
      <c r="AE14" s="13" t="s">
        <v>138</v>
      </c>
      <c r="AF14" s="13" t="s">
        <v>104</v>
      </c>
      <c r="AG14" s="177">
        <v>1</v>
      </c>
      <c r="AH14" s="183">
        <v>0</v>
      </c>
      <c r="AI14" s="83">
        <v>0</v>
      </c>
      <c r="AJ14" s="80" t="s">
        <v>135</v>
      </c>
      <c r="AK14" s="106">
        <v>8.3000000000000004E-2</v>
      </c>
      <c r="AL14" s="106">
        <v>8.3000000000000004E-2</v>
      </c>
      <c r="AM14" s="80" t="s">
        <v>136</v>
      </c>
      <c r="AN14" s="106">
        <v>0.23599999999999999</v>
      </c>
      <c r="AO14" s="106">
        <v>0.23599999999999999</v>
      </c>
      <c r="AP14" s="80" t="s">
        <v>137</v>
      </c>
      <c r="AQ14" s="156">
        <v>0.39600000000000002</v>
      </c>
      <c r="AR14" s="156">
        <v>0.39600000000000002</v>
      </c>
      <c r="AS14" s="80" t="s">
        <v>1236</v>
      </c>
      <c r="AT14" s="156">
        <v>0.54600000000000004</v>
      </c>
      <c r="AU14" s="156">
        <v>0.54600000000000004</v>
      </c>
      <c r="AV14" s="80" t="s">
        <v>1235</v>
      </c>
      <c r="AW14" s="156">
        <v>0.63800000000000001</v>
      </c>
      <c r="AX14" s="156">
        <v>0.63800000000000001</v>
      </c>
      <c r="AY14" s="80" t="s">
        <v>1234</v>
      </c>
      <c r="AZ14" s="13" t="s">
        <v>108</v>
      </c>
      <c r="BA14" s="13" t="s">
        <v>109</v>
      </c>
    </row>
    <row r="15" spans="1:138" s="5" customFormat="1" ht="33.75" customHeight="1" x14ac:dyDescent="0.2">
      <c r="A15" s="366"/>
      <c r="B15" s="366"/>
      <c r="C15" s="364"/>
      <c r="D15" s="366"/>
      <c r="E15" s="364"/>
      <c r="F15" s="366"/>
      <c r="G15" s="366"/>
      <c r="H15" s="372"/>
      <c r="I15" s="345">
        <v>193975402</v>
      </c>
      <c r="J15" s="347" t="s">
        <v>139</v>
      </c>
      <c r="K15" s="347" t="s">
        <v>140</v>
      </c>
      <c r="L15" s="349">
        <v>1</v>
      </c>
      <c r="M15" s="342">
        <v>0</v>
      </c>
      <c r="N15" s="375">
        <v>0</v>
      </c>
      <c r="O15" s="354" t="s">
        <v>141</v>
      </c>
      <c r="P15" s="342">
        <v>0</v>
      </c>
      <c r="Q15" s="375">
        <v>0</v>
      </c>
      <c r="R15" s="354" t="s">
        <v>141</v>
      </c>
      <c r="S15" s="342">
        <v>0.27</v>
      </c>
      <c r="T15" s="375">
        <v>0.27</v>
      </c>
      <c r="U15" s="354" t="s">
        <v>142</v>
      </c>
      <c r="V15" s="354">
        <v>0.27</v>
      </c>
      <c r="W15" s="357">
        <v>0.27</v>
      </c>
      <c r="X15" s="354" t="s">
        <v>141</v>
      </c>
      <c r="Y15" s="354">
        <v>0.27</v>
      </c>
      <c r="Z15" s="357">
        <v>0.27</v>
      </c>
      <c r="AA15" s="354" t="s">
        <v>141</v>
      </c>
      <c r="AB15" s="354">
        <v>0.27</v>
      </c>
      <c r="AC15" s="354">
        <v>0.27</v>
      </c>
      <c r="AD15" s="354" t="s">
        <v>1253</v>
      </c>
      <c r="AE15" s="13" t="s">
        <v>143</v>
      </c>
      <c r="AF15" s="13" t="s">
        <v>144</v>
      </c>
      <c r="AG15" s="24">
        <v>17</v>
      </c>
      <c r="AH15" s="183">
        <v>0</v>
      </c>
      <c r="AI15" s="80">
        <v>0</v>
      </c>
      <c r="AJ15" s="80" t="s">
        <v>145</v>
      </c>
      <c r="AK15" s="183">
        <v>0</v>
      </c>
      <c r="AL15" s="80">
        <v>0</v>
      </c>
      <c r="AM15" s="80" t="s">
        <v>145</v>
      </c>
      <c r="AN15" s="183">
        <v>0</v>
      </c>
      <c r="AO15" s="80">
        <v>0</v>
      </c>
      <c r="AP15" s="80" t="s">
        <v>145</v>
      </c>
      <c r="AQ15" s="197">
        <v>1</v>
      </c>
      <c r="AR15" s="80">
        <v>0.25</v>
      </c>
      <c r="AS15" s="80" t="s">
        <v>1249</v>
      </c>
      <c r="AT15" s="197">
        <v>1</v>
      </c>
      <c r="AU15" s="80">
        <v>0.25</v>
      </c>
      <c r="AV15" s="80" t="s">
        <v>1249</v>
      </c>
      <c r="AW15" s="198">
        <v>2</v>
      </c>
      <c r="AX15" s="80">
        <v>0.5</v>
      </c>
      <c r="AY15" s="80" t="s">
        <v>1250</v>
      </c>
      <c r="AZ15" s="13" t="s">
        <v>108</v>
      </c>
      <c r="BA15" s="13" t="s">
        <v>109</v>
      </c>
    </row>
    <row r="16" spans="1:138" s="5" customFormat="1" ht="33.75" customHeight="1" x14ac:dyDescent="0.2">
      <c r="A16" s="366"/>
      <c r="B16" s="366"/>
      <c r="C16" s="364"/>
      <c r="D16" s="366"/>
      <c r="E16" s="364"/>
      <c r="F16" s="366"/>
      <c r="G16" s="366"/>
      <c r="H16" s="372"/>
      <c r="I16" s="372"/>
      <c r="J16" s="366"/>
      <c r="K16" s="366"/>
      <c r="L16" s="370"/>
      <c r="M16" s="374"/>
      <c r="N16" s="376"/>
      <c r="O16" s="355"/>
      <c r="P16" s="374"/>
      <c r="Q16" s="376"/>
      <c r="R16" s="355"/>
      <c r="S16" s="374"/>
      <c r="T16" s="376"/>
      <c r="U16" s="355"/>
      <c r="V16" s="355"/>
      <c r="W16" s="358"/>
      <c r="X16" s="355"/>
      <c r="Y16" s="355"/>
      <c r="Z16" s="358"/>
      <c r="AA16" s="355"/>
      <c r="AB16" s="355"/>
      <c r="AC16" s="355"/>
      <c r="AD16" s="355"/>
      <c r="AE16" s="13" t="s">
        <v>146</v>
      </c>
      <c r="AF16" s="13" t="s">
        <v>147</v>
      </c>
      <c r="AG16" s="24" t="s">
        <v>148</v>
      </c>
      <c r="AH16" s="183">
        <v>0</v>
      </c>
      <c r="AI16" s="80">
        <v>0</v>
      </c>
      <c r="AJ16" s="80" t="s">
        <v>149</v>
      </c>
      <c r="AK16" s="183">
        <v>0</v>
      </c>
      <c r="AL16" s="80">
        <v>0</v>
      </c>
      <c r="AM16" s="80" t="s">
        <v>149</v>
      </c>
      <c r="AN16" s="183">
        <v>0</v>
      </c>
      <c r="AO16" s="80">
        <v>0</v>
      </c>
      <c r="AP16" s="80" t="s">
        <v>149</v>
      </c>
      <c r="AQ16" s="80">
        <v>0</v>
      </c>
      <c r="AR16" s="80">
        <v>0</v>
      </c>
      <c r="AS16" s="80" t="s">
        <v>149</v>
      </c>
      <c r="AT16" s="80">
        <v>0</v>
      </c>
      <c r="AU16" s="80">
        <v>0</v>
      </c>
      <c r="AV16" s="80" t="s">
        <v>149</v>
      </c>
      <c r="AW16" s="197">
        <v>0.86199999999999999</v>
      </c>
      <c r="AX16" s="156">
        <v>1.014</v>
      </c>
      <c r="AY16" s="80" t="s">
        <v>1251</v>
      </c>
      <c r="AZ16" s="13" t="s">
        <v>108</v>
      </c>
      <c r="BA16" s="13" t="s">
        <v>109</v>
      </c>
    </row>
    <row r="17" spans="1:138" s="5" customFormat="1" ht="33.75" customHeight="1" x14ac:dyDescent="0.2">
      <c r="A17" s="366"/>
      <c r="B17" s="366"/>
      <c r="C17" s="364"/>
      <c r="D17" s="366"/>
      <c r="E17" s="364"/>
      <c r="F17" s="366"/>
      <c r="G17" s="366"/>
      <c r="H17" s="372"/>
      <c r="I17" s="346"/>
      <c r="J17" s="348"/>
      <c r="K17" s="348"/>
      <c r="L17" s="350"/>
      <c r="M17" s="343"/>
      <c r="N17" s="377"/>
      <c r="O17" s="356"/>
      <c r="P17" s="343"/>
      <c r="Q17" s="377"/>
      <c r="R17" s="356"/>
      <c r="S17" s="343"/>
      <c r="T17" s="377"/>
      <c r="U17" s="356"/>
      <c r="V17" s="356"/>
      <c r="W17" s="359"/>
      <c r="X17" s="356"/>
      <c r="Y17" s="356"/>
      <c r="Z17" s="359"/>
      <c r="AA17" s="356"/>
      <c r="AB17" s="356"/>
      <c r="AC17" s="356"/>
      <c r="AD17" s="356"/>
      <c r="AE17" s="13" t="s">
        <v>150</v>
      </c>
      <c r="AF17" s="13" t="s">
        <v>151</v>
      </c>
      <c r="AG17" s="24">
        <v>88</v>
      </c>
      <c r="AH17" s="183">
        <v>0</v>
      </c>
      <c r="AI17" s="80">
        <v>0</v>
      </c>
      <c r="AJ17" s="80" t="s">
        <v>149</v>
      </c>
      <c r="AK17" s="183">
        <v>0</v>
      </c>
      <c r="AL17" s="80">
        <v>0</v>
      </c>
      <c r="AM17" s="80" t="s">
        <v>149</v>
      </c>
      <c r="AN17" s="183">
        <v>0</v>
      </c>
      <c r="AO17" s="80">
        <v>0</v>
      </c>
      <c r="AP17" s="80" t="s">
        <v>149</v>
      </c>
      <c r="AQ17" s="80">
        <v>0</v>
      </c>
      <c r="AR17" s="80">
        <v>0</v>
      </c>
      <c r="AS17" s="80" t="s">
        <v>149</v>
      </c>
      <c r="AT17" s="156">
        <v>0.875</v>
      </c>
      <c r="AU17" s="156">
        <v>0.99399999999999999</v>
      </c>
      <c r="AV17" s="80" t="s">
        <v>1252</v>
      </c>
      <c r="AW17" s="156">
        <v>0.875</v>
      </c>
      <c r="AX17" s="156">
        <v>0.99399999999999999</v>
      </c>
      <c r="AY17" s="80" t="s">
        <v>1252</v>
      </c>
      <c r="AZ17" s="13" t="s">
        <v>108</v>
      </c>
      <c r="BA17" s="13" t="s">
        <v>109</v>
      </c>
    </row>
    <row r="18" spans="1:138" s="5" customFormat="1" ht="55.5" customHeight="1" x14ac:dyDescent="0.2">
      <c r="A18" s="348"/>
      <c r="B18" s="348"/>
      <c r="C18" s="365"/>
      <c r="D18" s="348"/>
      <c r="E18" s="365"/>
      <c r="F18" s="348"/>
      <c r="G18" s="348"/>
      <c r="H18" s="346"/>
      <c r="I18" s="22">
        <v>78676000</v>
      </c>
      <c r="J18" s="171" t="s">
        <v>152</v>
      </c>
      <c r="K18" s="171" t="s">
        <v>153</v>
      </c>
      <c r="L18" s="177">
        <v>1</v>
      </c>
      <c r="M18" s="183">
        <v>0</v>
      </c>
      <c r="N18" s="83">
        <v>0</v>
      </c>
      <c r="O18" s="80" t="s">
        <v>141</v>
      </c>
      <c r="P18" s="183">
        <v>0</v>
      </c>
      <c r="Q18" s="83">
        <v>0</v>
      </c>
      <c r="R18" s="80" t="s">
        <v>141</v>
      </c>
      <c r="S18" s="183">
        <v>0.37</v>
      </c>
      <c r="T18" s="183">
        <v>0.37</v>
      </c>
      <c r="U18" s="80" t="s">
        <v>154</v>
      </c>
      <c r="V18" s="80">
        <v>0.37</v>
      </c>
      <c r="W18" s="80">
        <v>0.37</v>
      </c>
      <c r="X18" s="80" t="s">
        <v>141</v>
      </c>
      <c r="Y18" s="80">
        <v>0.37</v>
      </c>
      <c r="Z18" s="80">
        <v>0.37</v>
      </c>
      <c r="AA18" s="80" t="s">
        <v>141</v>
      </c>
      <c r="AB18" s="156">
        <v>0.67700000000000005</v>
      </c>
      <c r="AC18" s="156">
        <v>0.67700000000000005</v>
      </c>
      <c r="AD18" s="80" t="s">
        <v>1237</v>
      </c>
      <c r="AE18" s="351" t="s">
        <v>95</v>
      </c>
      <c r="AF18" s="351"/>
      <c r="AG18" s="351"/>
      <c r="AH18" s="89"/>
      <c r="AI18" s="91"/>
      <c r="AJ18" s="89"/>
      <c r="AK18" s="89"/>
      <c r="AL18" s="91"/>
      <c r="AM18" s="89"/>
      <c r="AN18" s="89"/>
      <c r="AO18" s="91"/>
      <c r="AP18" s="89"/>
      <c r="AQ18" s="89"/>
      <c r="AR18" s="89"/>
      <c r="AS18" s="89"/>
      <c r="AT18" s="89"/>
      <c r="AU18" s="89"/>
      <c r="AV18" s="89"/>
      <c r="AW18" s="89"/>
      <c r="AX18" s="89"/>
      <c r="AY18" s="89"/>
      <c r="AZ18" s="13" t="s">
        <v>108</v>
      </c>
      <c r="BA18" s="13" t="s">
        <v>109</v>
      </c>
    </row>
    <row r="19" spans="1:138" ht="75" x14ac:dyDescent="0.25">
      <c r="M19" s="71" t="s">
        <v>155</v>
      </c>
      <c r="N19" s="72">
        <v>0.02</v>
      </c>
      <c r="P19" s="71" t="s">
        <v>155</v>
      </c>
      <c r="Q19" s="72">
        <v>8.8999999999999996E-2</v>
      </c>
      <c r="S19" s="71" t="s">
        <v>155</v>
      </c>
      <c r="T19" s="72">
        <v>0.20899999999999999</v>
      </c>
      <c r="V19" s="71" t="s">
        <v>155</v>
      </c>
      <c r="W19" s="72">
        <v>0.28000000000000003</v>
      </c>
      <c r="Y19" s="71" t="s">
        <v>155</v>
      </c>
      <c r="Z19" s="72">
        <v>0.34399999999999997</v>
      </c>
      <c r="AB19" s="71" t="s">
        <v>155</v>
      </c>
      <c r="AC19" s="72">
        <v>0.47299999999999998</v>
      </c>
      <c r="AH19" s="71" t="s">
        <v>156</v>
      </c>
      <c r="AI19" s="72">
        <v>0.02</v>
      </c>
      <c r="AK19" s="71" t="s">
        <v>156</v>
      </c>
      <c r="AL19" s="72">
        <v>0.08</v>
      </c>
      <c r="AN19" s="71" t="s">
        <v>156</v>
      </c>
      <c r="AO19" s="72">
        <v>0.13100000000000001</v>
      </c>
      <c r="AP19" s="9"/>
      <c r="AQ19" s="71" t="s">
        <v>156</v>
      </c>
      <c r="AR19" s="72">
        <v>0.19800000000000001</v>
      </c>
      <c r="AT19" s="71" t="s">
        <v>156</v>
      </c>
      <c r="AU19" s="72">
        <v>0.374</v>
      </c>
      <c r="AV19" s="9"/>
      <c r="AW19" s="71" t="s">
        <v>156</v>
      </c>
      <c r="AX19" s="72">
        <v>0.60099999999999998</v>
      </c>
      <c r="AY19" s="9"/>
      <c r="AZ19" s="9"/>
      <c r="BA19" s="9"/>
      <c r="EE19"/>
      <c r="EF19"/>
      <c r="EG19"/>
      <c r="EH19"/>
    </row>
    <row r="20" spans="1:138" x14ac:dyDescent="0.25">
      <c r="AP20" s="9"/>
      <c r="AQ20" s="9"/>
      <c r="AR20" s="9"/>
      <c r="AS20" s="9"/>
      <c r="AT20" s="9"/>
      <c r="AU20" s="9"/>
      <c r="AV20" s="9"/>
      <c r="AW20" s="9"/>
      <c r="AX20" s="9"/>
      <c r="AY20" s="9"/>
      <c r="AZ20" s="9"/>
      <c r="BA20" s="9"/>
      <c r="EE20"/>
      <c r="EF20"/>
      <c r="EG20"/>
      <c r="EH20"/>
    </row>
    <row r="21" spans="1:138" x14ac:dyDescent="0.25">
      <c r="AP21" s="9"/>
      <c r="AQ21" s="9"/>
      <c r="AR21" s="9"/>
      <c r="AS21" s="9"/>
      <c r="AT21" s="9"/>
      <c r="AU21" s="9"/>
      <c r="AV21" s="9"/>
      <c r="AW21" s="9"/>
      <c r="AX21" s="9"/>
      <c r="AY21" s="9"/>
      <c r="AZ21" s="9"/>
      <c r="BA21" s="9"/>
      <c r="EE21"/>
      <c r="EF21"/>
      <c r="EG21"/>
      <c r="EH21"/>
    </row>
    <row r="22" spans="1:138" x14ac:dyDescent="0.25">
      <c r="AP22" s="9"/>
      <c r="AQ22" s="9"/>
      <c r="AR22" s="9"/>
      <c r="AS22" s="9"/>
      <c r="AT22" s="9"/>
      <c r="AU22" s="9"/>
      <c r="AV22" s="9"/>
      <c r="AW22" s="9"/>
      <c r="AX22" s="9"/>
      <c r="AY22" s="9"/>
      <c r="AZ22" s="9"/>
      <c r="BA22" s="9"/>
      <c r="EE22"/>
      <c r="EF22"/>
      <c r="EG22"/>
      <c r="EH22"/>
    </row>
    <row r="23" spans="1:138" x14ac:dyDescent="0.25">
      <c r="AP23" s="9"/>
      <c r="AQ23" s="9"/>
      <c r="AR23" s="9"/>
      <c r="AS23" s="9"/>
      <c r="AT23" s="9"/>
      <c r="AU23" s="9"/>
      <c r="AV23" s="9"/>
      <c r="AW23" s="9"/>
      <c r="AX23" s="9"/>
      <c r="AY23" s="9"/>
      <c r="AZ23" s="9"/>
      <c r="BA23" s="9"/>
      <c r="EE23"/>
      <c r="EF23"/>
      <c r="EG23"/>
      <c r="EH23"/>
    </row>
    <row r="24" spans="1:138" x14ac:dyDescent="0.25">
      <c r="AP24" s="9"/>
      <c r="AQ24" s="9"/>
      <c r="AR24" s="9"/>
      <c r="AS24" s="9"/>
      <c r="AT24" s="9"/>
      <c r="AU24" s="9"/>
      <c r="AV24" s="9"/>
      <c r="AW24" s="9"/>
      <c r="AX24" s="9"/>
      <c r="AY24" s="9"/>
      <c r="AZ24" s="9"/>
      <c r="BA24" s="9"/>
      <c r="EE24"/>
      <c r="EF24"/>
      <c r="EG24"/>
      <c r="EH24"/>
    </row>
    <row r="25" spans="1:138" x14ac:dyDescent="0.25">
      <c r="AP25" s="9"/>
      <c r="AQ25" s="9"/>
      <c r="AR25" s="9"/>
      <c r="AS25" s="9"/>
      <c r="AT25" s="9"/>
      <c r="AU25" s="9"/>
      <c r="AV25" s="9"/>
      <c r="AW25" s="9"/>
      <c r="AX25" s="9"/>
      <c r="AY25" s="9"/>
      <c r="AZ25" s="9"/>
      <c r="BA25" s="9"/>
      <c r="EE25"/>
      <c r="EF25"/>
      <c r="EG25"/>
      <c r="EH25"/>
    </row>
    <row r="26" spans="1:138" x14ac:dyDescent="0.25">
      <c r="AP26" s="9"/>
      <c r="AQ26" s="9"/>
      <c r="AR26" s="9"/>
      <c r="AS26" s="9"/>
      <c r="AT26" s="9"/>
      <c r="AU26" s="9"/>
      <c r="AV26" s="9"/>
      <c r="AW26" s="9"/>
      <c r="AX26" s="9"/>
      <c r="AY26" s="9"/>
      <c r="AZ26" s="9"/>
      <c r="BA26" s="9"/>
      <c r="EE26"/>
      <c r="EF26"/>
      <c r="EG26"/>
      <c r="EH26"/>
    </row>
    <row r="27" spans="1:138" x14ac:dyDescent="0.25">
      <c r="AP27" s="9"/>
      <c r="AQ27" s="9"/>
      <c r="AR27" s="9"/>
      <c r="AS27" s="9"/>
      <c r="AT27" s="9"/>
      <c r="AU27" s="9"/>
      <c r="AV27" s="9"/>
      <c r="AW27" s="9"/>
      <c r="AX27" s="9"/>
      <c r="AY27" s="9"/>
      <c r="AZ27" s="9"/>
      <c r="BA27" s="9"/>
      <c r="EE27"/>
      <c r="EF27"/>
      <c r="EG27"/>
      <c r="EH27"/>
    </row>
    <row r="28" spans="1:138" x14ac:dyDescent="0.25">
      <c r="AP28" s="9"/>
      <c r="AQ28" s="9"/>
      <c r="AR28" s="9"/>
      <c r="AS28" s="9"/>
      <c r="AT28" s="9"/>
      <c r="AU28" s="9"/>
      <c r="AV28" s="9"/>
      <c r="AW28" s="9"/>
      <c r="AX28" s="9"/>
      <c r="AY28" s="9"/>
      <c r="AZ28" s="9"/>
      <c r="BA28" s="9"/>
      <c r="EE28"/>
      <c r="EF28"/>
      <c r="EG28"/>
      <c r="EH28"/>
    </row>
    <row r="29" spans="1:138" x14ac:dyDescent="0.25">
      <c r="AP29" s="9"/>
      <c r="AQ29" s="9"/>
      <c r="AR29" s="9"/>
      <c r="AS29" s="9"/>
      <c r="AT29" s="9"/>
      <c r="AU29" s="9"/>
      <c r="AV29" s="9"/>
      <c r="AW29" s="9"/>
      <c r="AX29" s="9"/>
      <c r="AY29" s="9"/>
      <c r="AZ29" s="9"/>
      <c r="BA29" s="9"/>
      <c r="EE29"/>
      <c r="EF29"/>
      <c r="EG29"/>
      <c r="EH29"/>
    </row>
    <row r="30" spans="1:138" x14ac:dyDescent="0.25">
      <c r="AP30" s="9"/>
      <c r="AQ30" s="9"/>
      <c r="AR30" s="9"/>
      <c r="AS30" s="9"/>
      <c r="AT30" s="9"/>
      <c r="AU30" s="9"/>
      <c r="AV30" s="9"/>
      <c r="AW30" s="9"/>
      <c r="AX30" s="9"/>
      <c r="AY30" s="9"/>
      <c r="AZ30" s="9"/>
      <c r="BA30" s="9"/>
      <c r="EE30"/>
      <c r="EF30"/>
      <c r="EG30"/>
      <c r="EH30"/>
    </row>
    <row r="31" spans="1:138" x14ac:dyDescent="0.25">
      <c r="AP31" s="9"/>
      <c r="AQ31" s="9"/>
      <c r="AR31" s="9"/>
      <c r="AS31" s="9"/>
      <c r="AT31" s="9"/>
      <c r="AU31" s="9"/>
      <c r="AV31" s="9"/>
      <c r="AW31" s="9"/>
      <c r="AX31" s="9"/>
      <c r="AY31" s="9"/>
      <c r="AZ31" s="9"/>
      <c r="BA31" s="9"/>
      <c r="EE31"/>
      <c r="EF31"/>
      <c r="EG31"/>
      <c r="EH31"/>
    </row>
    <row r="32" spans="1:138" x14ac:dyDescent="0.25">
      <c r="AP32" s="9"/>
      <c r="AQ32" s="9"/>
      <c r="AR32" s="9"/>
      <c r="AS32" s="9"/>
      <c r="AT32" s="9"/>
      <c r="AU32" s="9"/>
      <c r="AV32" s="9"/>
      <c r="AW32" s="9"/>
      <c r="AX32" s="9"/>
      <c r="AY32" s="9"/>
      <c r="AZ32" s="9"/>
      <c r="BA32" s="9"/>
      <c r="EE32"/>
      <c r="EF32"/>
      <c r="EG32"/>
      <c r="EH32"/>
    </row>
  </sheetData>
  <autoFilter ref="A7:AZ18" xr:uid="{00000000-0009-0000-0000-000000000000}"/>
  <mergeCells count="72">
    <mergeCell ref="R15:R17"/>
    <mergeCell ref="S15:S17"/>
    <mergeCell ref="T15:T17"/>
    <mergeCell ref="U15:U17"/>
    <mergeCell ref="M9:M11"/>
    <mergeCell ref="N9:N11"/>
    <mergeCell ref="O9:O11"/>
    <mergeCell ref="J6:L6"/>
    <mergeCell ref="AE6:AG6"/>
    <mergeCell ref="P9:P11"/>
    <mergeCell ref="Q9:Q11"/>
    <mergeCell ref="AE18:AG18"/>
    <mergeCell ref="AE8:AG8"/>
    <mergeCell ref="AE12:AG12"/>
    <mergeCell ref="R9:R11"/>
    <mergeCell ref="S9:S11"/>
    <mergeCell ref="T9:T11"/>
    <mergeCell ref="U9:U11"/>
    <mergeCell ref="M15:M17"/>
    <mergeCell ref="N15:N17"/>
    <mergeCell ref="O15:O17"/>
    <mergeCell ref="P15:P17"/>
    <mergeCell ref="Q15:Q17"/>
    <mergeCell ref="D6:E6"/>
    <mergeCell ref="F6:I6"/>
    <mergeCell ref="A8:A18"/>
    <mergeCell ref="B8:B18"/>
    <mergeCell ref="C8:C18"/>
    <mergeCell ref="D8:D18"/>
    <mergeCell ref="H8:H18"/>
    <mergeCell ref="I9:I11"/>
    <mergeCell ref="I15:I17"/>
    <mergeCell ref="AZ6:BA6"/>
    <mergeCell ref="M6:O6"/>
    <mergeCell ref="P6:R6"/>
    <mergeCell ref="S6:U6"/>
    <mergeCell ref="E8:E18"/>
    <mergeCell ref="F8:F18"/>
    <mergeCell ref="G8:G18"/>
    <mergeCell ref="AH6:AJ6"/>
    <mergeCell ref="AK6:AM6"/>
    <mergeCell ref="AN6:AP6"/>
    <mergeCell ref="L15:L17"/>
    <mergeCell ref="J9:J11"/>
    <mergeCell ref="K9:K11"/>
    <mergeCell ref="L9:L11"/>
    <mergeCell ref="J15:J17"/>
    <mergeCell ref="K15:K17"/>
    <mergeCell ref="AW6:AY6"/>
    <mergeCell ref="V6:X6"/>
    <mergeCell ref="Y6:AA6"/>
    <mergeCell ref="AB6:AD6"/>
    <mergeCell ref="V9:V11"/>
    <mergeCell ref="Z9:Z11"/>
    <mergeCell ref="AA9:AA11"/>
    <mergeCell ref="AB9:AB11"/>
    <mergeCell ref="AC9:AC11"/>
    <mergeCell ref="AD9:AD11"/>
    <mergeCell ref="Y9:Y11"/>
    <mergeCell ref="AQ6:AS6"/>
    <mergeCell ref="AT6:AV6"/>
    <mergeCell ref="V15:V17"/>
    <mergeCell ref="W9:W11"/>
    <mergeCell ref="W15:W17"/>
    <mergeCell ref="X15:X17"/>
    <mergeCell ref="X9:X11"/>
    <mergeCell ref="AD15:AD17"/>
    <mergeCell ref="Y15:Y17"/>
    <mergeCell ref="Z15:Z17"/>
    <mergeCell ref="AA15:AA17"/>
    <mergeCell ref="AB15:AB17"/>
    <mergeCell ref="AC15:AC17"/>
  </mergeCells>
  <pageMargins left="0.75" right="0.75" top="1" bottom="1" header="0.5" footer="0.5"/>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18A8-11E1-4927-8AE8-0E83C01609B3}">
  <sheetPr>
    <tabColor theme="5" tint="-0.249977111117893"/>
  </sheetPr>
  <dimension ref="A1:EH31"/>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17.7109375" style="6" bestFit="1"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2" width="15.28515625" style="4" customWidth="1"/>
    <col min="23" max="23" width="23.42578125" style="84" customWidth="1"/>
    <col min="24" max="24" width="17.7109375" style="6" bestFit="1" customWidth="1"/>
    <col min="25" max="25" width="15.28515625" style="4" customWidth="1"/>
    <col min="26" max="26" width="23.42578125" style="84" customWidth="1"/>
    <col min="27" max="27" width="17.7109375" style="6" bestFit="1" customWidth="1"/>
    <col min="28" max="28" width="15.28515625" style="4" customWidth="1"/>
    <col min="29" max="29" width="23.42578125" style="84" customWidth="1"/>
    <col min="30" max="30" width="17.7109375" style="6" bestFit="1" customWidth="1"/>
    <col min="31" max="32" width="45.7109375" style="3" bestFit="1" customWidth="1"/>
    <col min="33" max="33" width="15.28515625" style="8" bestFit="1" customWidth="1"/>
    <col min="34" max="34" width="15.28515625" style="4" customWidth="1"/>
    <col min="35" max="35" width="23.42578125" style="84" customWidth="1"/>
    <col min="36" max="36" width="17.7109375" style="6" bestFit="1" customWidth="1"/>
    <col min="37" max="37" width="15.28515625" style="4" customWidth="1"/>
    <col min="38" max="38" width="23.42578125" style="84" customWidth="1"/>
    <col min="39" max="39" width="17.7109375" style="6" bestFit="1" customWidth="1"/>
    <col min="40" max="40" width="15.28515625" style="4" customWidth="1"/>
    <col min="41" max="41" width="23.42578125" style="84" customWidth="1"/>
    <col min="42" max="42" width="17.7109375" style="6" bestFit="1" customWidth="1"/>
    <col min="43" max="43" width="15.28515625" style="4" customWidth="1"/>
    <col min="44" max="44" width="23.42578125" style="84" customWidth="1"/>
    <col min="45" max="45" width="17.7109375" style="6" bestFit="1" customWidth="1"/>
    <col min="46" max="46" width="15.28515625" style="4" customWidth="1"/>
    <col min="47" max="47" width="23.42578125" style="84" customWidth="1"/>
    <col min="48" max="48" width="17.7109375" style="6" bestFit="1" customWidth="1"/>
    <col min="49" max="49" width="15.28515625" style="4" customWidth="1"/>
    <col min="50" max="50" width="23.42578125" style="84" customWidth="1"/>
    <col min="51" max="51" width="17.7109375" style="6" bestFit="1" customWidth="1"/>
    <col min="52" max="52" width="30.140625" style="12" bestFit="1" customWidth="1"/>
    <col min="53" max="53" width="45.7109375" style="12" bestFit="1" customWidth="1"/>
    <col min="54" max="138" width="11.42578125" style="9"/>
  </cols>
  <sheetData>
    <row r="1" spans="1:138" x14ac:dyDescent="0.25">
      <c r="H1"/>
      <c r="I1"/>
      <c r="AG1" s="158"/>
    </row>
    <row r="2" spans="1:138" x14ac:dyDescent="0.25">
      <c r="H2"/>
      <c r="I2"/>
      <c r="AG2" s="158"/>
    </row>
    <row r="3" spans="1:138" x14ac:dyDescent="0.25">
      <c r="H3"/>
      <c r="I3"/>
      <c r="AG3" s="158"/>
    </row>
    <row r="4" spans="1:138" x14ac:dyDescent="0.25">
      <c r="H4"/>
      <c r="I4"/>
      <c r="AG4" s="158"/>
    </row>
    <row r="5" spans="1:138" x14ac:dyDescent="0.25">
      <c r="H5"/>
      <c r="I5"/>
      <c r="N5" s="85"/>
      <c r="Q5" s="85"/>
      <c r="T5" s="85"/>
      <c r="W5" s="85"/>
      <c r="Z5" s="85"/>
      <c r="AC5" s="85"/>
      <c r="AG5" s="158"/>
      <c r="AI5" s="85"/>
      <c r="AL5" s="85"/>
      <c r="AO5" s="85"/>
      <c r="AR5" s="85"/>
      <c r="AU5" s="85"/>
      <c r="AX5" s="85"/>
    </row>
    <row r="6" spans="1:138" s="11" customFormat="1" ht="30" x14ac:dyDescent="0.2">
      <c r="A6" s="170" t="s">
        <v>61</v>
      </c>
      <c r="B6" s="170" t="s">
        <v>62</v>
      </c>
      <c r="C6" s="313" t="s">
        <v>1635</v>
      </c>
      <c r="D6" s="335" t="s">
        <v>63</v>
      </c>
      <c r="E6" s="336"/>
      <c r="F6" s="335" t="s">
        <v>64</v>
      </c>
      <c r="G6" s="337"/>
      <c r="H6" s="337"/>
      <c r="I6" s="336"/>
      <c r="J6" s="338" t="s">
        <v>65</v>
      </c>
      <c r="K6" s="338"/>
      <c r="L6" s="338"/>
      <c r="M6" s="339" t="s">
        <v>2</v>
      </c>
      <c r="N6" s="340"/>
      <c r="O6" s="341"/>
      <c r="P6" s="339" t="s">
        <v>3</v>
      </c>
      <c r="Q6" s="340"/>
      <c r="R6" s="341"/>
      <c r="S6" s="339" t="s">
        <v>4</v>
      </c>
      <c r="T6" s="340"/>
      <c r="U6" s="341"/>
      <c r="V6" s="339" t="s">
        <v>1081</v>
      </c>
      <c r="W6" s="340"/>
      <c r="X6" s="341"/>
      <c r="Y6" s="339" t="s">
        <v>1082</v>
      </c>
      <c r="Z6" s="340"/>
      <c r="AA6" s="341"/>
      <c r="AB6" s="339" t="s">
        <v>1083</v>
      </c>
      <c r="AC6" s="340"/>
      <c r="AD6" s="341"/>
      <c r="AE6" s="373" t="s">
        <v>66</v>
      </c>
      <c r="AF6" s="373"/>
      <c r="AG6" s="373"/>
      <c r="AH6" s="367" t="s">
        <v>2</v>
      </c>
      <c r="AI6" s="368"/>
      <c r="AJ6" s="369"/>
      <c r="AK6" s="367" t="s">
        <v>3</v>
      </c>
      <c r="AL6" s="368"/>
      <c r="AM6" s="369"/>
      <c r="AN6" s="367" t="s">
        <v>4</v>
      </c>
      <c r="AO6" s="368"/>
      <c r="AP6" s="369"/>
      <c r="AQ6" s="367" t="s">
        <v>1081</v>
      </c>
      <c r="AR6" s="368"/>
      <c r="AS6" s="369"/>
      <c r="AT6" s="367" t="s">
        <v>1082</v>
      </c>
      <c r="AU6" s="368"/>
      <c r="AV6" s="369"/>
      <c r="AW6" s="367" t="s">
        <v>1083</v>
      </c>
      <c r="AX6" s="368"/>
      <c r="AY6" s="369"/>
      <c r="AZ6" s="338" t="s">
        <v>67</v>
      </c>
      <c r="BA6" s="338"/>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row>
    <row r="7" spans="1:138" s="11" customFormat="1" ht="49.5" customHeight="1" x14ac:dyDescent="0.2">
      <c r="A7" s="170" t="s">
        <v>68</v>
      </c>
      <c r="B7" s="170" t="s">
        <v>69</v>
      </c>
      <c r="C7" s="170" t="s">
        <v>70</v>
      </c>
      <c r="D7" s="170" t="s">
        <v>71</v>
      </c>
      <c r="E7" s="170" t="s">
        <v>72</v>
      </c>
      <c r="F7" s="170" t="s">
        <v>73</v>
      </c>
      <c r="G7" s="170" t="s">
        <v>74</v>
      </c>
      <c r="H7" s="20" t="s">
        <v>75</v>
      </c>
      <c r="I7" s="20" t="s">
        <v>76</v>
      </c>
      <c r="J7" s="170" t="s">
        <v>65</v>
      </c>
      <c r="K7" s="170" t="s">
        <v>77</v>
      </c>
      <c r="L7" s="170" t="s">
        <v>78</v>
      </c>
      <c r="M7" s="170" t="s">
        <v>79</v>
      </c>
      <c r="N7" s="86" t="s">
        <v>80</v>
      </c>
      <c r="O7" s="170" t="s">
        <v>81</v>
      </c>
      <c r="P7" s="170" t="s">
        <v>79</v>
      </c>
      <c r="Q7" s="86" t="s">
        <v>80</v>
      </c>
      <c r="R7" s="170" t="s">
        <v>81</v>
      </c>
      <c r="S7" s="170" t="s">
        <v>79</v>
      </c>
      <c r="T7" s="86" t="s">
        <v>80</v>
      </c>
      <c r="U7" s="170" t="s">
        <v>81</v>
      </c>
      <c r="V7" s="221" t="s">
        <v>79</v>
      </c>
      <c r="W7" s="86" t="s">
        <v>80</v>
      </c>
      <c r="X7" s="221" t="s">
        <v>81</v>
      </c>
      <c r="Y7" s="221" t="s">
        <v>79</v>
      </c>
      <c r="Z7" s="86" t="s">
        <v>80</v>
      </c>
      <c r="AA7" s="221" t="s">
        <v>81</v>
      </c>
      <c r="AB7" s="221" t="s">
        <v>79</v>
      </c>
      <c r="AC7" s="86" t="s">
        <v>80</v>
      </c>
      <c r="AD7" s="221" t="s">
        <v>81</v>
      </c>
      <c r="AE7" s="308" t="s">
        <v>66</v>
      </c>
      <c r="AF7" s="308" t="s">
        <v>82</v>
      </c>
      <c r="AG7" s="308" t="s">
        <v>83</v>
      </c>
      <c r="AH7" s="308" t="s">
        <v>79</v>
      </c>
      <c r="AI7" s="309" t="s">
        <v>80</v>
      </c>
      <c r="AJ7" s="308" t="s">
        <v>81</v>
      </c>
      <c r="AK7" s="308" t="s">
        <v>79</v>
      </c>
      <c r="AL7" s="309" t="s">
        <v>80</v>
      </c>
      <c r="AM7" s="308" t="s">
        <v>81</v>
      </c>
      <c r="AN7" s="308" t="s">
        <v>79</v>
      </c>
      <c r="AO7" s="309" t="s">
        <v>80</v>
      </c>
      <c r="AP7" s="308" t="s">
        <v>81</v>
      </c>
      <c r="AQ7" s="308" t="s">
        <v>79</v>
      </c>
      <c r="AR7" s="309" t="s">
        <v>80</v>
      </c>
      <c r="AS7" s="308" t="s">
        <v>81</v>
      </c>
      <c r="AT7" s="308" t="s">
        <v>79</v>
      </c>
      <c r="AU7" s="309" t="s">
        <v>80</v>
      </c>
      <c r="AV7" s="308" t="s">
        <v>81</v>
      </c>
      <c r="AW7" s="308" t="s">
        <v>79</v>
      </c>
      <c r="AX7" s="309" t="s">
        <v>80</v>
      </c>
      <c r="AY7" s="308" t="s">
        <v>81</v>
      </c>
      <c r="AZ7" s="170" t="s">
        <v>84</v>
      </c>
      <c r="BA7" s="170" t="s">
        <v>85</v>
      </c>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row>
    <row r="8" spans="1:138" s="5" customFormat="1" ht="60.75" customHeight="1" x14ac:dyDescent="0.2">
      <c r="A8" s="171" t="s">
        <v>86</v>
      </c>
      <c r="B8" s="171" t="s">
        <v>157</v>
      </c>
      <c r="C8" s="171" t="s">
        <v>1636</v>
      </c>
      <c r="D8" s="171" t="s">
        <v>159</v>
      </c>
      <c r="E8" s="172" t="s">
        <v>160</v>
      </c>
      <c r="F8" s="171" t="s">
        <v>90</v>
      </c>
      <c r="G8" s="171" t="s">
        <v>91</v>
      </c>
      <c r="H8" s="345">
        <v>16996168199</v>
      </c>
      <c r="I8" s="22">
        <v>301847621</v>
      </c>
      <c r="J8" s="23" t="s">
        <v>161</v>
      </c>
      <c r="K8" s="159"/>
      <c r="L8" s="160"/>
      <c r="M8" s="89"/>
      <c r="N8" s="91"/>
      <c r="O8" s="89"/>
      <c r="P8" s="89"/>
      <c r="Q8" s="91"/>
      <c r="R8" s="89"/>
      <c r="S8" s="89"/>
      <c r="T8" s="91"/>
      <c r="U8" s="89"/>
      <c r="V8" s="89"/>
      <c r="W8" s="91"/>
      <c r="X8" s="89"/>
      <c r="Y8" s="89"/>
      <c r="Z8" s="91"/>
      <c r="AA8" s="89"/>
      <c r="AB8" s="89"/>
      <c r="AC8" s="91"/>
      <c r="AD8" s="89"/>
      <c r="AE8" s="351" t="s">
        <v>95</v>
      </c>
      <c r="AF8" s="351"/>
      <c r="AG8" s="351"/>
      <c r="AH8" s="89"/>
      <c r="AI8" s="91"/>
      <c r="AJ8" s="89"/>
      <c r="AK8" s="89"/>
      <c r="AL8" s="91"/>
      <c r="AM8" s="89"/>
      <c r="AN8" s="89"/>
      <c r="AO8" s="91"/>
      <c r="AP8" s="89"/>
      <c r="AQ8" s="89"/>
      <c r="AR8" s="91"/>
      <c r="AS8" s="89"/>
      <c r="AT8" s="89"/>
      <c r="AU8" s="91"/>
      <c r="AV8" s="89"/>
      <c r="AW8" s="89"/>
      <c r="AX8" s="91"/>
      <c r="AY8" s="89"/>
      <c r="AZ8" s="13" t="s">
        <v>162</v>
      </c>
      <c r="BA8" s="13" t="s">
        <v>163</v>
      </c>
    </row>
    <row r="9" spans="1:138" ht="75" x14ac:dyDescent="0.25">
      <c r="H9" s="372"/>
      <c r="M9" s="71" t="s">
        <v>164</v>
      </c>
      <c r="N9" s="87" t="s">
        <v>11</v>
      </c>
      <c r="P9" s="71" t="s">
        <v>164</v>
      </c>
      <c r="Q9" s="87" t="s">
        <v>11</v>
      </c>
      <c r="S9" s="71" t="s">
        <v>164</v>
      </c>
      <c r="T9" s="87" t="s">
        <v>11</v>
      </c>
      <c r="V9" s="71" t="s">
        <v>164</v>
      </c>
      <c r="W9" s="87" t="s">
        <v>11</v>
      </c>
      <c r="Y9" s="71" t="s">
        <v>164</v>
      </c>
      <c r="Z9" s="87" t="s">
        <v>11</v>
      </c>
      <c r="AB9" s="71" t="s">
        <v>164</v>
      </c>
      <c r="AC9" s="87" t="s">
        <v>11</v>
      </c>
      <c r="AH9" s="71" t="s">
        <v>165</v>
      </c>
      <c r="AI9" s="87" t="s">
        <v>11</v>
      </c>
      <c r="AK9" s="71" t="s">
        <v>165</v>
      </c>
      <c r="AL9" s="87" t="s">
        <v>11</v>
      </c>
      <c r="AN9" s="71" t="s">
        <v>165</v>
      </c>
      <c r="AO9" s="87" t="s">
        <v>11</v>
      </c>
      <c r="AP9" s="9"/>
      <c r="AQ9" s="71" t="s">
        <v>165</v>
      </c>
      <c r="AR9" s="87" t="s">
        <v>11</v>
      </c>
      <c r="AT9" s="71" t="s">
        <v>165</v>
      </c>
      <c r="AU9" s="87" t="s">
        <v>11</v>
      </c>
      <c r="AW9" s="71" t="s">
        <v>165</v>
      </c>
      <c r="AX9" s="87" t="s">
        <v>11</v>
      </c>
      <c r="AY9" s="9"/>
      <c r="AZ9" s="9"/>
      <c r="BA9" s="9"/>
      <c r="EE9"/>
      <c r="EF9"/>
      <c r="EG9"/>
      <c r="EH9"/>
    </row>
    <row r="10" spans="1:138" s="5" customFormat="1" ht="33.75" customHeight="1" x14ac:dyDescent="0.2">
      <c r="A10" s="347" t="s">
        <v>86</v>
      </c>
      <c r="B10" s="347" t="s">
        <v>157</v>
      </c>
      <c r="C10" s="347" t="s">
        <v>1636</v>
      </c>
      <c r="D10" s="347" t="s">
        <v>159</v>
      </c>
      <c r="E10" s="363" t="s">
        <v>166</v>
      </c>
      <c r="F10" s="347" t="s">
        <v>90</v>
      </c>
      <c r="G10" s="347" t="s">
        <v>91</v>
      </c>
      <c r="H10" s="372"/>
      <c r="I10" s="22">
        <v>366497660</v>
      </c>
      <c r="J10" s="80" t="s">
        <v>167</v>
      </c>
      <c r="K10" s="80" t="s">
        <v>168</v>
      </c>
      <c r="L10" s="183">
        <v>1</v>
      </c>
      <c r="M10" s="80">
        <v>0</v>
      </c>
      <c r="N10" s="183">
        <v>0</v>
      </c>
      <c r="O10" s="80" t="s">
        <v>169</v>
      </c>
      <c r="P10" s="80">
        <v>1</v>
      </c>
      <c r="Q10" s="183">
        <v>1</v>
      </c>
      <c r="R10" s="80" t="s">
        <v>170</v>
      </c>
      <c r="S10" s="80">
        <v>1</v>
      </c>
      <c r="T10" s="183">
        <v>1</v>
      </c>
      <c r="U10" s="80" t="s">
        <v>170</v>
      </c>
      <c r="V10" s="80">
        <v>1</v>
      </c>
      <c r="W10" s="224">
        <v>1</v>
      </c>
      <c r="X10" s="80" t="s">
        <v>1443</v>
      </c>
      <c r="Y10" s="80">
        <v>1</v>
      </c>
      <c r="Z10" s="224">
        <v>1</v>
      </c>
      <c r="AA10" s="80" t="s">
        <v>1457</v>
      </c>
      <c r="AB10" s="80">
        <v>1</v>
      </c>
      <c r="AC10" s="224">
        <v>1</v>
      </c>
      <c r="AD10" s="80" t="s">
        <v>1474</v>
      </c>
      <c r="AE10" s="351" t="s">
        <v>95</v>
      </c>
      <c r="AF10" s="351"/>
      <c r="AG10" s="351"/>
      <c r="AH10" s="89"/>
      <c r="AI10" s="91"/>
      <c r="AJ10" s="89"/>
      <c r="AK10" s="89"/>
      <c r="AL10" s="91"/>
      <c r="AM10" s="89"/>
      <c r="AN10" s="89"/>
      <c r="AO10" s="91"/>
      <c r="AP10" s="89"/>
      <c r="AQ10" s="89"/>
      <c r="AR10" s="91"/>
      <c r="AS10" s="89"/>
      <c r="AT10" s="89"/>
      <c r="AU10" s="91"/>
      <c r="AV10" s="89"/>
      <c r="AW10" s="89"/>
      <c r="AX10" s="91"/>
      <c r="AY10" s="89"/>
      <c r="AZ10" s="13" t="s">
        <v>162</v>
      </c>
      <c r="BA10" s="13" t="s">
        <v>163</v>
      </c>
    </row>
    <row r="11" spans="1:138" s="5" customFormat="1" ht="33.75" customHeight="1" x14ac:dyDescent="0.2">
      <c r="A11" s="366"/>
      <c r="B11" s="366"/>
      <c r="C11" s="366"/>
      <c r="D11" s="366"/>
      <c r="E11" s="364"/>
      <c r="F11" s="366"/>
      <c r="G11" s="366"/>
      <c r="H11" s="372"/>
      <c r="I11" s="22">
        <v>3089541746</v>
      </c>
      <c r="J11" s="80" t="s">
        <v>171</v>
      </c>
      <c r="K11" s="91"/>
      <c r="L11" s="89"/>
      <c r="M11" s="89"/>
      <c r="N11" s="91"/>
      <c r="O11" s="89"/>
      <c r="P11" s="89"/>
      <c r="Q11" s="91"/>
      <c r="R11" s="89"/>
      <c r="S11" s="89"/>
      <c r="T11" s="91"/>
      <c r="U11" s="89"/>
      <c r="V11" s="89"/>
      <c r="W11" s="91"/>
      <c r="X11" s="89"/>
      <c r="Y11" s="89"/>
      <c r="Z11" s="91"/>
      <c r="AA11" s="89"/>
      <c r="AB11" s="89"/>
      <c r="AC11" s="91"/>
      <c r="AD11" s="89"/>
      <c r="AE11" s="351" t="s">
        <v>95</v>
      </c>
      <c r="AF11" s="351"/>
      <c r="AG11" s="351"/>
      <c r="AH11" s="89"/>
      <c r="AI11" s="91"/>
      <c r="AJ11" s="89"/>
      <c r="AK11" s="89"/>
      <c r="AL11" s="91"/>
      <c r="AM11" s="89"/>
      <c r="AN11" s="89"/>
      <c r="AO11" s="91"/>
      <c r="AP11" s="89"/>
      <c r="AQ11" s="89"/>
      <c r="AR11" s="91"/>
      <c r="AS11" s="89"/>
      <c r="AT11" s="89"/>
      <c r="AU11" s="91"/>
      <c r="AV11" s="89"/>
      <c r="AW11" s="89"/>
      <c r="AX11" s="91"/>
      <c r="AY11" s="89"/>
      <c r="AZ11" s="13" t="s">
        <v>162</v>
      </c>
      <c r="BA11" s="13" t="s">
        <v>163</v>
      </c>
    </row>
    <row r="12" spans="1:138" s="5" customFormat="1" ht="33.75" customHeight="1" x14ac:dyDescent="0.2">
      <c r="A12" s="366"/>
      <c r="B12" s="366"/>
      <c r="C12" s="366"/>
      <c r="D12" s="366"/>
      <c r="E12" s="364"/>
      <c r="F12" s="366"/>
      <c r="G12" s="366"/>
      <c r="H12" s="372"/>
      <c r="I12" s="345">
        <v>344228548</v>
      </c>
      <c r="J12" s="391" t="s">
        <v>172</v>
      </c>
      <c r="K12" s="400"/>
      <c r="L12" s="402"/>
      <c r="M12" s="381"/>
      <c r="N12" s="381"/>
      <c r="O12" s="381"/>
      <c r="P12" s="381"/>
      <c r="Q12" s="381"/>
      <c r="R12" s="381"/>
      <c r="S12" s="381"/>
      <c r="T12" s="381"/>
      <c r="U12" s="381"/>
      <c r="V12" s="381"/>
      <c r="W12" s="381"/>
      <c r="X12" s="381"/>
      <c r="Y12" s="381"/>
      <c r="Z12" s="381"/>
      <c r="AA12" s="381"/>
      <c r="AB12" s="381"/>
      <c r="AC12" s="381"/>
      <c r="AD12" s="381"/>
      <c r="AE12" s="13" t="s">
        <v>173</v>
      </c>
      <c r="AF12" s="13" t="s">
        <v>174</v>
      </c>
      <c r="AG12" s="177">
        <v>1</v>
      </c>
      <c r="AH12" s="183">
        <v>0</v>
      </c>
      <c r="AI12" s="80">
        <v>0</v>
      </c>
      <c r="AJ12" s="80" t="s">
        <v>169</v>
      </c>
      <c r="AK12" s="80">
        <v>1</v>
      </c>
      <c r="AL12" s="183">
        <v>1</v>
      </c>
      <c r="AM12" s="80" t="s">
        <v>175</v>
      </c>
      <c r="AN12" s="80">
        <v>1</v>
      </c>
      <c r="AO12" s="183">
        <v>1</v>
      </c>
      <c r="AP12" s="80" t="s">
        <v>176</v>
      </c>
      <c r="AQ12" s="80">
        <v>1</v>
      </c>
      <c r="AR12" s="224">
        <v>1</v>
      </c>
      <c r="AS12" s="80" t="s">
        <v>1446</v>
      </c>
      <c r="AT12" s="80">
        <v>1</v>
      </c>
      <c r="AU12" s="224">
        <v>1</v>
      </c>
      <c r="AV12" s="80" t="s">
        <v>1462</v>
      </c>
      <c r="AW12" s="80">
        <v>1</v>
      </c>
      <c r="AX12" s="224">
        <v>1</v>
      </c>
      <c r="AY12" s="80" t="s">
        <v>1477</v>
      </c>
      <c r="AZ12" s="13" t="s">
        <v>162</v>
      </c>
      <c r="BA12" s="13" t="s">
        <v>163</v>
      </c>
    </row>
    <row r="13" spans="1:138" s="5" customFormat="1" ht="33.75" customHeight="1" x14ac:dyDescent="0.2">
      <c r="A13" s="348"/>
      <c r="B13" s="348"/>
      <c r="C13" s="348"/>
      <c r="D13" s="348"/>
      <c r="E13" s="365"/>
      <c r="F13" s="348"/>
      <c r="G13" s="348"/>
      <c r="H13" s="372"/>
      <c r="I13" s="346"/>
      <c r="J13" s="392"/>
      <c r="K13" s="401"/>
      <c r="L13" s="403"/>
      <c r="M13" s="383"/>
      <c r="N13" s="383"/>
      <c r="O13" s="383"/>
      <c r="P13" s="383"/>
      <c r="Q13" s="383"/>
      <c r="R13" s="383"/>
      <c r="S13" s="383"/>
      <c r="T13" s="383"/>
      <c r="U13" s="383"/>
      <c r="V13" s="383"/>
      <c r="W13" s="383"/>
      <c r="X13" s="383"/>
      <c r="Y13" s="383"/>
      <c r="Z13" s="383"/>
      <c r="AA13" s="383"/>
      <c r="AB13" s="383"/>
      <c r="AC13" s="383"/>
      <c r="AD13" s="383"/>
      <c r="AE13" s="13" t="s">
        <v>177</v>
      </c>
      <c r="AF13" s="13" t="s">
        <v>178</v>
      </c>
      <c r="AG13" s="177">
        <v>1</v>
      </c>
      <c r="AH13" s="183">
        <v>0</v>
      </c>
      <c r="AI13" s="80">
        <v>0</v>
      </c>
      <c r="AJ13" s="80" t="s">
        <v>169</v>
      </c>
      <c r="AK13" s="80">
        <v>0</v>
      </c>
      <c r="AL13" s="183">
        <v>0</v>
      </c>
      <c r="AM13" s="80" t="s">
        <v>179</v>
      </c>
      <c r="AN13" s="80">
        <v>0.32</v>
      </c>
      <c r="AO13" s="183">
        <v>0.32</v>
      </c>
      <c r="AP13" s="80" t="s">
        <v>180</v>
      </c>
      <c r="AQ13" s="80">
        <v>0.32</v>
      </c>
      <c r="AR13" s="224">
        <v>0.32</v>
      </c>
      <c r="AS13" s="80" t="s">
        <v>180</v>
      </c>
      <c r="AT13" s="80">
        <v>0.32</v>
      </c>
      <c r="AU13" s="224">
        <v>0.32</v>
      </c>
      <c r="AV13" s="80" t="s">
        <v>1463</v>
      </c>
      <c r="AW13" s="80">
        <v>0.54</v>
      </c>
      <c r="AX13" s="224">
        <v>0.54</v>
      </c>
      <c r="AY13" s="80" t="s">
        <v>1478</v>
      </c>
      <c r="AZ13" s="13" t="s">
        <v>162</v>
      </c>
      <c r="BA13" s="13" t="s">
        <v>163</v>
      </c>
    </row>
    <row r="14" spans="1:138" ht="75" x14ac:dyDescent="0.25">
      <c r="H14" s="372"/>
      <c r="M14" s="71" t="s">
        <v>164</v>
      </c>
      <c r="N14" s="87">
        <f>AVERAGE(N10)</f>
        <v>0</v>
      </c>
      <c r="P14" s="71" t="s">
        <v>164</v>
      </c>
      <c r="Q14" s="87">
        <f>AVERAGE(Q10:Q13)</f>
        <v>1</v>
      </c>
      <c r="S14" s="71" t="s">
        <v>164</v>
      </c>
      <c r="T14" s="87">
        <f>AVERAGE(T10)</f>
        <v>1</v>
      </c>
      <c r="V14" s="71" t="s">
        <v>164</v>
      </c>
      <c r="W14" s="87">
        <f>AVERAGE(W10)</f>
        <v>1</v>
      </c>
      <c r="Y14" s="71" t="s">
        <v>164</v>
      </c>
      <c r="Z14" s="87">
        <f>AVERAGE(Z10:Z13)</f>
        <v>1</v>
      </c>
      <c r="AB14" s="71" t="s">
        <v>164</v>
      </c>
      <c r="AC14" s="87">
        <f>AVERAGE(AC10)</f>
        <v>1</v>
      </c>
      <c r="AH14" s="71" t="s">
        <v>165</v>
      </c>
      <c r="AI14" s="87">
        <f>AVERAGE(AI12:AI13)</f>
        <v>0</v>
      </c>
      <c r="AK14" s="71" t="s">
        <v>165</v>
      </c>
      <c r="AL14" s="87">
        <f>AVERAGE(AL12:AL13)</f>
        <v>0.5</v>
      </c>
      <c r="AN14" s="71" t="s">
        <v>165</v>
      </c>
      <c r="AO14" s="87">
        <f>AVERAGE(AO12:AO13)</f>
        <v>0.66</v>
      </c>
      <c r="AP14" s="9"/>
      <c r="AQ14" s="71" t="s">
        <v>165</v>
      </c>
      <c r="AR14" s="87">
        <f>AVERAGE(AR12:AR13)</f>
        <v>0.66</v>
      </c>
      <c r="AT14" s="71" t="s">
        <v>165</v>
      </c>
      <c r="AU14" s="87">
        <f>AVERAGE(AU12:AU13)</f>
        <v>0.66</v>
      </c>
      <c r="AW14" s="71" t="s">
        <v>165</v>
      </c>
      <c r="AX14" s="87">
        <f>AVERAGE(AX12:AX13)</f>
        <v>0.77</v>
      </c>
      <c r="AY14" s="9"/>
      <c r="AZ14" s="9"/>
      <c r="BA14" s="9"/>
      <c r="EE14"/>
      <c r="EF14"/>
      <c r="EG14"/>
      <c r="EH14"/>
    </row>
    <row r="15" spans="1:138" s="5" customFormat="1" ht="33.75" customHeight="1" x14ac:dyDescent="0.2">
      <c r="A15" s="347" t="s">
        <v>86</v>
      </c>
      <c r="B15" s="347" t="s">
        <v>157</v>
      </c>
      <c r="C15" s="347" t="s">
        <v>1636</v>
      </c>
      <c r="D15" s="347" t="s">
        <v>159</v>
      </c>
      <c r="E15" s="363" t="s">
        <v>181</v>
      </c>
      <c r="F15" s="347" t="s">
        <v>90</v>
      </c>
      <c r="G15" s="347" t="s">
        <v>91</v>
      </c>
      <c r="H15" s="372"/>
      <c r="I15" s="345">
        <v>8156324603</v>
      </c>
      <c r="J15" s="385" t="s">
        <v>171</v>
      </c>
      <c r="K15" s="388"/>
      <c r="L15" s="397"/>
      <c r="M15" s="381"/>
      <c r="N15" s="381"/>
      <c r="O15" s="381"/>
      <c r="P15" s="381"/>
      <c r="Q15" s="381"/>
      <c r="R15" s="381"/>
      <c r="S15" s="381"/>
      <c r="T15" s="381"/>
      <c r="U15" s="381"/>
      <c r="V15" s="381"/>
      <c r="W15" s="381"/>
      <c r="X15" s="381"/>
      <c r="Y15" s="381"/>
      <c r="Z15" s="381"/>
      <c r="AA15" s="381"/>
      <c r="AB15" s="381"/>
      <c r="AC15" s="381"/>
      <c r="AD15" s="381"/>
      <c r="AE15" s="13" t="s">
        <v>182</v>
      </c>
      <c r="AF15" s="13" t="s">
        <v>183</v>
      </c>
      <c r="AG15" s="24">
        <v>27</v>
      </c>
      <c r="AH15" s="24">
        <v>0</v>
      </c>
      <c r="AI15" s="183">
        <v>0</v>
      </c>
      <c r="AJ15" s="80" t="s">
        <v>184</v>
      </c>
      <c r="AK15" s="24">
        <v>1.25</v>
      </c>
      <c r="AL15" s="183">
        <v>4.6296296296296294E-2</v>
      </c>
      <c r="AM15" s="80" t="s">
        <v>185</v>
      </c>
      <c r="AN15" s="161">
        <v>4</v>
      </c>
      <c r="AO15" s="183">
        <v>0.14814814814814814</v>
      </c>
      <c r="AP15" s="80" t="s">
        <v>186</v>
      </c>
      <c r="AQ15" s="161">
        <v>4</v>
      </c>
      <c r="AR15" s="224">
        <v>0.14814814814814814</v>
      </c>
      <c r="AS15" s="80" t="s">
        <v>1447</v>
      </c>
      <c r="AT15" s="161">
        <v>5</v>
      </c>
      <c r="AU15" s="224">
        <v>0.18518518518518517</v>
      </c>
      <c r="AV15" s="80" t="s">
        <v>1464</v>
      </c>
      <c r="AW15" s="161">
        <v>10</v>
      </c>
      <c r="AX15" s="224">
        <v>0.37037037037037035</v>
      </c>
      <c r="AY15" s="80" t="s">
        <v>1479</v>
      </c>
      <c r="AZ15" s="13" t="s">
        <v>162</v>
      </c>
      <c r="BA15" s="13" t="s">
        <v>163</v>
      </c>
    </row>
    <row r="16" spans="1:138" s="5" customFormat="1" ht="33.75" customHeight="1" x14ac:dyDescent="0.2">
      <c r="A16" s="366"/>
      <c r="B16" s="366"/>
      <c r="C16" s="366"/>
      <c r="D16" s="366"/>
      <c r="E16" s="364"/>
      <c r="F16" s="366"/>
      <c r="G16" s="366"/>
      <c r="H16" s="372"/>
      <c r="I16" s="372"/>
      <c r="J16" s="386"/>
      <c r="K16" s="389"/>
      <c r="L16" s="398"/>
      <c r="M16" s="382"/>
      <c r="N16" s="382"/>
      <c r="O16" s="382"/>
      <c r="P16" s="382"/>
      <c r="Q16" s="382"/>
      <c r="R16" s="382"/>
      <c r="S16" s="382"/>
      <c r="T16" s="382"/>
      <c r="U16" s="382"/>
      <c r="V16" s="382"/>
      <c r="W16" s="382"/>
      <c r="X16" s="382"/>
      <c r="Y16" s="382"/>
      <c r="Z16" s="382"/>
      <c r="AA16" s="382"/>
      <c r="AB16" s="382"/>
      <c r="AC16" s="382"/>
      <c r="AD16" s="382"/>
      <c r="AE16" s="13" t="s">
        <v>187</v>
      </c>
      <c r="AF16" s="13" t="s">
        <v>188</v>
      </c>
      <c r="AG16" s="177">
        <v>0</v>
      </c>
      <c r="AH16" s="177">
        <v>1</v>
      </c>
      <c r="AI16" s="183">
        <v>1</v>
      </c>
      <c r="AJ16" s="80" t="s">
        <v>189</v>
      </c>
      <c r="AK16" s="177">
        <v>0</v>
      </c>
      <c r="AL16" s="183">
        <v>1</v>
      </c>
      <c r="AM16" s="80" t="s">
        <v>190</v>
      </c>
      <c r="AN16" s="108">
        <v>1</v>
      </c>
      <c r="AO16" s="183">
        <v>1</v>
      </c>
      <c r="AP16" s="80" t="s">
        <v>191</v>
      </c>
      <c r="AQ16" s="108">
        <v>1</v>
      </c>
      <c r="AR16" s="224">
        <v>1</v>
      </c>
      <c r="AS16" s="80" t="s">
        <v>1448</v>
      </c>
      <c r="AT16" s="108">
        <v>1</v>
      </c>
      <c r="AU16" s="224">
        <v>0</v>
      </c>
      <c r="AV16" s="80" t="s">
        <v>1465</v>
      </c>
      <c r="AW16" s="108">
        <v>1</v>
      </c>
      <c r="AX16" s="224">
        <v>0</v>
      </c>
      <c r="AY16" s="80" t="s">
        <v>1465</v>
      </c>
      <c r="AZ16" s="13" t="s">
        <v>162</v>
      </c>
      <c r="BA16" s="13" t="s">
        <v>163</v>
      </c>
    </row>
    <row r="17" spans="1:138" s="5" customFormat="1" ht="33.75" customHeight="1" x14ac:dyDescent="0.2">
      <c r="A17" s="366"/>
      <c r="B17" s="366"/>
      <c r="C17" s="366"/>
      <c r="D17" s="366"/>
      <c r="E17" s="364"/>
      <c r="F17" s="366"/>
      <c r="G17" s="366"/>
      <c r="H17" s="372"/>
      <c r="I17" s="346"/>
      <c r="J17" s="387"/>
      <c r="K17" s="390"/>
      <c r="L17" s="399"/>
      <c r="M17" s="383"/>
      <c r="N17" s="383"/>
      <c r="O17" s="383"/>
      <c r="P17" s="383"/>
      <c r="Q17" s="383"/>
      <c r="R17" s="383"/>
      <c r="S17" s="383"/>
      <c r="T17" s="383"/>
      <c r="U17" s="383"/>
      <c r="V17" s="383"/>
      <c r="W17" s="383"/>
      <c r="X17" s="383"/>
      <c r="Y17" s="383"/>
      <c r="Z17" s="383"/>
      <c r="AA17" s="383"/>
      <c r="AB17" s="383"/>
      <c r="AC17" s="383"/>
      <c r="AD17" s="383"/>
      <c r="AE17" s="13" t="s">
        <v>192</v>
      </c>
      <c r="AF17" s="13" t="s">
        <v>193</v>
      </c>
      <c r="AG17" s="177">
        <v>1</v>
      </c>
      <c r="AH17" s="177">
        <v>0</v>
      </c>
      <c r="AI17" s="183">
        <v>0</v>
      </c>
      <c r="AJ17" s="80" t="s">
        <v>194</v>
      </c>
      <c r="AK17" s="177">
        <v>0.04</v>
      </c>
      <c r="AL17" s="183">
        <v>0.04</v>
      </c>
      <c r="AM17" s="80" t="s">
        <v>195</v>
      </c>
      <c r="AN17" s="108">
        <v>0.14814814814814814</v>
      </c>
      <c r="AO17" s="183">
        <v>0.14814814814814814</v>
      </c>
      <c r="AP17" s="80" t="s">
        <v>196</v>
      </c>
      <c r="AQ17" s="108">
        <v>0.18640000000000001</v>
      </c>
      <c r="AR17" s="224">
        <v>0.18640000000000001</v>
      </c>
      <c r="AS17" s="80" t="s">
        <v>1449</v>
      </c>
      <c r="AT17" s="108">
        <v>0.22639999999999999</v>
      </c>
      <c r="AU17" s="224">
        <v>0.22639999999999999</v>
      </c>
      <c r="AV17" s="80" t="s">
        <v>1466</v>
      </c>
      <c r="AW17" s="108">
        <v>0.37037037037037035</v>
      </c>
      <c r="AX17" s="224">
        <v>0.37037037037037035</v>
      </c>
      <c r="AY17" s="80" t="s">
        <v>1480</v>
      </c>
      <c r="AZ17" s="13" t="s">
        <v>162</v>
      </c>
      <c r="BA17" s="13" t="s">
        <v>163</v>
      </c>
    </row>
    <row r="18" spans="1:138" s="5" customFormat="1" ht="33.75" customHeight="1" x14ac:dyDescent="0.2">
      <c r="A18" s="366"/>
      <c r="B18" s="366"/>
      <c r="C18" s="366"/>
      <c r="D18" s="366"/>
      <c r="E18" s="364"/>
      <c r="F18" s="366"/>
      <c r="G18" s="366"/>
      <c r="H18" s="372"/>
      <c r="I18" s="22">
        <v>1118714148</v>
      </c>
      <c r="J18" s="23" t="s">
        <v>171</v>
      </c>
      <c r="K18" s="23" t="s">
        <v>197</v>
      </c>
      <c r="L18" s="177">
        <v>0.9</v>
      </c>
      <c r="M18" s="80">
        <v>0</v>
      </c>
      <c r="N18" s="183">
        <v>0</v>
      </c>
      <c r="O18" s="80" t="s">
        <v>169</v>
      </c>
      <c r="P18" s="80">
        <v>0.68</v>
      </c>
      <c r="Q18" s="183">
        <v>0.75555555555555554</v>
      </c>
      <c r="R18" s="80" t="s">
        <v>198</v>
      </c>
      <c r="S18" s="80">
        <v>0.95</v>
      </c>
      <c r="T18" s="183">
        <v>1.0555555555555556</v>
      </c>
      <c r="U18" s="80" t="s">
        <v>199</v>
      </c>
      <c r="V18" s="80">
        <v>0.81</v>
      </c>
      <c r="W18" s="224">
        <v>0.9</v>
      </c>
      <c r="X18" s="80" t="s">
        <v>1444</v>
      </c>
      <c r="Y18" s="80">
        <v>0.94</v>
      </c>
      <c r="Z18" s="224">
        <v>1.0444444444444443</v>
      </c>
      <c r="AA18" s="80" t="s">
        <v>1458</v>
      </c>
      <c r="AB18" s="80">
        <v>0.93010000000000004</v>
      </c>
      <c r="AC18" s="224">
        <v>1.0334444444444444</v>
      </c>
      <c r="AD18" s="80" t="s">
        <v>1475</v>
      </c>
      <c r="AE18" s="13" t="s">
        <v>200</v>
      </c>
      <c r="AF18" s="13" t="s">
        <v>201</v>
      </c>
      <c r="AG18" s="177">
        <v>0.95</v>
      </c>
      <c r="AH18" s="177">
        <v>0.9125109361329834</v>
      </c>
      <c r="AI18" s="183">
        <v>0.96053782750840366</v>
      </c>
      <c r="AJ18" s="80" t="s">
        <v>202</v>
      </c>
      <c r="AK18" s="177">
        <v>0.90620031796502387</v>
      </c>
      <c r="AL18" s="183">
        <v>0.95389507154213049</v>
      </c>
      <c r="AM18" s="80" t="s">
        <v>203</v>
      </c>
      <c r="AN18" s="108">
        <v>0.91786570743405271</v>
      </c>
      <c r="AO18" s="183">
        <v>0.96617442887795024</v>
      </c>
      <c r="AP18" s="80" t="s">
        <v>204</v>
      </c>
      <c r="AQ18" s="108">
        <v>0.89624900239425376</v>
      </c>
      <c r="AR18" s="224">
        <v>0.94342000252026714</v>
      </c>
      <c r="AS18" s="80" t="s">
        <v>1450</v>
      </c>
      <c r="AT18" s="108">
        <v>0.87573964497041423</v>
      </c>
      <c r="AU18" s="224">
        <v>0.92183120523201501</v>
      </c>
      <c r="AV18" s="80" t="s">
        <v>1467</v>
      </c>
      <c r="AW18" s="108">
        <v>0.87025023169601479</v>
      </c>
      <c r="AX18" s="224">
        <v>0.91605287546948932</v>
      </c>
      <c r="AY18" s="80" t="s">
        <v>1481</v>
      </c>
      <c r="AZ18" s="13" t="s">
        <v>162</v>
      </c>
      <c r="BA18" s="13" t="s">
        <v>163</v>
      </c>
    </row>
    <row r="19" spans="1:138" s="5" customFormat="1" ht="33.75" customHeight="1" x14ac:dyDescent="0.2">
      <c r="A19" s="366"/>
      <c r="B19" s="366"/>
      <c r="C19" s="366"/>
      <c r="D19" s="366"/>
      <c r="E19" s="364"/>
      <c r="F19" s="366"/>
      <c r="G19" s="366"/>
      <c r="H19" s="372"/>
      <c r="I19" s="345">
        <v>677928980</v>
      </c>
      <c r="J19" s="347" t="s">
        <v>161</v>
      </c>
      <c r="K19" s="404"/>
      <c r="L19" s="402"/>
      <c r="M19" s="381"/>
      <c r="N19" s="381"/>
      <c r="O19" s="381"/>
      <c r="P19" s="381"/>
      <c r="Q19" s="381"/>
      <c r="R19" s="381"/>
      <c r="S19" s="381"/>
      <c r="T19" s="381"/>
      <c r="U19" s="381"/>
      <c r="V19" s="381"/>
      <c r="W19" s="381"/>
      <c r="X19" s="381"/>
      <c r="Y19" s="381"/>
      <c r="Z19" s="381"/>
      <c r="AA19" s="381"/>
      <c r="AB19" s="381"/>
      <c r="AC19" s="381"/>
      <c r="AD19" s="381"/>
      <c r="AE19" s="13" t="s">
        <v>205</v>
      </c>
      <c r="AF19" s="13" t="s">
        <v>206</v>
      </c>
      <c r="AG19" s="24">
        <v>15</v>
      </c>
      <c r="AH19" s="24">
        <v>0</v>
      </c>
      <c r="AI19" s="183">
        <v>0</v>
      </c>
      <c r="AJ19" s="80" t="s">
        <v>184</v>
      </c>
      <c r="AK19" s="24">
        <v>6</v>
      </c>
      <c r="AL19" s="183">
        <v>0.4</v>
      </c>
      <c r="AM19" s="80" t="s">
        <v>207</v>
      </c>
      <c r="AN19" s="161">
        <v>23</v>
      </c>
      <c r="AO19" s="183">
        <v>1.5333333333333334</v>
      </c>
      <c r="AP19" s="80" t="s">
        <v>208</v>
      </c>
      <c r="AQ19" s="161">
        <v>14</v>
      </c>
      <c r="AR19" s="224">
        <v>0.93333333333333335</v>
      </c>
      <c r="AS19" s="80" t="s">
        <v>1451</v>
      </c>
      <c r="AT19" s="161">
        <v>51</v>
      </c>
      <c r="AU19" s="224">
        <v>3.4</v>
      </c>
      <c r="AV19" s="80" t="s">
        <v>1468</v>
      </c>
      <c r="AW19" s="161">
        <v>5</v>
      </c>
      <c r="AX19" s="224">
        <v>0.33333333333333331</v>
      </c>
      <c r="AY19" s="80" t="s">
        <v>1482</v>
      </c>
      <c r="AZ19" s="13" t="s">
        <v>162</v>
      </c>
      <c r="BA19" s="13" t="s">
        <v>163</v>
      </c>
    </row>
    <row r="20" spans="1:138" s="5" customFormat="1" ht="33.75" customHeight="1" x14ac:dyDescent="0.2">
      <c r="A20" s="366"/>
      <c r="B20" s="366"/>
      <c r="C20" s="366"/>
      <c r="D20" s="366"/>
      <c r="E20" s="364"/>
      <c r="F20" s="366"/>
      <c r="G20" s="366"/>
      <c r="H20" s="372"/>
      <c r="I20" s="372"/>
      <c r="J20" s="366"/>
      <c r="K20" s="405"/>
      <c r="L20" s="407"/>
      <c r="M20" s="382"/>
      <c r="N20" s="382"/>
      <c r="O20" s="382"/>
      <c r="P20" s="382"/>
      <c r="Q20" s="382"/>
      <c r="R20" s="382"/>
      <c r="S20" s="382"/>
      <c r="T20" s="382"/>
      <c r="U20" s="382"/>
      <c r="V20" s="382"/>
      <c r="W20" s="382"/>
      <c r="X20" s="382"/>
      <c r="Y20" s="382"/>
      <c r="Z20" s="382"/>
      <c r="AA20" s="382"/>
      <c r="AB20" s="382"/>
      <c r="AC20" s="382"/>
      <c r="AD20" s="382"/>
      <c r="AE20" s="13" t="s">
        <v>209</v>
      </c>
      <c r="AF20" s="13" t="s">
        <v>210</v>
      </c>
      <c r="AG20" s="24">
        <v>10</v>
      </c>
      <c r="AH20" s="24">
        <v>0</v>
      </c>
      <c r="AI20" s="183">
        <v>0</v>
      </c>
      <c r="AJ20" s="80" t="s">
        <v>184</v>
      </c>
      <c r="AK20" s="24">
        <v>0</v>
      </c>
      <c r="AL20" s="183">
        <v>0</v>
      </c>
      <c r="AM20" s="80" t="s">
        <v>184</v>
      </c>
      <c r="AN20" s="161">
        <v>0</v>
      </c>
      <c r="AO20" s="183">
        <v>0</v>
      </c>
      <c r="AP20" s="80" t="s">
        <v>211</v>
      </c>
      <c r="AQ20" s="161">
        <v>2</v>
      </c>
      <c r="AR20" s="224">
        <v>0.2</v>
      </c>
      <c r="AS20" s="80" t="s">
        <v>1452</v>
      </c>
      <c r="AT20" s="161">
        <v>3</v>
      </c>
      <c r="AU20" s="224">
        <v>0.3</v>
      </c>
      <c r="AV20" s="80" t="s">
        <v>1469</v>
      </c>
      <c r="AW20" s="161">
        <v>9</v>
      </c>
      <c r="AX20" s="224">
        <v>0.9</v>
      </c>
      <c r="AY20" s="80" t="s">
        <v>1483</v>
      </c>
      <c r="AZ20" s="13" t="s">
        <v>162</v>
      </c>
      <c r="BA20" s="13" t="s">
        <v>163</v>
      </c>
    </row>
    <row r="21" spans="1:138" s="5" customFormat="1" ht="33.75" customHeight="1" x14ac:dyDescent="0.2">
      <c r="A21" s="366"/>
      <c r="B21" s="366"/>
      <c r="C21" s="366"/>
      <c r="D21" s="366"/>
      <c r="E21" s="364"/>
      <c r="F21" s="366"/>
      <c r="G21" s="366"/>
      <c r="H21" s="372"/>
      <c r="I21" s="346"/>
      <c r="J21" s="348"/>
      <c r="K21" s="406"/>
      <c r="L21" s="403"/>
      <c r="M21" s="383"/>
      <c r="N21" s="383"/>
      <c r="O21" s="383"/>
      <c r="P21" s="383"/>
      <c r="Q21" s="383"/>
      <c r="R21" s="383"/>
      <c r="S21" s="383"/>
      <c r="T21" s="383"/>
      <c r="U21" s="383"/>
      <c r="V21" s="383"/>
      <c r="W21" s="383"/>
      <c r="X21" s="383"/>
      <c r="Y21" s="383"/>
      <c r="Z21" s="383"/>
      <c r="AA21" s="383"/>
      <c r="AB21" s="383"/>
      <c r="AC21" s="383"/>
      <c r="AD21" s="383"/>
      <c r="AE21" s="13" t="s">
        <v>212</v>
      </c>
      <c r="AF21" s="13" t="s">
        <v>213</v>
      </c>
      <c r="AG21" s="177">
        <v>1</v>
      </c>
      <c r="AH21" s="177">
        <v>0</v>
      </c>
      <c r="AI21" s="183">
        <v>0</v>
      </c>
      <c r="AJ21" s="80" t="s">
        <v>214</v>
      </c>
      <c r="AK21" s="177">
        <v>0</v>
      </c>
      <c r="AL21" s="183">
        <v>0</v>
      </c>
      <c r="AM21" s="80" t="s">
        <v>215</v>
      </c>
      <c r="AN21" s="108">
        <v>0</v>
      </c>
      <c r="AO21" s="183">
        <v>0</v>
      </c>
      <c r="AP21" s="80" t="s">
        <v>211</v>
      </c>
      <c r="AQ21" s="108">
        <v>0</v>
      </c>
      <c r="AR21" s="224">
        <v>0</v>
      </c>
      <c r="AS21" s="80" t="s">
        <v>1453</v>
      </c>
      <c r="AT21" s="108">
        <v>0.3</v>
      </c>
      <c r="AU21" s="224">
        <v>0.3</v>
      </c>
      <c r="AV21" s="80" t="s">
        <v>1470</v>
      </c>
      <c r="AW21" s="108">
        <v>0.3367</v>
      </c>
      <c r="AX21" s="224">
        <v>0.3367</v>
      </c>
      <c r="AY21" s="80" t="s">
        <v>1484</v>
      </c>
      <c r="AZ21" s="13" t="s">
        <v>162</v>
      </c>
      <c r="BA21" s="13" t="s">
        <v>163</v>
      </c>
    </row>
    <row r="22" spans="1:138" s="5" customFormat="1" ht="24" customHeight="1" x14ac:dyDescent="0.2">
      <c r="A22" s="366"/>
      <c r="B22" s="366"/>
      <c r="C22" s="366"/>
      <c r="D22" s="366" t="s">
        <v>18</v>
      </c>
      <c r="E22" s="364" t="s">
        <v>216</v>
      </c>
      <c r="F22" s="366" t="s">
        <v>90</v>
      </c>
      <c r="G22" s="366"/>
      <c r="H22" s="372"/>
      <c r="I22" s="395">
        <v>257814785</v>
      </c>
      <c r="J22" s="351" t="s">
        <v>217</v>
      </c>
      <c r="K22" s="351" t="s">
        <v>218</v>
      </c>
      <c r="L22" s="396">
        <v>1</v>
      </c>
      <c r="M22" s="354">
        <v>0.05</v>
      </c>
      <c r="N22" s="342">
        <v>0.05</v>
      </c>
      <c r="O22" s="354" t="s">
        <v>219</v>
      </c>
      <c r="P22" s="354">
        <v>7.0000000000000007E-2</v>
      </c>
      <c r="Q22" s="342">
        <v>7.0000000000000007E-2</v>
      </c>
      <c r="R22" s="354" t="s">
        <v>220</v>
      </c>
      <c r="S22" s="354">
        <v>0.2</v>
      </c>
      <c r="T22" s="342">
        <v>0.2</v>
      </c>
      <c r="U22" s="354" t="s">
        <v>221</v>
      </c>
      <c r="V22" s="354">
        <v>0.27</v>
      </c>
      <c r="W22" s="342">
        <v>0.27</v>
      </c>
      <c r="X22" s="354" t="s">
        <v>1461</v>
      </c>
      <c r="Y22" s="354">
        <v>0.37569999999999998</v>
      </c>
      <c r="Z22" s="342">
        <v>0.37569999999999998</v>
      </c>
      <c r="AA22" s="354" t="s">
        <v>1459</v>
      </c>
      <c r="AB22" s="354">
        <v>0.4244</v>
      </c>
      <c r="AC22" s="342">
        <v>0.4244</v>
      </c>
      <c r="AD22" s="354" t="s">
        <v>1476</v>
      </c>
      <c r="AE22" s="13" t="s">
        <v>222</v>
      </c>
      <c r="AF22" s="13" t="s">
        <v>218</v>
      </c>
      <c r="AG22" s="177">
        <v>1</v>
      </c>
      <c r="AH22" s="177">
        <v>0.05</v>
      </c>
      <c r="AI22" s="183">
        <v>0.05</v>
      </c>
      <c r="AJ22" s="80" t="s">
        <v>223</v>
      </c>
      <c r="AK22" s="177">
        <v>0.13730000000000001</v>
      </c>
      <c r="AL22" s="183">
        <v>0.13730000000000001</v>
      </c>
      <c r="AM22" s="80" t="s">
        <v>224</v>
      </c>
      <c r="AN22" s="108">
        <v>0.1996</v>
      </c>
      <c r="AO22" s="183">
        <v>0.1996</v>
      </c>
      <c r="AP22" s="80" t="s">
        <v>225</v>
      </c>
      <c r="AQ22" s="108">
        <v>0.25119999999999998</v>
      </c>
      <c r="AR22" s="224">
        <v>0.25119999999999998</v>
      </c>
      <c r="AS22" s="80" t="s">
        <v>1454</v>
      </c>
      <c r="AT22" s="108">
        <v>0.35580000000000001</v>
      </c>
      <c r="AU22" s="224">
        <v>0.35580000000000001</v>
      </c>
      <c r="AV22" s="80" t="s">
        <v>1471</v>
      </c>
      <c r="AW22" s="108">
        <v>0.40620000000000001</v>
      </c>
      <c r="AX22" s="224">
        <v>0.40620000000000001</v>
      </c>
      <c r="AY22" s="80" t="s">
        <v>1485</v>
      </c>
      <c r="AZ22" s="13" t="s">
        <v>162</v>
      </c>
      <c r="BA22" s="13" t="s">
        <v>163</v>
      </c>
    </row>
    <row r="23" spans="1:138" s="5" customFormat="1" ht="33.75" customHeight="1" x14ac:dyDescent="0.2">
      <c r="A23" s="366"/>
      <c r="B23" s="366"/>
      <c r="C23" s="366"/>
      <c r="D23" s="366"/>
      <c r="E23" s="364"/>
      <c r="F23" s="366"/>
      <c r="G23" s="366"/>
      <c r="H23" s="372"/>
      <c r="I23" s="395"/>
      <c r="J23" s="351"/>
      <c r="K23" s="351"/>
      <c r="L23" s="396"/>
      <c r="M23" s="355"/>
      <c r="N23" s="374"/>
      <c r="O23" s="355"/>
      <c r="P23" s="355"/>
      <c r="Q23" s="374"/>
      <c r="R23" s="355"/>
      <c r="S23" s="355"/>
      <c r="T23" s="374"/>
      <c r="U23" s="355"/>
      <c r="V23" s="355"/>
      <c r="W23" s="374"/>
      <c r="X23" s="355"/>
      <c r="Y23" s="355"/>
      <c r="Z23" s="374"/>
      <c r="AA23" s="355"/>
      <c r="AB23" s="355"/>
      <c r="AC23" s="374"/>
      <c r="AD23" s="355"/>
      <c r="AE23" s="13" t="s">
        <v>226</v>
      </c>
      <c r="AF23" s="13" t="s">
        <v>218</v>
      </c>
      <c r="AG23" s="177">
        <v>1</v>
      </c>
      <c r="AH23" s="177">
        <v>0.05</v>
      </c>
      <c r="AI23" s="183">
        <v>0.05</v>
      </c>
      <c r="AJ23" s="80" t="s">
        <v>227</v>
      </c>
      <c r="AK23" s="177">
        <v>0.08</v>
      </c>
      <c r="AL23" s="183">
        <v>0.08</v>
      </c>
      <c r="AM23" s="80" t="s">
        <v>228</v>
      </c>
      <c r="AN23" s="108">
        <v>0.25</v>
      </c>
      <c r="AO23" s="183">
        <v>0.25</v>
      </c>
      <c r="AP23" s="80" t="s">
        <v>229</v>
      </c>
      <c r="AQ23" s="108">
        <v>0.5</v>
      </c>
      <c r="AR23" s="224">
        <v>0.5</v>
      </c>
      <c r="AS23" s="80" t="s">
        <v>229</v>
      </c>
      <c r="AT23" s="108">
        <v>0.6</v>
      </c>
      <c r="AU23" s="224">
        <v>0.6</v>
      </c>
      <c r="AV23" s="80" t="s">
        <v>229</v>
      </c>
      <c r="AW23" s="108">
        <v>0.63</v>
      </c>
      <c r="AX23" s="224">
        <v>0.63</v>
      </c>
      <c r="AY23" s="80" t="s">
        <v>1486</v>
      </c>
      <c r="AZ23" s="13" t="s">
        <v>162</v>
      </c>
      <c r="BA23" s="13" t="s">
        <v>163</v>
      </c>
    </row>
    <row r="24" spans="1:138" s="5" customFormat="1" ht="33.75" customHeight="1" x14ac:dyDescent="0.2">
      <c r="A24" s="366"/>
      <c r="B24" s="366"/>
      <c r="C24" s="366"/>
      <c r="D24" s="366"/>
      <c r="E24" s="364"/>
      <c r="F24" s="366"/>
      <c r="G24" s="366"/>
      <c r="H24" s="372"/>
      <c r="I24" s="395"/>
      <c r="J24" s="351"/>
      <c r="K24" s="351"/>
      <c r="L24" s="396"/>
      <c r="M24" s="356"/>
      <c r="N24" s="343"/>
      <c r="O24" s="356"/>
      <c r="P24" s="356"/>
      <c r="Q24" s="343"/>
      <c r="R24" s="356"/>
      <c r="S24" s="356"/>
      <c r="T24" s="343"/>
      <c r="U24" s="356"/>
      <c r="V24" s="356"/>
      <c r="W24" s="343"/>
      <c r="X24" s="356"/>
      <c r="Y24" s="356"/>
      <c r="Z24" s="343"/>
      <c r="AA24" s="356"/>
      <c r="AB24" s="356"/>
      <c r="AC24" s="343"/>
      <c r="AD24" s="356"/>
      <c r="AE24" s="13" t="s">
        <v>230</v>
      </c>
      <c r="AF24" s="13" t="s">
        <v>231</v>
      </c>
      <c r="AG24" s="177">
        <v>1</v>
      </c>
      <c r="AH24" s="177">
        <v>0</v>
      </c>
      <c r="AI24" s="183">
        <v>0</v>
      </c>
      <c r="AJ24" s="80" t="s">
        <v>184</v>
      </c>
      <c r="AK24" s="177">
        <v>0</v>
      </c>
      <c r="AL24" s="183">
        <v>0</v>
      </c>
      <c r="AM24" s="80" t="s">
        <v>232</v>
      </c>
      <c r="AN24" s="108">
        <v>0.06</v>
      </c>
      <c r="AO24" s="183">
        <v>0.06</v>
      </c>
      <c r="AP24" s="80" t="s">
        <v>233</v>
      </c>
      <c r="AQ24" s="108">
        <v>0.16</v>
      </c>
      <c r="AR24" s="224">
        <v>0.16</v>
      </c>
      <c r="AS24" s="80" t="s">
        <v>1455</v>
      </c>
      <c r="AT24" s="108">
        <v>0.21</v>
      </c>
      <c r="AU24" s="224">
        <v>0.21</v>
      </c>
      <c r="AV24" s="80" t="s">
        <v>1472</v>
      </c>
      <c r="AW24" s="108">
        <v>0.59</v>
      </c>
      <c r="AX24" s="224">
        <v>0.59</v>
      </c>
      <c r="AY24" s="80" t="s">
        <v>1487</v>
      </c>
      <c r="AZ24" s="13" t="s">
        <v>162</v>
      </c>
      <c r="BA24" s="13" t="s">
        <v>163</v>
      </c>
    </row>
    <row r="25" spans="1:138" s="5" customFormat="1" ht="33.75" customHeight="1" x14ac:dyDescent="0.2">
      <c r="A25" s="366"/>
      <c r="B25" s="366"/>
      <c r="C25" s="366"/>
      <c r="D25" s="366" t="s">
        <v>18</v>
      </c>
      <c r="E25" s="364"/>
      <c r="F25" s="366" t="s">
        <v>90</v>
      </c>
      <c r="G25" s="366"/>
      <c r="H25" s="372"/>
      <c r="I25" s="345">
        <v>986434228</v>
      </c>
      <c r="J25" s="391" t="s">
        <v>161</v>
      </c>
      <c r="K25" s="391" t="s">
        <v>234</v>
      </c>
      <c r="L25" s="393">
        <v>1</v>
      </c>
      <c r="M25" s="342">
        <v>0</v>
      </c>
      <c r="N25" s="342">
        <v>0</v>
      </c>
      <c r="O25" s="354" t="s">
        <v>169</v>
      </c>
      <c r="P25" s="354">
        <v>0</v>
      </c>
      <c r="Q25" s="342">
        <v>0</v>
      </c>
      <c r="R25" s="354" t="s">
        <v>1460</v>
      </c>
      <c r="S25" s="354">
        <v>0</v>
      </c>
      <c r="T25" s="342">
        <v>0</v>
      </c>
      <c r="U25" s="354" t="s">
        <v>235</v>
      </c>
      <c r="V25" s="354">
        <v>0</v>
      </c>
      <c r="W25" s="342">
        <v>0</v>
      </c>
      <c r="X25" s="354" t="s">
        <v>1445</v>
      </c>
      <c r="Y25" s="354">
        <v>0</v>
      </c>
      <c r="Z25" s="342">
        <v>0</v>
      </c>
      <c r="AA25" s="354" t="s">
        <v>1445</v>
      </c>
      <c r="AB25" s="354">
        <v>0</v>
      </c>
      <c r="AC25" s="342">
        <v>0</v>
      </c>
      <c r="AD25" s="354" t="s">
        <v>1445</v>
      </c>
      <c r="AE25" s="13" t="s">
        <v>236</v>
      </c>
      <c r="AF25" s="13" t="s">
        <v>237</v>
      </c>
      <c r="AG25" s="177">
        <v>0.9</v>
      </c>
      <c r="AH25" s="177">
        <v>0</v>
      </c>
      <c r="AI25" s="183">
        <v>0</v>
      </c>
      <c r="AJ25" s="80" t="s">
        <v>238</v>
      </c>
      <c r="AK25" s="177">
        <v>0.28999999999999998</v>
      </c>
      <c r="AL25" s="183">
        <v>0.32222222222222219</v>
      </c>
      <c r="AM25" s="80" t="s">
        <v>239</v>
      </c>
      <c r="AN25" s="108">
        <v>0.53</v>
      </c>
      <c r="AO25" s="183">
        <v>0.58888888888888891</v>
      </c>
      <c r="AP25" s="80" t="s">
        <v>240</v>
      </c>
      <c r="AQ25" s="108">
        <v>0.43</v>
      </c>
      <c r="AR25" s="224">
        <v>0.47777777777777775</v>
      </c>
      <c r="AS25" s="80" t="s">
        <v>1456</v>
      </c>
      <c r="AT25" s="108">
        <v>0.50560000000000005</v>
      </c>
      <c r="AU25" s="224">
        <v>0.56177777777777782</v>
      </c>
      <c r="AV25" s="80" t="s">
        <v>1473</v>
      </c>
      <c r="AW25" s="108">
        <v>0.43490000000000001</v>
      </c>
      <c r="AX25" s="224">
        <v>0.48322222222222222</v>
      </c>
      <c r="AY25" s="80" t="s">
        <v>1488</v>
      </c>
      <c r="AZ25" s="13" t="s">
        <v>162</v>
      </c>
      <c r="BA25" s="13" t="s">
        <v>163</v>
      </c>
    </row>
    <row r="26" spans="1:138" s="5" customFormat="1" ht="33.75" customHeight="1" x14ac:dyDescent="0.2">
      <c r="A26" s="348"/>
      <c r="B26" s="348"/>
      <c r="C26" s="348"/>
      <c r="D26" s="348" t="s">
        <v>18</v>
      </c>
      <c r="E26" s="365"/>
      <c r="F26" s="348" t="s">
        <v>90</v>
      </c>
      <c r="G26" s="348"/>
      <c r="H26" s="346"/>
      <c r="I26" s="346"/>
      <c r="J26" s="392"/>
      <c r="K26" s="392"/>
      <c r="L26" s="394"/>
      <c r="M26" s="343"/>
      <c r="N26" s="343"/>
      <c r="O26" s="356"/>
      <c r="P26" s="356"/>
      <c r="Q26" s="343"/>
      <c r="R26" s="356"/>
      <c r="S26" s="356"/>
      <c r="T26" s="343"/>
      <c r="U26" s="356"/>
      <c r="V26" s="356"/>
      <c r="W26" s="343"/>
      <c r="X26" s="356"/>
      <c r="Y26" s="356"/>
      <c r="Z26" s="343"/>
      <c r="AA26" s="356"/>
      <c r="AB26" s="356"/>
      <c r="AC26" s="343"/>
      <c r="AD26" s="356"/>
      <c r="AE26" s="13" t="s">
        <v>241</v>
      </c>
      <c r="AF26" s="13" t="s">
        <v>242</v>
      </c>
      <c r="AG26" s="177">
        <v>0.9</v>
      </c>
      <c r="AH26" s="177">
        <v>0</v>
      </c>
      <c r="AI26" s="183">
        <v>0</v>
      </c>
      <c r="AJ26" s="80" t="s">
        <v>243</v>
      </c>
      <c r="AK26" s="177">
        <v>0</v>
      </c>
      <c r="AL26" s="183">
        <v>0</v>
      </c>
      <c r="AM26" s="80" t="s">
        <v>243</v>
      </c>
      <c r="AN26" s="108">
        <v>0</v>
      </c>
      <c r="AO26" s="183">
        <v>0</v>
      </c>
      <c r="AP26" s="80" t="s">
        <v>243</v>
      </c>
      <c r="AQ26" s="108">
        <v>0</v>
      </c>
      <c r="AR26" s="224">
        <v>0</v>
      </c>
      <c r="AS26" s="80" t="s">
        <v>243</v>
      </c>
      <c r="AT26" s="108">
        <v>0</v>
      </c>
      <c r="AU26" s="224">
        <v>0</v>
      </c>
      <c r="AV26" s="80" t="s">
        <v>243</v>
      </c>
      <c r="AW26" s="108">
        <v>0</v>
      </c>
      <c r="AX26" s="224">
        <v>0</v>
      </c>
      <c r="AY26" s="80" t="s">
        <v>243</v>
      </c>
      <c r="AZ26" s="13" t="s">
        <v>162</v>
      </c>
      <c r="BA26" s="13" t="s">
        <v>163</v>
      </c>
    </row>
    <row r="27" spans="1:138" ht="75" x14ac:dyDescent="0.25">
      <c r="H27" s="162"/>
      <c r="M27" s="71" t="s">
        <v>164</v>
      </c>
      <c r="N27" s="97">
        <f>AVERAGE(N18,N22,N25)</f>
        <v>1.6666666666666666E-2</v>
      </c>
      <c r="P27" s="71" t="s">
        <v>164</v>
      </c>
      <c r="Q27" s="97">
        <f>AVERAGE(Q18,Q22,Q25)</f>
        <v>0.2751851851851852</v>
      </c>
      <c r="S27" s="71" t="s">
        <v>164</v>
      </c>
      <c r="T27" s="97">
        <f>AVERAGE(T18,T22,T25)</f>
        <v>0.41851851851851851</v>
      </c>
      <c r="V27" s="71" t="s">
        <v>164</v>
      </c>
      <c r="W27" s="97">
        <f>AVERAGE(W18,W22,W25)</f>
        <v>0.38999999999999996</v>
      </c>
      <c r="Y27" s="71" t="s">
        <v>164</v>
      </c>
      <c r="Z27" s="97">
        <f>AVERAGE(Z18,Z22,Z25)</f>
        <v>0.4733814814814814</v>
      </c>
      <c r="AB27" s="71" t="s">
        <v>164</v>
      </c>
      <c r="AC27" s="97">
        <f>AVERAGE(AC18,AC22,AC25)</f>
        <v>0.48594814814814818</v>
      </c>
      <c r="AH27" s="71" t="s">
        <v>165</v>
      </c>
      <c r="AI27" s="97">
        <f>AVERAGE(AI15:AI25)</f>
        <v>0.1873216206825821</v>
      </c>
      <c r="AK27" s="71" t="s">
        <v>165</v>
      </c>
      <c r="AL27" s="97">
        <f>AVERAGE(AL15:AL25)</f>
        <v>0.2708830536418772</v>
      </c>
      <c r="AN27" s="71" t="s">
        <v>165</v>
      </c>
      <c r="AO27" s="97">
        <f>AVERAGE(AO15:AO25)</f>
        <v>0.44493572249058799</v>
      </c>
      <c r="AP27" s="9"/>
      <c r="AQ27" s="71" t="s">
        <v>165</v>
      </c>
      <c r="AR27" s="97">
        <f>AVERAGE(AR15:AR25)</f>
        <v>0.43638902379813876</v>
      </c>
      <c r="AT27" s="71" t="s">
        <v>165</v>
      </c>
      <c r="AU27" s="97">
        <f>AVERAGE(AU15:AU25)</f>
        <v>0.64190856074499791</v>
      </c>
      <c r="AW27" s="71" t="s">
        <v>165</v>
      </c>
      <c r="AX27" s="97">
        <f>AVERAGE(AX15:AX25)</f>
        <v>0.48511356106961689</v>
      </c>
      <c r="AY27" s="9"/>
      <c r="AZ27" s="9"/>
      <c r="BA27" s="9"/>
      <c r="EE27"/>
      <c r="EF27"/>
      <c r="EG27"/>
      <c r="EH27"/>
    </row>
    <row r="28" spans="1:138" s="5" customFormat="1" ht="33.75" customHeight="1" x14ac:dyDescent="0.2">
      <c r="A28" s="384" t="s">
        <v>244</v>
      </c>
      <c r="B28" s="384"/>
      <c r="C28" s="164"/>
      <c r="D28" s="163"/>
      <c r="E28" s="164"/>
      <c r="F28" s="163"/>
      <c r="G28" s="163"/>
      <c r="H28" s="75"/>
      <c r="I28" s="75"/>
      <c r="J28" s="165"/>
      <c r="K28" s="165"/>
      <c r="L28" s="166"/>
      <c r="M28" s="78"/>
      <c r="N28" s="88"/>
      <c r="O28" s="78"/>
      <c r="P28" s="78"/>
      <c r="Q28" s="88"/>
      <c r="R28" s="78"/>
      <c r="S28" s="78"/>
      <c r="T28" s="88"/>
      <c r="U28" s="78"/>
      <c r="V28" s="78"/>
      <c r="W28" s="88"/>
      <c r="X28" s="78"/>
      <c r="Y28" s="78"/>
      <c r="Z28" s="88"/>
      <c r="AA28" s="78"/>
      <c r="AB28" s="78"/>
      <c r="AC28" s="88"/>
      <c r="AD28" s="78"/>
      <c r="AE28" s="167"/>
      <c r="AF28" s="167"/>
      <c r="AG28" s="166"/>
      <c r="AH28" s="78"/>
      <c r="AI28" s="88"/>
      <c r="AJ28" s="78"/>
      <c r="AK28" s="78"/>
      <c r="AL28" s="88"/>
      <c r="AM28" s="78"/>
      <c r="AN28" s="78"/>
      <c r="AO28" s="88"/>
      <c r="AP28" s="78"/>
      <c r="AQ28" s="78"/>
      <c r="AR28" s="88"/>
      <c r="AS28" s="78"/>
      <c r="AT28" s="78"/>
      <c r="AU28" s="88"/>
      <c r="AV28" s="78"/>
      <c r="AW28" s="78"/>
      <c r="AX28" s="88"/>
      <c r="AY28" s="78"/>
      <c r="AZ28" s="167"/>
      <c r="BA28" s="167"/>
    </row>
    <row r="29" spans="1:138" ht="75" x14ac:dyDescent="0.25">
      <c r="A29" s="384"/>
      <c r="B29" s="384"/>
      <c r="M29" s="71" t="s">
        <v>155</v>
      </c>
      <c r="N29" s="97">
        <f>AVERAGE(N14,N27)</f>
        <v>8.3333333333333332E-3</v>
      </c>
      <c r="P29" s="71" t="s">
        <v>155</v>
      </c>
      <c r="Q29" s="97">
        <f>AVERAGE(Q14,Q27)</f>
        <v>0.6375925925925926</v>
      </c>
      <c r="S29" s="71" t="s">
        <v>155</v>
      </c>
      <c r="T29" s="97">
        <f>AVERAGE(T14,T27)</f>
        <v>0.70925925925925926</v>
      </c>
      <c r="V29" s="71" t="s">
        <v>155</v>
      </c>
      <c r="W29" s="97">
        <f>AVERAGE(W14,W27)</f>
        <v>0.69499999999999995</v>
      </c>
      <c r="Y29" s="71" t="s">
        <v>155</v>
      </c>
      <c r="Z29" s="97">
        <f>AVERAGE(Z14,Z27)</f>
        <v>0.7366907407407407</v>
      </c>
      <c r="AB29" s="71" t="s">
        <v>155</v>
      </c>
      <c r="AC29" s="97">
        <f>AVERAGE(AC14,AC27)</f>
        <v>0.74297407407407412</v>
      </c>
      <c r="AH29" s="71" t="s">
        <v>156</v>
      </c>
      <c r="AI29" s="97">
        <f>AVERAGE(AI14,AI27)</f>
        <v>9.3660810341291048E-2</v>
      </c>
      <c r="AK29" s="71" t="s">
        <v>156</v>
      </c>
      <c r="AL29" s="97">
        <f>AVERAGE(AL14,AL27)</f>
        <v>0.38544152682093857</v>
      </c>
      <c r="AN29" s="71" t="s">
        <v>156</v>
      </c>
      <c r="AO29" s="97">
        <f>AVERAGE(AO14,AO27)</f>
        <v>0.55246786124529401</v>
      </c>
      <c r="AP29" s="9"/>
      <c r="AQ29" s="71" t="s">
        <v>156</v>
      </c>
      <c r="AR29" s="97">
        <f>AVERAGE(AR14,AR27)</f>
        <v>0.54819451189906943</v>
      </c>
      <c r="AT29" s="71" t="s">
        <v>156</v>
      </c>
      <c r="AU29" s="97">
        <f>AVERAGE(AU14,AU27)</f>
        <v>0.65095428037249903</v>
      </c>
      <c r="AW29" s="71" t="s">
        <v>156</v>
      </c>
      <c r="AX29" s="97">
        <f>AVERAGE(AX14,AX27)</f>
        <v>0.62755678053480846</v>
      </c>
      <c r="AY29" s="9"/>
      <c r="AZ29" s="9"/>
      <c r="BA29" s="9"/>
      <c r="EE29"/>
      <c r="EF29"/>
      <c r="EG29"/>
      <c r="EH29"/>
    </row>
    <row r="30" spans="1:138" ht="38.25" customHeight="1" x14ac:dyDescent="0.25"/>
    <row r="31" spans="1:138" ht="38.25" customHeight="1" x14ac:dyDescent="0.25"/>
  </sheetData>
  <autoFilter ref="A7:AZ31" xr:uid="{00000000-0009-0000-0000-000000000000}"/>
  <mergeCells count="146">
    <mergeCell ref="AK6:AM6"/>
    <mergeCell ref="AN6:AP6"/>
    <mergeCell ref="AZ6:BA6"/>
    <mergeCell ref="D6:E6"/>
    <mergeCell ref="F6:I6"/>
    <mergeCell ref="J6:L6"/>
    <mergeCell ref="M6:O6"/>
    <mergeCell ref="P6:R6"/>
    <mergeCell ref="AQ6:AS6"/>
    <mergeCell ref="AT6:AV6"/>
    <mergeCell ref="AW6:AY6"/>
    <mergeCell ref="A10:A13"/>
    <mergeCell ref="B10:B13"/>
    <mergeCell ref="C10:C13"/>
    <mergeCell ref="D10:D13"/>
    <mergeCell ref="G10:G13"/>
    <mergeCell ref="S6:U6"/>
    <mergeCell ref="AE6:AG6"/>
    <mergeCell ref="AH6:AJ6"/>
    <mergeCell ref="Q12:Q13"/>
    <mergeCell ref="R12:R13"/>
    <mergeCell ref="S12:S13"/>
    <mergeCell ref="T12:T13"/>
    <mergeCell ref="U12:U13"/>
    <mergeCell ref="V6:X6"/>
    <mergeCell ref="Y6:AA6"/>
    <mergeCell ref="AB6:AD6"/>
    <mergeCell ref="V12:V13"/>
    <mergeCell ref="W12:W13"/>
    <mergeCell ref="X12:X13"/>
    <mergeCell ref="Y12:Y13"/>
    <mergeCell ref="Z12:Z13"/>
    <mergeCell ref="AA12:AA13"/>
    <mergeCell ref="AB12:AB13"/>
    <mergeCell ref="C15:C26"/>
    <mergeCell ref="D15:D26"/>
    <mergeCell ref="AE10:AG10"/>
    <mergeCell ref="AE11:AG11"/>
    <mergeCell ref="I12:I13"/>
    <mergeCell ref="J12:J13"/>
    <mergeCell ref="K12:K13"/>
    <mergeCell ref="L12:L13"/>
    <mergeCell ref="M12:M13"/>
    <mergeCell ref="N12:N13"/>
    <mergeCell ref="O12:O13"/>
    <mergeCell ref="P12:P13"/>
    <mergeCell ref="H8:H26"/>
    <mergeCell ref="AE8:AG8"/>
    <mergeCell ref="E10:E13"/>
    <mergeCell ref="F10:F13"/>
    <mergeCell ref="S15:S17"/>
    <mergeCell ref="T15:T17"/>
    <mergeCell ref="U15:U17"/>
    <mergeCell ref="I19:I21"/>
    <mergeCell ref="J19:J21"/>
    <mergeCell ref="K19:K21"/>
    <mergeCell ref="L19:L21"/>
    <mergeCell ref="M19:M21"/>
    <mergeCell ref="L15:L17"/>
    <mergeCell ref="M15:M17"/>
    <mergeCell ref="N15:N17"/>
    <mergeCell ref="O15:O17"/>
    <mergeCell ref="P15:P17"/>
    <mergeCell ref="Q15:Q17"/>
    <mergeCell ref="U19:U21"/>
    <mergeCell ref="R19:R21"/>
    <mergeCell ref="S19:S21"/>
    <mergeCell ref="T19:T21"/>
    <mergeCell ref="O19:O21"/>
    <mergeCell ref="P19:P21"/>
    <mergeCell ref="Q19:Q21"/>
    <mergeCell ref="I22:I24"/>
    <mergeCell ref="J22:J24"/>
    <mergeCell ref="K22:K24"/>
    <mergeCell ref="L22:L24"/>
    <mergeCell ref="M22:M24"/>
    <mergeCell ref="N19:N21"/>
    <mergeCell ref="K25:K26"/>
    <mergeCell ref="L25:L26"/>
    <mergeCell ref="M25:M26"/>
    <mergeCell ref="N25:N26"/>
    <mergeCell ref="U25:U26"/>
    <mergeCell ref="S25:S26"/>
    <mergeCell ref="T25:T26"/>
    <mergeCell ref="N22:N24"/>
    <mergeCell ref="O22:O24"/>
    <mergeCell ref="P22:P24"/>
    <mergeCell ref="Q22:Q24"/>
    <mergeCell ref="S22:S24"/>
    <mergeCell ref="T22:T24"/>
    <mergeCell ref="AC12:AC13"/>
    <mergeCell ref="AD12:AD13"/>
    <mergeCell ref="A28:B29"/>
    <mergeCell ref="O25:O26"/>
    <mergeCell ref="P25:P26"/>
    <mergeCell ref="Q25:Q26"/>
    <mergeCell ref="R25:R26"/>
    <mergeCell ref="E15:E26"/>
    <mergeCell ref="F15:F26"/>
    <mergeCell ref="G15:G26"/>
    <mergeCell ref="I15:I17"/>
    <mergeCell ref="J15:J17"/>
    <mergeCell ref="K15:K17"/>
    <mergeCell ref="A15:A26"/>
    <mergeCell ref="B15:B26"/>
    <mergeCell ref="R22:R24"/>
    <mergeCell ref="R15:R17"/>
    <mergeCell ref="U22:U24"/>
    <mergeCell ref="I25:I26"/>
    <mergeCell ref="J25:J26"/>
    <mergeCell ref="AA15:AA17"/>
    <mergeCell ref="AB15:AB17"/>
    <mergeCell ref="AC15:AC17"/>
    <mergeCell ref="AD15:AD17"/>
    <mergeCell ref="V19:V21"/>
    <mergeCell ref="W19:W21"/>
    <mergeCell ref="X19:X21"/>
    <mergeCell ref="Y19:Y21"/>
    <mergeCell ref="Z19:Z21"/>
    <mergeCell ref="AA19:AA21"/>
    <mergeCell ref="AB19:AB21"/>
    <mergeCell ref="AC19:AC21"/>
    <mergeCell ref="AD19:AD21"/>
    <mergeCell ref="V15:V17"/>
    <mergeCell ref="W15:W17"/>
    <mergeCell ref="X15:X17"/>
    <mergeCell ref="Y15:Y17"/>
    <mergeCell ref="Z15:Z17"/>
    <mergeCell ref="AA22:AA24"/>
    <mergeCell ref="AB22:AB24"/>
    <mergeCell ref="AC22:AC24"/>
    <mergeCell ref="AD22:AD24"/>
    <mergeCell ref="V25:V26"/>
    <mergeCell ref="W25:W26"/>
    <mergeCell ref="X25:X26"/>
    <mergeCell ref="Y25:Y26"/>
    <mergeCell ref="Z25:Z26"/>
    <mergeCell ref="AA25:AA26"/>
    <mergeCell ref="AB25:AB26"/>
    <mergeCell ref="AC25:AC26"/>
    <mergeCell ref="AD25:AD26"/>
    <mergeCell ref="V22:V24"/>
    <mergeCell ref="W22:W24"/>
    <mergeCell ref="X22:X24"/>
    <mergeCell ref="Y22:Y24"/>
    <mergeCell ref="Z22:Z24"/>
  </mergeCells>
  <pageMargins left="0.75" right="0.75" top="1" bottom="1" header="0.5" footer="0.5"/>
  <pageSetup orientation="portrait" horizontalDpi="4294967292"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28FED-71EA-433B-B057-440D1EEAC297}">
  <sheetPr>
    <tabColor theme="5" tint="-0.249977111117893"/>
  </sheetPr>
  <dimension ref="A1:EH18"/>
  <sheetViews>
    <sheetView showGridLines="0" topLeftCell="A5" zoomScale="80" zoomScaleNormal="80" workbookViewId="0">
      <selection activeCell="C5" sqref="C5"/>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42578125" style="4" bestFit="1" customWidth="1"/>
    <col min="7" max="7" width="45.7109375" style="4" bestFit="1" customWidth="1"/>
    <col min="8" max="8" width="19.42578125" style="1" customWidth="1"/>
    <col min="9" max="9" width="15.42578125" style="1" customWidth="1"/>
    <col min="10" max="11" width="45.7109375" style="4" bestFit="1" customWidth="1"/>
    <col min="12" max="12" width="17.7109375" style="6" bestFit="1" customWidth="1"/>
    <col min="13" max="13" width="15.28515625" style="4" customWidth="1"/>
    <col min="14" max="14" width="23.42578125" style="4" customWidth="1"/>
    <col min="15" max="15" width="17.7109375" style="6" bestFit="1" customWidth="1"/>
    <col min="16" max="16" width="15.28515625" style="4" customWidth="1"/>
    <col min="17" max="17" width="23.42578125" style="4" customWidth="1"/>
    <col min="18" max="18" width="17.7109375" style="6" bestFit="1" customWidth="1"/>
    <col min="19" max="19" width="15.28515625" style="4" customWidth="1"/>
    <col min="20" max="20" width="23.42578125" style="4" customWidth="1"/>
    <col min="21" max="21" width="17.7109375" style="6" bestFit="1" customWidth="1"/>
    <col min="22" max="22" width="15.28515625" style="4" customWidth="1"/>
    <col min="23" max="23" width="23.42578125" style="4" customWidth="1"/>
    <col min="24" max="24" width="17.7109375" style="6" bestFit="1" customWidth="1"/>
    <col min="25" max="25" width="15.28515625" style="4" customWidth="1"/>
    <col min="26" max="26" width="23.42578125" style="4" customWidth="1"/>
    <col min="27" max="27" width="17.7109375" style="6" bestFit="1" customWidth="1"/>
    <col min="28" max="28" width="15.28515625" style="4" customWidth="1"/>
    <col min="29" max="29" width="23.42578125" style="4" customWidth="1"/>
    <col min="30" max="30" width="17.7109375" style="6" bestFit="1" customWidth="1"/>
    <col min="31" max="32" width="45.7109375" style="3" bestFit="1" customWidth="1"/>
    <col min="33" max="33" width="15.28515625" style="8" bestFit="1" customWidth="1"/>
    <col min="34" max="34" width="15.28515625" style="4" customWidth="1"/>
    <col min="35" max="35" width="23.42578125" style="4" customWidth="1"/>
    <col min="36" max="36" width="17.7109375" style="6" bestFit="1" customWidth="1"/>
    <col min="37" max="37" width="15.28515625" style="4" customWidth="1"/>
    <col min="38" max="38" width="23.42578125" style="4" customWidth="1"/>
    <col min="39" max="39" width="17.7109375" style="6" bestFit="1" customWidth="1"/>
    <col min="40" max="40" width="15.28515625" style="4" customWidth="1"/>
    <col min="41" max="41" width="23.42578125" style="4" customWidth="1"/>
    <col min="42" max="42" width="17.7109375" style="6" bestFit="1" customWidth="1"/>
    <col min="43" max="43" width="15.28515625" style="4" customWidth="1"/>
    <col min="44" max="44" width="23.42578125" style="4" customWidth="1"/>
    <col min="45" max="45" width="17.7109375" style="6" bestFit="1" customWidth="1"/>
    <col min="46" max="46" width="15.28515625" style="4" customWidth="1"/>
    <col min="47" max="47" width="23.42578125" style="4" customWidth="1"/>
    <col min="48" max="48" width="17.7109375" style="6" bestFit="1" customWidth="1"/>
    <col min="49" max="49" width="15.28515625" style="4" customWidth="1"/>
    <col min="50" max="50" width="23.42578125" style="4" customWidth="1"/>
    <col min="51" max="51" width="17.7109375" style="6" bestFit="1" customWidth="1"/>
    <col min="52" max="52" width="30.140625" style="12" bestFit="1" customWidth="1"/>
    <col min="53" max="53" width="45.7109375" style="12" bestFit="1" customWidth="1"/>
    <col min="54" max="138" width="11.42578125" style="9"/>
  </cols>
  <sheetData>
    <row r="1" spans="1:138" x14ac:dyDescent="0.25">
      <c r="H1"/>
      <c r="I1"/>
      <c r="AG1" s="158"/>
    </row>
    <row r="2" spans="1:138" x14ac:dyDescent="0.25">
      <c r="H2"/>
      <c r="I2"/>
      <c r="AG2" s="158"/>
    </row>
    <row r="3" spans="1:138" x14ac:dyDescent="0.25">
      <c r="H3"/>
      <c r="I3"/>
      <c r="AG3" s="158"/>
    </row>
    <row r="4" spans="1:138" x14ac:dyDescent="0.25">
      <c r="H4"/>
      <c r="I4"/>
      <c r="AG4" s="158"/>
    </row>
    <row r="5" spans="1:138" x14ac:dyDescent="0.25">
      <c r="H5"/>
      <c r="I5"/>
      <c r="AG5" s="158"/>
    </row>
    <row r="6" spans="1:138" s="11" customFormat="1" ht="30" x14ac:dyDescent="0.2">
      <c r="A6" s="225" t="s">
        <v>61</v>
      </c>
      <c r="B6" s="225" t="s">
        <v>62</v>
      </c>
      <c r="C6" s="305"/>
      <c r="D6" s="335" t="s">
        <v>63</v>
      </c>
      <c r="E6" s="336"/>
      <c r="F6" s="335" t="s">
        <v>64</v>
      </c>
      <c r="G6" s="337"/>
      <c r="H6" s="337"/>
      <c r="I6" s="336"/>
      <c r="J6" s="338" t="s">
        <v>65</v>
      </c>
      <c r="K6" s="338"/>
      <c r="L6" s="338"/>
      <c r="M6" s="339" t="s">
        <v>2</v>
      </c>
      <c r="N6" s="340"/>
      <c r="O6" s="341"/>
      <c r="P6" s="339" t="s">
        <v>3</v>
      </c>
      <c r="Q6" s="340"/>
      <c r="R6" s="341"/>
      <c r="S6" s="339" t="s">
        <v>4</v>
      </c>
      <c r="T6" s="340"/>
      <c r="U6" s="341"/>
      <c r="V6" s="339" t="s">
        <v>1081</v>
      </c>
      <c r="W6" s="340"/>
      <c r="X6" s="341"/>
      <c r="Y6" s="339" t="s">
        <v>1082</v>
      </c>
      <c r="Z6" s="340"/>
      <c r="AA6" s="341"/>
      <c r="AB6" s="339" t="s">
        <v>1083</v>
      </c>
      <c r="AC6" s="340"/>
      <c r="AD6" s="341"/>
      <c r="AE6" s="373" t="s">
        <v>66</v>
      </c>
      <c r="AF6" s="373"/>
      <c r="AG6" s="373"/>
      <c r="AH6" s="367" t="s">
        <v>2</v>
      </c>
      <c r="AI6" s="368"/>
      <c r="AJ6" s="369"/>
      <c r="AK6" s="367" t="s">
        <v>3</v>
      </c>
      <c r="AL6" s="368"/>
      <c r="AM6" s="369"/>
      <c r="AN6" s="367" t="s">
        <v>4</v>
      </c>
      <c r="AO6" s="368"/>
      <c r="AP6" s="369"/>
      <c r="AQ6" s="367" t="s">
        <v>1081</v>
      </c>
      <c r="AR6" s="368"/>
      <c r="AS6" s="369"/>
      <c r="AT6" s="367" t="s">
        <v>1082</v>
      </c>
      <c r="AU6" s="368"/>
      <c r="AV6" s="369"/>
      <c r="AW6" s="367" t="s">
        <v>1083</v>
      </c>
      <c r="AX6" s="368"/>
      <c r="AY6" s="369"/>
      <c r="AZ6" s="338" t="s">
        <v>67</v>
      </c>
      <c r="BA6" s="338"/>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row>
    <row r="7" spans="1:138" s="11" customFormat="1" ht="49.5" customHeight="1" x14ac:dyDescent="0.2">
      <c r="A7" s="225" t="s">
        <v>68</v>
      </c>
      <c r="B7" s="225" t="s">
        <v>69</v>
      </c>
      <c r="C7" s="225" t="s">
        <v>70</v>
      </c>
      <c r="D7" s="225" t="s">
        <v>71</v>
      </c>
      <c r="E7" s="225" t="s">
        <v>72</v>
      </c>
      <c r="F7" s="225" t="s">
        <v>73</v>
      </c>
      <c r="G7" s="225" t="s">
        <v>74</v>
      </c>
      <c r="H7" s="20" t="s">
        <v>75</v>
      </c>
      <c r="I7" s="20" t="s">
        <v>76</v>
      </c>
      <c r="J7" s="225" t="s">
        <v>65</v>
      </c>
      <c r="K7" s="225" t="s">
        <v>77</v>
      </c>
      <c r="L7" s="225" t="s">
        <v>78</v>
      </c>
      <c r="M7" s="225" t="s">
        <v>79</v>
      </c>
      <c r="N7" s="225" t="s">
        <v>80</v>
      </c>
      <c r="O7" s="225" t="s">
        <v>81</v>
      </c>
      <c r="P7" s="225" t="s">
        <v>79</v>
      </c>
      <c r="Q7" s="225" t="s">
        <v>80</v>
      </c>
      <c r="R7" s="225" t="s">
        <v>81</v>
      </c>
      <c r="S7" s="225" t="s">
        <v>79</v>
      </c>
      <c r="T7" s="225" t="s">
        <v>80</v>
      </c>
      <c r="U7" s="225" t="s">
        <v>81</v>
      </c>
      <c r="V7" s="225" t="s">
        <v>79</v>
      </c>
      <c r="W7" s="225" t="s">
        <v>80</v>
      </c>
      <c r="X7" s="225" t="s">
        <v>81</v>
      </c>
      <c r="Y7" s="225" t="s">
        <v>79</v>
      </c>
      <c r="Z7" s="225" t="s">
        <v>80</v>
      </c>
      <c r="AA7" s="225" t="s">
        <v>81</v>
      </c>
      <c r="AB7" s="225" t="s">
        <v>79</v>
      </c>
      <c r="AC7" s="225" t="s">
        <v>80</v>
      </c>
      <c r="AD7" s="225" t="s">
        <v>81</v>
      </c>
      <c r="AE7" s="308" t="s">
        <v>66</v>
      </c>
      <c r="AF7" s="308" t="s">
        <v>82</v>
      </c>
      <c r="AG7" s="308" t="s">
        <v>83</v>
      </c>
      <c r="AH7" s="308" t="s">
        <v>79</v>
      </c>
      <c r="AI7" s="308" t="s">
        <v>80</v>
      </c>
      <c r="AJ7" s="308" t="s">
        <v>81</v>
      </c>
      <c r="AK7" s="308" t="s">
        <v>79</v>
      </c>
      <c r="AL7" s="308" t="s">
        <v>80</v>
      </c>
      <c r="AM7" s="308" t="s">
        <v>81</v>
      </c>
      <c r="AN7" s="308" t="s">
        <v>79</v>
      </c>
      <c r="AO7" s="308" t="s">
        <v>80</v>
      </c>
      <c r="AP7" s="308" t="s">
        <v>81</v>
      </c>
      <c r="AQ7" s="308" t="s">
        <v>79</v>
      </c>
      <c r="AR7" s="308" t="s">
        <v>80</v>
      </c>
      <c r="AS7" s="308" t="s">
        <v>81</v>
      </c>
      <c r="AT7" s="308" t="s">
        <v>79</v>
      </c>
      <c r="AU7" s="308" t="s">
        <v>80</v>
      </c>
      <c r="AV7" s="308" t="s">
        <v>81</v>
      </c>
      <c r="AW7" s="308" t="s">
        <v>79</v>
      </c>
      <c r="AX7" s="308" t="s">
        <v>80</v>
      </c>
      <c r="AY7" s="308" t="s">
        <v>81</v>
      </c>
      <c r="AZ7" s="225" t="s">
        <v>84</v>
      </c>
      <c r="BA7" s="225" t="s">
        <v>85</v>
      </c>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row>
    <row r="8" spans="1:138" s="5" customFormat="1" ht="228" x14ac:dyDescent="0.2">
      <c r="A8" s="347" t="s">
        <v>86</v>
      </c>
      <c r="B8" s="347" t="s">
        <v>245</v>
      </c>
      <c r="C8" s="363" t="s">
        <v>1627</v>
      </c>
      <c r="D8" s="347" t="s">
        <v>246</v>
      </c>
      <c r="E8" s="408" t="s">
        <v>16</v>
      </c>
      <c r="F8" s="347" t="s">
        <v>90</v>
      </c>
      <c r="G8" s="347" t="s">
        <v>91</v>
      </c>
      <c r="H8" s="345">
        <v>354646583</v>
      </c>
      <c r="I8" s="22">
        <v>80477463</v>
      </c>
      <c r="J8" s="226" t="s">
        <v>247</v>
      </c>
      <c r="K8" s="226" t="s">
        <v>248</v>
      </c>
      <c r="L8" s="228">
        <v>0.57999999999999996</v>
      </c>
      <c r="M8" s="229">
        <v>0.51</v>
      </c>
      <c r="N8" s="80" t="s">
        <v>249</v>
      </c>
      <c r="O8" s="229" t="s">
        <v>250</v>
      </c>
      <c r="P8" s="229">
        <v>0.51</v>
      </c>
      <c r="Q8" s="80" t="s">
        <v>251</v>
      </c>
      <c r="R8" s="229" t="s">
        <v>252</v>
      </c>
      <c r="S8" s="229" t="s">
        <v>253</v>
      </c>
      <c r="T8" s="80" t="s">
        <v>254</v>
      </c>
      <c r="U8" s="229" t="s">
        <v>1604</v>
      </c>
      <c r="V8" s="106">
        <v>0.51500000000000001</v>
      </c>
      <c r="W8" s="156">
        <v>0.29599999999999999</v>
      </c>
      <c r="X8" s="229" t="s">
        <v>1605</v>
      </c>
      <c r="Y8" s="229">
        <v>0.5</v>
      </c>
      <c r="Z8" s="156">
        <v>0.35899999999999999</v>
      </c>
      <c r="AA8" s="229" t="s">
        <v>1606</v>
      </c>
      <c r="AB8" s="229">
        <v>0.52</v>
      </c>
      <c r="AC8" s="156">
        <v>0.44800000000000001</v>
      </c>
      <c r="AD8" s="229" t="s">
        <v>1607</v>
      </c>
      <c r="AE8" s="13" t="s">
        <v>255</v>
      </c>
      <c r="AF8" s="13" t="s">
        <v>256</v>
      </c>
      <c r="AG8" s="227">
        <v>440</v>
      </c>
      <c r="AH8" s="105">
        <v>65</v>
      </c>
      <c r="AI8" s="82" t="s">
        <v>257</v>
      </c>
      <c r="AJ8" s="229" t="s">
        <v>258</v>
      </c>
      <c r="AK8" s="105">
        <v>107</v>
      </c>
      <c r="AL8" s="82" t="s">
        <v>259</v>
      </c>
      <c r="AM8" s="229" t="s">
        <v>260</v>
      </c>
      <c r="AN8" s="105">
        <v>154</v>
      </c>
      <c r="AO8" s="80">
        <v>0.35</v>
      </c>
      <c r="AP8" s="229" t="s">
        <v>261</v>
      </c>
      <c r="AQ8" s="105">
        <v>221</v>
      </c>
      <c r="AR8" s="307">
        <v>0.502</v>
      </c>
      <c r="AS8" s="229" t="s">
        <v>1608</v>
      </c>
      <c r="AT8" s="105">
        <v>231</v>
      </c>
      <c r="AU8" s="307">
        <v>0.52500000000000002</v>
      </c>
      <c r="AV8" s="229" t="s">
        <v>1609</v>
      </c>
      <c r="AW8" s="105">
        <v>255</v>
      </c>
      <c r="AX8" s="80">
        <v>0.57999999999999996</v>
      </c>
      <c r="AY8" s="229" t="s">
        <v>1610</v>
      </c>
      <c r="AZ8" s="13" t="s">
        <v>262</v>
      </c>
      <c r="BA8" s="13" t="s">
        <v>263</v>
      </c>
    </row>
    <row r="9" spans="1:138" s="5" customFormat="1" ht="192" customHeight="1" x14ac:dyDescent="0.2">
      <c r="A9" s="366"/>
      <c r="B9" s="366"/>
      <c r="C9" s="364"/>
      <c r="D9" s="366"/>
      <c r="E9" s="409"/>
      <c r="F9" s="366"/>
      <c r="G9" s="366"/>
      <c r="H9" s="372"/>
      <c r="I9" s="22">
        <v>29766147</v>
      </c>
      <c r="J9" s="226" t="s">
        <v>264</v>
      </c>
      <c r="K9" s="226" t="s">
        <v>265</v>
      </c>
      <c r="L9" s="228">
        <v>0.85</v>
      </c>
      <c r="M9" s="411" t="s">
        <v>266</v>
      </c>
      <c r="N9" s="412"/>
      <c r="O9" s="412"/>
      <c r="P9" s="412"/>
      <c r="Q9" s="412"/>
      <c r="R9" s="412"/>
      <c r="S9" s="412"/>
      <c r="T9" s="412"/>
      <c r="U9" s="413"/>
      <c r="V9" s="411" t="s">
        <v>1611</v>
      </c>
      <c r="W9" s="412"/>
      <c r="X9" s="412"/>
      <c r="Y9" s="412"/>
      <c r="Z9" s="412"/>
      <c r="AA9" s="412"/>
      <c r="AB9" s="412"/>
      <c r="AC9" s="412"/>
      <c r="AD9" s="413"/>
      <c r="AE9" s="13" t="s">
        <v>267</v>
      </c>
      <c r="AF9" s="13" t="s">
        <v>268</v>
      </c>
      <c r="AG9" s="227">
        <v>20</v>
      </c>
      <c r="AH9" s="105">
        <v>1</v>
      </c>
      <c r="AI9" s="80">
        <v>0.05</v>
      </c>
      <c r="AJ9" s="229" t="s">
        <v>269</v>
      </c>
      <c r="AK9" s="105">
        <v>3</v>
      </c>
      <c r="AL9" s="108">
        <v>0.15</v>
      </c>
      <c r="AM9" s="229" t="s">
        <v>270</v>
      </c>
      <c r="AN9" s="105">
        <v>5</v>
      </c>
      <c r="AO9" s="80">
        <v>0.25</v>
      </c>
      <c r="AP9" s="229" t="s">
        <v>271</v>
      </c>
      <c r="AQ9" s="105">
        <v>7</v>
      </c>
      <c r="AR9" s="80">
        <v>0.35</v>
      </c>
      <c r="AS9" s="229" t="s">
        <v>1612</v>
      </c>
      <c r="AT9" s="105">
        <v>9</v>
      </c>
      <c r="AU9" s="108">
        <v>0.45</v>
      </c>
      <c r="AV9" s="229" t="s">
        <v>1613</v>
      </c>
      <c r="AW9" s="105">
        <v>11</v>
      </c>
      <c r="AX9" s="80">
        <v>0.55000000000000004</v>
      </c>
      <c r="AY9" s="229" t="s">
        <v>1614</v>
      </c>
      <c r="AZ9" s="13" t="s">
        <v>262</v>
      </c>
      <c r="BA9" s="13" t="s">
        <v>263</v>
      </c>
    </row>
    <row r="10" spans="1:138" s="5" customFormat="1" ht="121.5" customHeight="1" x14ac:dyDescent="0.2">
      <c r="A10" s="366"/>
      <c r="B10" s="366" t="s">
        <v>245</v>
      </c>
      <c r="C10" s="364" t="s">
        <v>158</v>
      </c>
      <c r="D10" s="366" t="s">
        <v>246</v>
      </c>
      <c r="E10" s="409" t="s">
        <v>16</v>
      </c>
      <c r="F10" s="366" t="s">
        <v>90</v>
      </c>
      <c r="G10" s="366" t="s">
        <v>91</v>
      </c>
      <c r="H10" s="372"/>
      <c r="I10" s="22">
        <v>192052973</v>
      </c>
      <c r="J10" s="226" t="s">
        <v>272</v>
      </c>
      <c r="K10" s="226" t="s">
        <v>273</v>
      </c>
      <c r="L10" s="24">
        <v>3500</v>
      </c>
      <c r="M10" s="105">
        <v>345</v>
      </c>
      <c r="N10" s="80">
        <v>0.1</v>
      </c>
      <c r="O10" s="229" t="s">
        <v>274</v>
      </c>
      <c r="P10" s="105">
        <v>808</v>
      </c>
      <c r="Q10" s="80">
        <v>0.23</v>
      </c>
      <c r="R10" s="229" t="s">
        <v>275</v>
      </c>
      <c r="S10" s="105">
        <v>1236</v>
      </c>
      <c r="T10" s="80">
        <v>0.35</v>
      </c>
      <c r="U10" s="229" t="s">
        <v>276</v>
      </c>
      <c r="V10" s="105">
        <v>1661</v>
      </c>
      <c r="W10" s="156">
        <v>0.47499999999999998</v>
      </c>
      <c r="X10" s="229" t="s">
        <v>1615</v>
      </c>
      <c r="Y10" s="105">
        <v>2019</v>
      </c>
      <c r="Z10" s="80">
        <v>0.57999999999999996</v>
      </c>
      <c r="AA10" s="229" t="s">
        <v>1616</v>
      </c>
      <c r="AB10" s="105">
        <v>2446</v>
      </c>
      <c r="AC10" s="80">
        <v>0.7</v>
      </c>
      <c r="AD10" s="229" t="s">
        <v>1617</v>
      </c>
      <c r="AE10" s="351" t="s">
        <v>95</v>
      </c>
      <c r="AF10" s="351"/>
      <c r="AG10" s="351"/>
      <c r="AH10" s="89"/>
      <c r="AI10" s="91"/>
      <c r="AJ10" s="89"/>
      <c r="AK10" s="89"/>
      <c r="AL10" s="92"/>
      <c r="AM10" s="89"/>
      <c r="AN10" s="89"/>
      <c r="AO10" s="91"/>
      <c r="AP10" s="89"/>
      <c r="AQ10" s="89"/>
      <c r="AR10" s="91"/>
      <c r="AS10" s="89"/>
      <c r="AT10" s="89"/>
      <c r="AU10" s="92"/>
      <c r="AV10" s="89"/>
      <c r="AW10" s="89"/>
      <c r="AX10" s="91"/>
      <c r="AY10" s="89"/>
      <c r="AZ10" s="13" t="s">
        <v>262</v>
      </c>
      <c r="BA10" s="13" t="s">
        <v>263</v>
      </c>
    </row>
    <row r="11" spans="1:138" s="5" customFormat="1" ht="179.25" customHeight="1" x14ac:dyDescent="0.2">
      <c r="A11" s="348"/>
      <c r="B11" s="348"/>
      <c r="C11" s="365"/>
      <c r="D11" s="348"/>
      <c r="E11" s="410"/>
      <c r="F11" s="348"/>
      <c r="G11" s="348"/>
      <c r="H11" s="346"/>
      <c r="I11" s="22">
        <v>52350000</v>
      </c>
      <c r="J11" s="226" t="s">
        <v>277</v>
      </c>
      <c r="K11" s="226" t="s">
        <v>278</v>
      </c>
      <c r="L11" s="24">
        <v>1350</v>
      </c>
      <c r="M11" s="105">
        <v>75</v>
      </c>
      <c r="N11" s="80">
        <v>0.06</v>
      </c>
      <c r="O11" s="229" t="s">
        <v>1618</v>
      </c>
      <c r="P11" s="105">
        <v>230</v>
      </c>
      <c r="Q11" s="80">
        <v>0.17</v>
      </c>
      <c r="R11" s="229" t="s">
        <v>1619</v>
      </c>
      <c r="S11" s="105">
        <v>333</v>
      </c>
      <c r="T11" s="80">
        <v>0.25</v>
      </c>
      <c r="U11" s="229" t="s">
        <v>1620</v>
      </c>
      <c r="V11" s="105">
        <v>440</v>
      </c>
      <c r="W11" s="156">
        <v>0.32600000000000001</v>
      </c>
      <c r="X11" s="229" t="s">
        <v>1621</v>
      </c>
      <c r="Y11" s="105">
        <v>631</v>
      </c>
      <c r="Z11" s="156">
        <v>0.46700000000000003</v>
      </c>
      <c r="AA11" s="229" t="s">
        <v>1622</v>
      </c>
      <c r="AB11" s="105">
        <v>772</v>
      </c>
      <c r="AC11" s="156">
        <v>0.57199999999999995</v>
      </c>
      <c r="AD11" s="229" t="s">
        <v>1623</v>
      </c>
      <c r="AE11" s="13" t="s">
        <v>280</v>
      </c>
      <c r="AF11" s="13" t="s">
        <v>281</v>
      </c>
      <c r="AG11" s="227">
        <v>10</v>
      </c>
      <c r="AH11" s="105">
        <v>8</v>
      </c>
      <c r="AI11" s="80" t="s">
        <v>279</v>
      </c>
      <c r="AJ11" s="229" t="s">
        <v>282</v>
      </c>
      <c r="AK11" s="105">
        <v>10</v>
      </c>
      <c r="AL11" s="108">
        <v>0.15</v>
      </c>
      <c r="AM11" s="229" t="s">
        <v>283</v>
      </c>
      <c r="AN11" s="105">
        <v>10</v>
      </c>
      <c r="AO11" s="80">
        <v>0.23</v>
      </c>
      <c r="AP11" s="229" t="s">
        <v>284</v>
      </c>
      <c r="AQ11" s="105">
        <v>10</v>
      </c>
      <c r="AR11" s="156">
        <v>0.317</v>
      </c>
      <c r="AS11" s="229" t="s">
        <v>1624</v>
      </c>
      <c r="AT11" s="105">
        <v>10</v>
      </c>
      <c r="AU11" s="108">
        <v>0.4</v>
      </c>
      <c r="AV11" s="229" t="s">
        <v>1625</v>
      </c>
      <c r="AW11" s="105">
        <v>10</v>
      </c>
      <c r="AX11" s="80">
        <v>0.48299999999999998</v>
      </c>
      <c r="AY11" s="229" t="s">
        <v>1626</v>
      </c>
      <c r="AZ11" s="13" t="s">
        <v>262</v>
      </c>
      <c r="BA11" s="13" t="s">
        <v>263</v>
      </c>
    </row>
    <row r="12" spans="1:138" ht="75" x14ac:dyDescent="0.25">
      <c r="M12" s="71" t="s">
        <v>155</v>
      </c>
      <c r="N12" s="72" t="s">
        <v>285</v>
      </c>
      <c r="O12" s="111"/>
      <c r="P12" s="71" t="s">
        <v>155</v>
      </c>
      <c r="Q12" s="72" t="s">
        <v>286</v>
      </c>
      <c r="S12" s="71" t="s">
        <v>155</v>
      </c>
      <c r="T12" s="72">
        <v>0.2056</v>
      </c>
      <c r="V12" s="71" t="s">
        <v>155</v>
      </c>
      <c r="W12" s="72">
        <v>0.36549999999999999</v>
      </c>
      <c r="X12" s="111"/>
      <c r="Y12" s="71" t="s">
        <v>155</v>
      </c>
      <c r="Z12" s="72">
        <v>0.46779999999999999</v>
      </c>
      <c r="AB12" s="71" t="s">
        <v>155</v>
      </c>
      <c r="AC12" s="72">
        <v>0.57299999999999995</v>
      </c>
      <c r="AH12" s="71" t="s">
        <v>156</v>
      </c>
      <c r="AI12" s="72" t="s">
        <v>287</v>
      </c>
      <c r="AK12" s="71" t="s">
        <v>156</v>
      </c>
      <c r="AL12" s="72" t="s">
        <v>288</v>
      </c>
      <c r="AN12" s="71" t="s">
        <v>156</v>
      </c>
      <c r="AO12" s="72" t="s">
        <v>289</v>
      </c>
      <c r="AP12" s="109"/>
      <c r="AQ12" s="71" t="s">
        <v>156</v>
      </c>
      <c r="AR12" s="72">
        <v>0.3896</v>
      </c>
      <c r="AT12" s="71" t="s">
        <v>156</v>
      </c>
      <c r="AU12" s="72">
        <v>0.45829999999999999</v>
      </c>
      <c r="AW12" s="71" t="s">
        <v>156</v>
      </c>
      <c r="AX12" s="72">
        <v>0.53759999999999997</v>
      </c>
      <c r="AY12" s="109"/>
      <c r="AZ12" s="9"/>
      <c r="BA12" s="9"/>
      <c r="EE12"/>
      <c r="EF12"/>
      <c r="EG12"/>
      <c r="EH12"/>
    </row>
    <row r="13" spans="1:138" ht="38.25" customHeight="1" x14ac:dyDescent="0.25">
      <c r="C13" s="6"/>
      <c r="E13" s="26"/>
    </row>
    <row r="14" spans="1:138" ht="38.25" customHeight="1" x14ac:dyDescent="0.25">
      <c r="A14" t="s">
        <v>290</v>
      </c>
      <c r="C14" s="6"/>
      <c r="E14" s="26"/>
    </row>
    <row r="15" spans="1:138" x14ac:dyDescent="0.25">
      <c r="C15" s="6"/>
      <c r="E15" s="26"/>
    </row>
    <row r="16" spans="1:138" x14ac:dyDescent="0.25">
      <c r="C16" s="6"/>
      <c r="E16" s="26"/>
    </row>
    <row r="17" spans="3:5" x14ac:dyDescent="0.25">
      <c r="C17" s="6"/>
      <c r="E17" s="26"/>
    </row>
    <row r="18" spans="3:5" x14ac:dyDescent="0.25">
      <c r="C18" s="6"/>
      <c r="E18" s="26"/>
    </row>
  </sheetData>
  <autoFilter ref="A7:AZ14" xr:uid="{00000000-0009-0000-0000-000000000000}"/>
  <mergeCells count="28">
    <mergeCell ref="AE10:AG10"/>
    <mergeCell ref="A8:A11"/>
    <mergeCell ref="B8:B11"/>
    <mergeCell ref="C8:C11"/>
    <mergeCell ref="D8:D11"/>
    <mergeCell ref="E8:E11"/>
    <mergeCell ref="F8:F11"/>
    <mergeCell ref="G8:G11"/>
    <mergeCell ref="H8:H11"/>
    <mergeCell ref="M9:U9"/>
    <mergeCell ref="V9:AD9"/>
    <mergeCell ref="AZ6:BA6"/>
    <mergeCell ref="S6:U6"/>
    <mergeCell ref="V6:X6"/>
    <mergeCell ref="Y6:AA6"/>
    <mergeCell ref="AB6:AD6"/>
    <mergeCell ref="AE6:AG6"/>
    <mergeCell ref="AH6:AJ6"/>
    <mergeCell ref="AK6:AM6"/>
    <mergeCell ref="AN6:AP6"/>
    <mergeCell ref="AQ6:AS6"/>
    <mergeCell ref="AT6:AV6"/>
    <mergeCell ref="AW6:AY6"/>
    <mergeCell ref="P6:R6"/>
    <mergeCell ref="D6:E6"/>
    <mergeCell ref="F6:I6"/>
    <mergeCell ref="J6:L6"/>
    <mergeCell ref="M6:O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A2D4-BC6C-412C-A22E-7F54087D3BD2}">
  <sheetPr>
    <tabColor theme="9" tint="-0.249977111117893"/>
  </sheetPr>
  <dimension ref="A1:EH34"/>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29" style="6" customWidth="1"/>
    <col min="16" max="16" width="15.28515625" style="4" customWidth="1"/>
    <col min="17" max="17" width="23.42578125" style="84" customWidth="1"/>
    <col min="18" max="18" width="34.85546875" style="6" customWidth="1"/>
    <col min="19" max="19" width="15.28515625" style="4" customWidth="1"/>
    <col min="20" max="20" width="23.42578125" style="84" customWidth="1"/>
    <col min="21" max="21" width="32.42578125" style="6" customWidth="1"/>
    <col min="22" max="22" width="19.85546875" style="6" customWidth="1"/>
    <col min="23" max="23" width="22.28515625" style="6" customWidth="1"/>
    <col min="24" max="24" width="32.42578125" style="6" customWidth="1"/>
    <col min="25" max="25" width="23" style="6" customWidth="1"/>
    <col min="26" max="26" width="23.28515625" style="6" customWidth="1"/>
    <col min="27" max="27" width="32.42578125" style="6" customWidth="1"/>
    <col min="28" max="28" width="22.42578125" style="6" customWidth="1"/>
    <col min="29" max="29" width="25.5703125" style="6" customWidth="1"/>
    <col min="30" max="30" width="32.42578125" style="6" customWidth="1"/>
    <col min="31" max="32" width="45.7109375" style="3" bestFit="1" customWidth="1"/>
    <col min="33" max="33" width="15.28515625" style="8" bestFit="1" customWidth="1"/>
    <col min="34" max="34" width="15.28515625" style="4" customWidth="1"/>
    <col min="35" max="35" width="23.42578125" style="84" customWidth="1"/>
    <col min="36" max="36" width="22.7109375" style="6" customWidth="1"/>
    <col min="37" max="37" width="15.28515625" style="4" customWidth="1"/>
    <col min="38" max="38" width="23.42578125" style="84" customWidth="1"/>
    <col min="39" max="39" width="17.7109375" style="6" customWidth="1"/>
    <col min="40" max="40" width="15.28515625" style="4" customWidth="1"/>
    <col min="41" max="41" width="23.42578125" style="84" customWidth="1"/>
    <col min="42" max="42" width="26.42578125" style="6" customWidth="1"/>
    <col min="43" max="44" width="17.7109375" style="6" customWidth="1"/>
    <col min="45" max="45" width="36.28515625" style="6" customWidth="1"/>
    <col min="46" max="47" width="17.7109375" style="6" customWidth="1"/>
    <col min="48" max="48" width="36.7109375" style="6" customWidth="1"/>
    <col min="49" max="50" width="17.7109375" style="6" customWidth="1"/>
    <col min="51" max="51" width="29.85546875" style="6" customWidth="1"/>
    <col min="52" max="52" width="30.140625" style="12" bestFit="1" customWidth="1"/>
    <col min="53" max="53" width="45.7109375" style="12" bestFit="1" customWidth="1"/>
    <col min="54" max="138" width="11.42578125" style="9"/>
  </cols>
  <sheetData>
    <row r="1" spans="1:138" x14ac:dyDescent="0.25">
      <c r="A1" s="2"/>
      <c r="B1" s="2"/>
      <c r="H1" s="2"/>
      <c r="I1" s="2"/>
      <c r="AG1" s="7"/>
    </row>
    <row r="2" spans="1:138" x14ac:dyDescent="0.25">
      <c r="A2" s="2"/>
      <c r="B2" s="2"/>
      <c r="H2" s="2"/>
      <c r="I2" s="2"/>
      <c r="AG2" s="7"/>
    </row>
    <row r="3" spans="1:138" x14ac:dyDescent="0.25">
      <c r="A3" s="2"/>
      <c r="B3" s="2"/>
      <c r="H3" s="2"/>
      <c r="I3" s="2"/>
      <c r="AG3" s="7"/>
    </row>
    <row r="4" spans="1:138" x14ac:dyDescent="0.25">
      <c r="A4" s="2"/>
      <c r="B4" s="2"/>
      <c r="H4" s="2"/>
      <c r="I4" s="2"/>
      <c r="AG4" s="7"/>
    </row>
    <row r="5" spans="1:138" x14ac:dyDescent="0.25">
      <c r="A5" s="14"/>
      <c r="B5" s="14"/>
      <c r="C5" s="15"/>
      <c r="D5" s="15"/>
      <c r="E5" s="15"/>
      <c r="F5" s="15"/>
      <c r="G5" s="15"/>
      <c r="H5" s="14"/>
      <c r="I5" s="14"/>
      <c r="J5" s="15"/>
      <c r="K5" s="15"/>
      <c r="L5" s="16"/>
      <c r="M5" s="15"/>
      <c r="N5" s="85"/>
      <c r="O5" s="16"/>
      <c r="P5" s="15"/>
      <c r="Q5" s="85"/>
      <c r="R5" s="16"/>
      <c r="S5" s="15"/>
      <c r="T5" s="85"/>
      <c r="U5" s="16"/>
      <c r="V5" s="16"/>
      <c r="W5" s="16"/>
      <c r="X5" s="16"/>
      <c r="Y5" s="16"/>
      <c r="Z5" s="16"/>
      <c r="AA5" s="16"/>
      <c r="AB5" s="16"/>
      <c r="AC5" s="16"/>
      <c r="AD5" s="16"/>
      <c r="AE5" s="17"/>
      <c r="AF5" s="17"/>
      <c r="AG5" s="18"/>
      <c r="AH5" s="15"/>
      <c r="AI5" s="85"/>
      <c r="AJ5" s="16"/>
      <c r="AK5" s="15"/>
      <c r="AL5" s="85"/>
      <c r="AM5" s="16"/>
      <c r="AN5" s="15"/>
      <c r="AO5" s="85"/>
      <c r="AP5" s="16"/>
      <c r="AQ5" s="16"/>
      <c r="AR5" s="16"/>
      <c r="AS5" s="16"/>
      <c r="AT5" s="16"/>
      <c r="AU5" s="16"/>
      <c r="AV5" s="16"/>
      <c r="AW5" s="16"/>
      <c r="AX5" s="16"/>
      <c r="AY5" s="16"/>
      <c r="AZ5" s="19"/>
      <c r="BA5" s="19"/>
    </row>
    <row r="6" spans="1:138" s="11" customFormat="1" ht="30" x14ac:dyDescent="0.2">
      <c r="A6" s="170" t="s">
        <v>61</v>
      </c>
      <c r="B6" s="170" t="s">
        <v>62</v>
      </c>
      <c r="C6" s="305"/>
      <c r="D6" s="335" t="s">
        <v>63</v>
      </c>
      <c r="E6" s="336"/>
      <c r="F6" s="335" t="s">
        <v>64</v>
      </c>
      <c r="G6" s="337"/>
      <c r="H6" s="337"/>
      <c r="I6" s="336"/>
      <c r="J6" s="338" t="s">
        <v>65</v>
      </c>
      <c r="K6" s="338"/>
      <c r="L6" s="338"/>
      <c r="M6" s="339" t="s">
        <v>2</v>
      </c>
      <c r="N6" s="340"/>
      <c r="O6" s="341"/>
      <c r="P6" s="339" t="s">
        <v>3</v>
      </c>
      <c r="Q6" s="340"/>
      <c r="R6" s="341"/>
      <c r="S6" s="339" t="s">
        <v>4</v>
      </c>
      <c r="T6" s="340"/>
      <c r="U6" s="341"/>
      <c r="V6" s="339" t="s">
        <v>1081</v>
      </c>
      <c r="W6" s="340"/>
      <c r="X6" s="341"/>
      <c r="Y6" s="339" t="s">
        <v>1082</v>
      </c>
      <c r="Z6" s="340"/>
      <c r="AA6" s="341"/>
      <c r="AB6" s="339" t="s">
        <v>1083</v>
      </c>
      <c r="AC6" s="340"/>
      <c r="AD6" s="341"/>
      <c r="AE6" s="373" t="s">
        <v>66</v>
      </c>
      <c r="AF6" s="373"/>
      <c r="AG6" s="373"/>
      <c r="AH6" s="367" t="s">
        <v>2</v>
      </c>
      <c r="AI6" s="368"/>
      <c r="AJ6" s="369"/>
      <c r="AK6" s="367" t="s">
        <v>3</v>
      </c>
      <c r="AL6" s="368"/>
      <c r="AM6" s="369"/>
      <c r="AN6" s="367" t="s">
        <v>4</v>
      </c>
      <c r="AO6" s="368"/>
      <c r="AP6" s="369"/>
      <c r="AQ6" s="367" t="s">
        <v>1081</v>
      </c>
      <c r="AR6" s="368"/>
      <c r="AS6" s="369"/>
      <c r="AT6" s="367" t="s">
        <v>1082</v>
      </c>
      <c r="AU6" s="368"/>
      <c r="AV6" s="369"/>
      <c r="AW6" s="367" t="s">
        <v>1083</v>
      </c>
      <c r="AX6" s="368"/>
      <c r="AY6" s="369"/>
      <c r="AZ6" s="338" t="s">
        <v>67</v>
      </c>
      <c r="BA6" s="338"/>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row>
    <row r="7" spans="1:138" s="11" customFormat="1" ht="49.5" customHeight="1" x14ac:dyDescent="0.2">
      <c r="A7" s="170" t="s">
        <v>68</v>
      </c>
      <c r="B7" s="170" t="s">
        <v>69</v>
      </c>
      <c r="C7" s="170" t="s">
        <v>70</v>
      </c>
      <c r="D7" s="170" t="s">
        <v>71</v>
      </c>
      <c r="E7" s="170" t="s">
        <v>72</v>
      </c>
      <c r="F7" s="170" t="s">
        <v>73</v>
      </c>
      <c r="G7" s="170" t="s">
        <v>74</v>
      </c>
      <c r="H7" s="20" t="s">
        <v>75</v>
      </c>
      <c r="I7" s="20" t="s">
        <v>76</v>
      </c>
      <c r="J7" s="170" t="s">
        <v>65</v>
      </c>
      <c r="K7" s="170" t="s">
        <v>77</v>
      </c>
      <c r="L7" s="170" t="s">
        <v>78</v>
      </c>
      <c r="M7" s="170" t="s">
        <v>79</v>
      </c>
      <c r="N7" s="86" t="s">
        <v>80</v>
      </c>
      <c r="O7" s="170" t="s">
        <v>81</v>
      </c>
      <c r="P7" s="170" t="s">
        <v>79</v>
      </c>
      <c r="Q7" s="86" t="s">
        <v>80</v>
      </c>
      <c r="R7" s="170" t="s">
        <v>81</v>
      </c>
      <c r="S7" s="170" t="s">
        <v>79</v>
      </c>
      <c r="T7" s="86" t="s">
        <v>80</v>
      </c>
      <c r="U7" s="170" t="s">
        <v>81</v>
      </c>
      <c r="V7" s="189" t="s">
        <v>79</v>
      </c>
      <c r="W7" s="86" t="s">
        <v>80</v>
      </c>
      <c r="X7" s="189" t="s">
        <v>81</v>
      </c>
      <c r="Y7" s="189" t="s">
        <v>79</v>
      </c>
      <c r="Z7" s="86" t="s">
        <v>80</v>
      </c>
      <c r="AA7" s="189" t="s">
        <v>81</v>
      </c>
      <c r="AB7" s="189" t="s">
        <v>79</v>
      </c>
      <c r="AC7" s="86" t="s">
        <v>80</v>
      </c>
      <c r="AD7" s="189" t="s">
        <v>81</v>
      </c>
      <c r="AE7" s="308" t="s">
        <v>66</v>
      </c>
      <c r="AF7" s="308" t="s">
        <v>82</v>
      </c>
      <c r="AG7" s="308" t="s">
        <v>83</v>
      </c>
      <c r="AH7" s="308" t="s">
        <v>79</v>
      </c>
      <c r="AI7" s="309" t="s">
        <v>80</v>
      </c>
      <c r="AJ7" s="308" t="s">
        <v>81</v>
      </c>
      <c r="AK7" s="308" t="s">
        <v>79</v>
      </c>
      <c r="AL7" s="309" t="s">
        <v>80</v>
      </c>
      <c r="AM7" s="308" t="s">
        <v>81</v>
      </c>
      <c r="AN7" s="308" t="s">
        <v>79</v>
      </c>
      <c r="AO7" s="309" t="s">
        <v>80</v>
      </c>
      <c r="AP7" s="308" t="s">
        <v>81</v>
      </c>
      <c r="AQ7" s="308" t="s">
        <v>79</v>
      </c>
      <c r="AR7" s="309" t="s">
        <v>80</v>
      </c>
      <c r="AS7" s="308" t="s">
        <v>81</v>
      </c>
      <c r="AT7" s="308" t="s">
        <v>79</v>
      </c>
      <c r="AU7" s="309" t="s">
        <v>80</v>
      </c>
      <c r="AV7" s="308" t="s">
        <v>81</v>
      </c>
      <c r="AW7" s="308" t="s">
        <v>79</v>
      </c>
      <c r="AX7" s="309" t="s">
        <v>80</v>
      </c>
      <c r="AY7" s="308" t="s">
        <v>81</v>
      </c>
      <c r="AZ7" s="170" t="s">
        <v>84</v>
      </c>
      <c r="BA7" s="170" t="s">
        <v>85</v>
      </c>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row>
    <row r="8" spans="1:138" s="5" customFormat="1" ht="33.75" customHeight="1" x14ac:dyDescent="0.2">
      <c r="A8" s="351" t="s">
        <v>86</v>
      </c>
      <c r="B8" s="351" t="s">
        <v>291</v>
      </c>
      <c r="C8" s="371" t="s">
        <v>1637</v>
      </c>
      <c r="D8" s="351" t="s">
        <v>51</v>
      </c>
      <c r="E8" s="344" t="s">
        <v>292</v>
      </c>
      <c r="F8" s="351" t="s">
        <v>90</v>
      </c>
      <c r="G8" s="351" t="s">
        <v>293</v>
      </c>
      <c r="H8" s="345">
        <v>11905645693</v>
      </c>
      <c r="I8" s="345">
        <v>777815151</v>
      </c>
      <c r="J8" s="351" t="s">
        <v>294</v>
      </c>
      <c r="K8" s="351" t="s">
        <v>295</v>
      </c>
      <c r="L8" s="371">
        <v>571</v>
      </c>
      <c r="M8" s="425">
        <v>32</v>
      </c>
      <c r="N8" s="342">
        <v>0.06</v>
      </c>
      <c r="O8" s="354" t="s">
        <v>296</v>
      </c>
      <c r="P8" s="422">
        <v>75</v>
      </c>
      <c r="Q8" s="342">
        <v>0.13</v>
      </c>
      <c r="R8" s="354" t="s">
        <v>297</v>
      </c>
      <c r="S8" s="422">
        <v>121</v>
      </c>
      <c r="T8" s="342">
        <v>0.21</v>
      </c>
      <c r="U8" s="354" t="s">
        <v>298</v>
      </c>
      <c r="V8" s="414">
        <v>148</v>
      </c>
      <c r="W8" s="354">
        <v>0.26</v>
      </c>
      <c r="X8" s="354" t="s">
        <v>1254</v>
      </c>
      <c r="Y8" s="414">
        <v>203</v>
      </c>
      <c r="Z8" s="354">
        <v>0.36</v>
      </c>
      <c r="AA8" s="354" t="s">
        <v>1255</v>
      </c>
      <c r="AB8" s="414">
        <v>261</v>
      </c>
      <c r="AC8" s="354">
        <v>0.46</v>
      </c>
      <c r="AD8" s="354" t="s">
        <v>1256</v>
      </c>
      <c r="AE8" s="13" t="s">
        <v>299</v>
      </c>
      <c r="AF8" s="13" t="s">
        <v>300</v>
      </c>
      <c r="AG8" s="172">
        <v>631</v>
      </c>
      <c r="AH8" s="172">
        <v>40</v>
      </c>
      <c r="AI8" s="80">
        <v>0.06</v>
      </c>
      <c r="AK8" s="103">
        <v>78</v>
      </c>
      <c r="AL8" s="80">
        <v>0.12</v>
      </c>
      <c r="AM8" s="80" t="s">
        <v>301</v>
      </c>
      <c r="AN8" s="103">
        <v>117</v>
      </c>
      <c r="AO8" s="80">
        <v>0.19</v>
      </c>
      <c r="AP8" s="80" t="s">
        <v>302</v>
      </c>
      <c r="AQ8" s="198">
        <v>157</v>
      </c>
      <c r="AR8" s="80">
        <v>0.25</v>
      </c>
      <c r="AS8" s="80" t="s">
        <v>1267</v>
      </c>
      <c r="AT8" s="198">
        <v>207</v>
      </c>
      <c r="AU8" s="80">
        <v>0.33</v>
      </c>
      <c r="AV8" s="80" t="s">
        <v>1268</v>
      </c>
      <c r="AW8" s="198">
        <v>270</v>
      </c>
      <c r="AX8" s="80">
        <v>0.43</v>
      </c>
      <c r="AY8" s="80" t="s">
        <v>1269</v>
      </c>
      <c r="AZ8" s="13" t="s">
        <v>108</v>
      </c>
      <c r="BA8" s="13" t="s">
        <v>109</v>
      </c>
    </row>
    <row r="9" spans="1:138" s="5" customFormat="1" ht="61.5" customHeight="1" x14ac:dyDescent="0.2">
      <c r="A9" s="351"/>
      <c r="B9" s="351"/>
      <c r="C9" s="371"/>
      <c r="D9" s="351"/>
      <c r="E9" s="344"/>
      <c r="F9" s="351"/>
      <c r="G9" s="351"/>
      <c r="H9" s="372"/>
      <c r="I9" s="346"/>
      <c r="J9" s="351"/>
      <c r="K9" s="351"/>
      <c r="L9" s="371"/>
      <c r="M9" s="426"/>
      <c r="N9" s="343"/>
      <c r="O9" s="356"/>
      <c r="P9" s="424"/>
      <c r="Q9" s="343"/>
      <c r="R9" s="356"/>
      <c r="S9" s="424"/>
      <c r="T9" s="343"/>
      <c r="U9" s="356"/>
      <c r="V9" s="416"/>
      <c r="W9" s="356"/>
      <c r="X9" s="356"/>
      <c r="Y9" s="416"/>
      <c r="Z9" s="356"/>
      <c r="AA9" s="356"/>
      <c r="AB9" s="416"/>
      <c r="AC9" s="356"/>
      <c r="AD9" s="356"/>
      <c r="AE9" s="13" t="s">
        <v>303</v>
      </c>
      <c r="AF9" s="13" t="s">
        <v>304</v>
      </c>
      <c r="AG9" s="172">
        <v>517</v>
      </c>
      <c r="AH9" s="172">
        <v>25</v>
      </c>
      <c r="AI9" s="80">
        <v>0.08</v>
      </c>
      <c r="AJ9" s="80" t="s">
        <v>305</v>
      </c>
      <c r="AK9" s="103">
        <v>65</v>
      </c>
      <c r="AL9" s="80">
        <v>0.13</v>
      </c>
      <c r="AM9" s="80" t="s">
        <v>306</v>
      </c>
      <c r="AN9" s="103">
        <v>99</v>
      </c>
      <c r="AO9" s="80">
        <v>0.19</v>
      </c>
      <c r="AP9" s="80" t="s">
        <v>307</v>
      </c>
      <c r="AQ9" s="198">
        <v>124</v>
      </c>
      <c r="AR9" s="80">
        <v>0.24</v>
      </c>
      <c r="AS9" s="80" t="s">
        <v>1272</v>
      </c>
      <c r="AT9" s="198">
        <v>178</v>
      </c>
      <c r="AU9" s="80">
        <v>0.31</v>
      </c>
      <c r="AV9" s="80" t="s">
        <v>1271</v>
      </c>
      <c r="AW9" s="198">
        <v>233</v>
      </c>
      <c r="AX9" s="80">
        <v>0.45</v>
      </c>
      <c r="AY9" s="80" t="s">
        <v>1270</v>
      </c>
      <c r="AZ9" s="13" t="s">
        <v>108</v>
      </c>
      <c r="BA9" s="13" t="s">
        <v>109</v>
      </c>
    </row>
    <row r="10" spans="1:138" s="5" customFormat="1" ht="53.25" customHeight="1" x14ac:dyDescent="0.2">
      <c r="A10" s="351"/>
      <c r="B10" s="351"/>
      <c r="C10" s="371"/>
      <c r="D10" s="351"/>
      <c r="E10" s="344"/>
      <c r="F10" s="351"/>
      <c r="G10" s="351"/>
      <c r="H10" s="372"/>
      <c r="I10" s="345">
        <v>2017923087</v>
      </c>
      <c r="J10" s="351" t="s">
        <v>308</v>
      </c>
      <c r="K10" s="351" t="s">
        <v>309</v>
      </c>
      <c r="L10" s="371">
        <v>1021</v>
      </c>
      <c r="M10" s="342">
        <v>0</v>
      </c>
      <c r="N10" s="342">
        <v>0</v>
      </c>
      <c r="O10" s="354" t="s">
        <v>310</v>
      </c>
      <c r="P10" s="422">
        <v>31</v>
      </c>
      <c r="Q10" s="342">
        <v>0.03</v>
      </c>
      <c r="R10" s="354" t="s">
        <v>311</v>
      </c>
      <c r="S10" s="422">
        <v>96</v>
      </c>
      <c r="T10" s="342">
        <v>0.09</v>
      </c>
      <c r="U10" s="354" t="s">
        <v>312</v>
      </c>
      <c r="V10" s="414">
        <v>163</v>
      </c>
      <c r="W10" s="354">
        <v>0.15</v>
      </c>
      <c r="X10" s="354" t="s">
        <v>1259</v>
      </c>
      <c r="Y10" s="414">
        <v>246</v>
      </c>
      <c r="Z10" s="354">
        <v>0.22</v>
      </c>
      <c r="AA10" s="354" t="s">
        <v>1258</v>
      </c>
      <c r="AB10" s="414">
        <v>342</v>
      </c>
      <c r="AC10" s="354">
        <v>0.31</v>
      </c>
      <c r="AD10" s="354" t="s">
        <v>1257</v>
      </c>
      <c r="AE10" s="13" t="s">
        <v>313</v>
      </c>
      <c r="AF10" s="13" t="s">
        <v>314</v>
      </c>
      <c r="AG10" s="172">
        <v>1021</v>
      </c>
      <c r="AH10" s="183">
        <v>0.08</v>
      </c>
      <c r="AI10" s="80">
        <v>0.01</v>
      </c>
      <c r="AJ10" s="80" t="s">
        <v>315</v>
      </c>
      <c r="AK10" s="103">
        <v>54</v>
      </c>
      <c r="AL10" s="80">
        <v>0.05</v>
      </c>
      <c r="AM10" s="80" t="s">
        <v>316</v>
      </c>
      <c r="AN10" s="103">
        <v>121</v>
      </c>
      <c r="AO10" s="80">
        <v>0.12</v>
      </c>
      <c r="AP10" s="80" t="s">
        <v>317</v>
      </c>
      <c r="AQ10" s="198">
        <v>201</v>
      </c>
      <c r="AR10" s="80">
        <v>0.18</v>
      </c>
      <c r="AS10" s="80" t="s">
        <v>1273</v>
      </c>
      <c r="AT10" s="198">
        <v>288</v>
      </c>
      <c r="AU10" s="80">
        <v>0.26</v>
      </c>
      <c r="AV10" s="80" t="s">
        <v>1274</v>
      </c>
      <c r="AW10" s="198">
        <v>383</v>
      </c>
      <c r="AX10" s="80">
        <v>0.35</v>
      </c>
      <c r="AY10" s="80" t="s">
        <v>1275</v>
      </c>
      <c r="AZ10" s="13" t="s">
        <v>108</v>
      </c>
      <c r="BA10" s="13" t="s">
        <v>109</v>
      </c>
    </row>
    <row r="11" spans="1:138" s="5" customFormat="1" ht="45" customHeight="1" x14ac:dyDescent="0.2">
      <c r="A11" s="351"/>
      <c r="B11" s="351"/>
      <c r="C11" s="371"/>
      <c r="D11" s="351"/>
      <c r="E11" s="344"/>
      <c r="F11" s="351"/>
      <c r="G11" s="351"/>
      <c r="H11" s="372"/>
      <c r="I11" s="372"/>
      <c r="J11" s="351"/>
      <c r="K11" s="351"/>
      <c r="L11" s="371"/>
      <c r="M11" s="374"/>
      <c r="N11" s="374"/>
      <c r="O11" s="355"/>
      <c r="P11" s="423"/>
      <c r="Q11" s="374"/>
      <c r="R11" s="355"/>
      <c r="S11" s="423"/>
      <c r="T11" s="374"/>
      <c r="U11" s="355"/>
      <c r="V11" s="415"/>
      <c r="W11" s="355"/>
      <c r="X11" s="355"/>
      <c r="Y11" s="415"/>
      <c r="Z11" s="355"/>
      <c r="AA11" s="355"/>
      <c r="AB11" s="415"/>
      <c r="AC11" s="355"/>
      <c r="AD11" s="355"/>
      <c r="AE11" s="13" t="s">
        <v>318</v>
      </c>
      <c r="AF11" s="13" t="s">
        <v>319</v>
      </c>
      <c r="AG11" s="177">
        <v>1</v>
      </c>
      <c r="AH11" s="183">
        <v>0</v>
      </c>
      <c r="AI11" s="80">
        <v>0</v>
      </c>
      <c r="AJ11" s="80" t="s">
        <v>149</v>
      </c>
      <c r="AK11" s="183">
        <v>0</v>
      </c>
      <c r="AL11" s="80">
        <v>0</v>
      </c>
      <c r="AM11" s="80" t="s">
        <v>149</v>
      </c>
      <c r="AN11" s="183">
        <v>0</v>
      </c>
      <c r="AO11" s="80">
        <v>0</v>
      </c>
      <c r="AP11" s="80" t="s">
        <v>149</v>
      </c>
      <c r="AQ11" s="190">
        <v>0</v>
      </c>
      <c r="AR11" s="80">
        <v>0</v>
      </c>
      <c r="AS11" s="80" t="s">
        <v>149</v>
      </c>
      <c r="AT11" s="190">
        <v>0</v>
      </c>
      <c r="AU11" s="80">
        <v>0</v>
      </c>
      <c r="AV11" s="80" t="s">
        <v>149</v>
      </c>
      <c r="AW11" s="190">
        <v>0</v>
      </c>
      <c r="AX11" s="80">
        <v>0</v>
      </c>
      <c r="AY11" s="80" t="s">
        <v>149</v>
      </c>
      <c r="AZ11" s="13" t="s">
        <v>108</v>
      </c>
      <c r="BA11" s="13" t="s">
        <v>109</v>
      </c>
    </row>
    <row r="12" spans="1:138" s="5" customFormat="1" ht="45" customHeight="1" x14ac:dyDescent="0.2">
      <c r="A12" s="351"/>
      <c r="B12" s="351"/>
      <c r="C12" s="371"/>
      <c r="D12" s="351"/>
      <c r="E12" s="344"/>
      <c r="F12" s="351"/>
      <c r="G12" s="351"/>
      <c r="H12" s="372"/>
      <c r="I12" s="372"/>
      <c r="J12" s="351"/>
      <c r="K12" s="351"/>
      <c r="L12" s="371"/>
      <c r="M12" s="374"/>
      <c r="N12" s="374"/>
      <c r="O12" s="355"/>
      <c r="P12" s="423"/>
      <c r="Q12" s="374"/>
      <c r="R12" s="355"/>
      <c r="S12" s="423"/>
      <c r="T12" s="374"/>
      <c r="U12" s="355"/>
      <c r="V12" s="415"/>
      <c r="W12" s="355"/>
      <c r="X12" s="355"/>
      <c r="Y12" s="415"/>
      <c r="Z12" s="355"/>
      <c r="AA12" s="355"/>
      <c r="AB12" s="415"/>
      <c r="AC12" s="355"/>
      <c r="AD12" s="355"/>
      <c r="AE12" s="13" t="s">
        <v>320</v>
      </c>
      <c r="AF12" s="13" t="s">
        <v>321</v>
      </c>
      <c r="AG12" s="177">
        <v>1</v>
      </c>
      <c r="AH12" s="183">
        <v>0</v>
      </c>
      <c r="AI12" s="80">
        <v>0</v>
      </c>
      <c r="AJ12" s="80" t="s">
        <v>149</v>
      </c>
      <c r="AK12" s="183">
        <v>0</v>
      </c>
      <c r="AL12" s="80">
        <v>0</v>
      </c>
      <c r="AM12" s="80" t="s">
        <v>149</v>
      </c>
      <c r="AN12" s="183">
        <v>0</v>
      </c>
      <c r="AO12" s="80">
        <v>0</v>
      </c>
      <c r="AP12" s="80" t="s">
        <v>149</v>
      </c>
      <c r="AQ12" s="190">
        <v>0</v>
      </c>
      <c r="AR12" s="80">
        <v>0</v>
      </c>
      <c r="AS12" s="80" t="s">
        <v>149</v>
      </c>
      <c r="AT12" s="190">
        <v>0</v>
      </c>
      <c r="AU12" s="80">
        <v>0</v>
      </c>
      <c r="AV12" s="80" t="s">
        <v>149</v>
      </c>
      <c r="AW12" s="190">
        <v>0</v>
      </c>
      <c r="AX12" s="80">
        <v>0</v>
      </c>
      <c r="AY12" s="80" t="s">
        <v>149</v>
      </c>
      <c r="AZ12" s="13" t="s">
        <v>108</v>
      </c>
      <c r="BA12" s="13" t="s">
        <v>109</v>
      </c>
    </row>
    <row r="13" spans="1:138" s="5" customFormat="1" ht="45" customHeight="1" x14ac:dyDescent="0.2">
      <c r="A13" s="351"/>
      <c r="B13" s="351"/>
      <c r="C13" s="371"/>
      <c r="D13" s="351"/>
      <c r="E13" s="344"/>
      <c r="F13" s="351"/>
      <c r="G13" s="351"/>
      <c r="H13" s="372"/>
      <c r="I13" s="372"/>
      <c r="J13" s="351"/>
      <c r="K13" s="351"/>
      <c r="L13" s="371"/>
      <c r="M13" s="374"/>
      <c r="N13" s="374"/>
      <c r="O13" s="355"/>
      <c r="P13" s="423"/>
      <c r="Q13" s="374"/>
      <c r="R13" s="355"/>
      <c r="S13" s="423"/>
      <c r="T13" s="374"/>
      <c r="U13" s="355"/>
      <c r="V13" s="415"/>
      <c r="W13" s="355"/>
      <c r="X13" s="355"/>
      <c r="Y13" s="415"/>
      <c r="Z13" s="355"/>
      <c r="AA13" s="355"/>
      <c r="AB13" s="415"/>
      <c r="AC13" s="355"/>
      <c r="AD13" s="355"/>
      <c r="AE13" s="13" t="s">
        <v>322</v>
      </c>
      <c r="AF13" s="13" t="s">
        <v>323</v>
      </c>
      <c r="AG13" s="177">
        <v>1</v>
      </c>
      <c r="AH13" s="183">
        <v>0</v>
      </c>
      <c r="AI13" s="80">
        <v>0</v>
      </c>
      <c r="AJ13" s="80" t="s">
        <v>149</v>
      </c>
      <c r="AK13" s="183">
        <v>0</v>
      </c>
      <c r="AL13" s="80">
        <v>0</v>
      </c>
      <c r="AM13" s="80" t="s">
        <v>149</v>
      </c>
      <c r="AN13" s="183">
        <v>0</v>
      </c>
      <c r="AO13" s="80">
        <v>0</v>
      </c>
      <c r="AP13" s="80" t="s">
        <v>149</v>
      </c>
      <c r="AQ13" s="190">
        <v>0</v>
      </c>
      <c r="AR13" s="80">
        <v>0</v>
      </c>
      <c r="AS13" s="80" t="s">
        <v>149</v>
      </c>
      <c r="AT13" s="190">
        <v>0</v>
      </c>
      <c r="AU13" s="80">
        <v>0</v>
      </c>
      <c r="AV13" s="80" t="s">
        <v>149</v>
      </c>
      <c r="AW13" s="190">
        <v>0</v>
      </c>
      <c r="AX13" s="80">
        <v>0</v>
      </c>
      <c r="AY13" s="80" t="s">
        <v>149</v>
      </c>
      <c r="AZ13" s="13" t="s">
        <v>108</v>
      </c>
      <c r="BA13" s="13" t="s">
        <v>109</v>
      </c>
    </row>
    <row r="14" spans="1:138" s="5" customFormat="1" ht="45" customHeight="1" x14ac:dyDescent="0.2">
      <c r="A14" s="351"/>
      <c r="B14" s="351"/>
      <c r="C14" s="371"/>
      <c r="D14" s="351"/>
      <c r="E14" s="344"/>
      <c r="F14" s="351"/>
      <c r="G14" s="351"/>
      <c r="H14" s="372"/>
      <c r="I14" s="372"/>
      <c r="J14" s="351"/>
      <c r="K14" s="351"/>
      <c r="L14" s="371"/>
      <c r="M14" s="374"/>
      <c r="N14" s="374"/>
      <c r="O14" s="355"/>
      <c r="P14" s="423"/>
      <c r="Q14" s="374"/>
      <c r="R14" s="355"/>
      <c r="S14" s="423"/>
      <c r="T14" s="374"/>
      <c r="U14" s="355"/>
      <c r="V14" s="415"/>
      <c r="W14" s="355"/>
      <c r="X14" s="355"/>
      <c r="Y14" s="415"/>
      <c r="Z14" s="355"/>
      <c r="AA14" s="355"/>
      <c r="AB14" s="415"/>
      <c r="AC14" s="355"/>
      <c r="AD14" s="355"/>
      <c r="AE14" s="13" t="s">
        <v>324</v>
      </c>
      <c r="AF14" s="13" t="s">
        <v>325</v>
      </c>
      <c r="AG14" s="177">
        <v>1</v>
      </c>
      <c r="AH14" s="183">
        <v>0</v>
      </c>
      <c r="AI14" s="80">
        <v>0</v>
      </c>
      <c r="AJ14" s="80" t="s">
        <v>149</v>
      </c>
      <c r="AK14" s="183">
        <v>0</v>
      </c>
      <c r="AL14" s="80">
        <v>0</v>
      </c>
      <c r="AM14" s="80" t="s">
        <v>149</v>
      </c>
      <c r="AN14" s="183">
        <v>0</v>
      </c>
      <c r="AO14" s="80">
        <v>0</v>
      </c>
      <c r="AP14" s="80" t="s">
        <v>149</v>
      </c>
      <c r="AQ14" s="190">
        <v>0</v>
      </c>
      <c r="AR14" s="80">
        <v>0</v>
      </c>
      <c r="AS14" s="80" t="s">
        <v>149</v>
      </c>
      <c r="AT14" s="190">
        <v>0</v>
      </c>
      <c r="AU14" s="80">
        <v>0</v>
      </c>
      <c r="AV14" s="80" t="s">
        <v>149</v>
      </c>
      <c r="AW14" s="190">
        <v>0</v>
      </c>
      <c r="AX14" s="80">
        <v>0</v>
      </c>
      <c r="AY14" s="80" t="s">
        <v>149</v>
      </c>
      <c r="AZ14" s="13" t="s">
        <v>108</v>
      </c>
      <c r="BA14" s="13" t="s">
        <v>109</v>
      </c>
    </row>
    <row r="15" spans="1:138" s="5" customFormat="1" ht="45" customHeight="1" x14ac:dyDescent="0.2">
      <c r="A15" s="351"/>
      <c r="B15" s="351"/>
      <c r="C15" s="371"/>
      <c r="D15" s="351"/>
      <c r="E15" s="344"/>
      <c r="F15" s="351"/>
      <c r="G15" s="351"/>
      <c r="H15" s="372"/>
      <c r="I15" s="346"/>
      <c r="J15" s="351"/>
      <c r="K15" s="351"/>
      <c r="L15" s="371"/>
      <c r="M15" s="343"/>
      <c r="N15" s="343"/>
      <c r="O15" s="356"/>
      <c r="P15" s="424"/>
      <c r="Q15" s="343"/>
      <c r="R15" s="356"/>
      <c r="S15" s="424"/>
      <c r="T15" s="343"/>
      <c r="U15" s="356"/>
      <c r="V15" s="416"/>
      <c r="W15" s="356"/>
      <c r="X15" s="356"/>
      <c r="Y15" s="416"/>
      <c r="Z15" s="356"/>
      <c r="AA15" s="356"/>
      <c r="AB15" s="416"/>
      <c r="AC15" s="356"/>
      <c r="AD15" s="356"/>
      <c r="AE15" s="13" t="s">
        <v>326</v>
      </c>
      <c r="AF15" s="13" t="s">
        <v>327</v>
      </c>
      <c r="AG15" s="177">
        <v>1</v>
      </c>
      <c r="AH15" s="183">
        <v>0</v>
      </c>
      <c r="AI15" s="80">
        <v>0</v>
      </c>
      <c r="AJ15" s="80" t="s">
        <v>149</v>
      </c>
      <c r="AK15" s="183">
        <v>0</v>
      </c>
      <c r="AL15" s="80">
        <v>0</v>
      </c>
      <c r="AM15" s="80" t="s">
        <v>149</v>
      </c>
      <c r="AN15" s="183">
        <v>0</v>
      </c>
      <c r="AO15" s="80">
        <v>0</v>
      </c>
      <c r="AP15" s="80" t="s">
        <v>149</v>
      </c>
      <c r="AQ15" s="190">
        <v>0</v>
      </c>
      <c r="AR15" s="80">
        <v>0</v>
      </c>
      <c r="AS15" s="80" t="s">
        <v>149</v>
      </c>
      <c r="AT15" s="190">
        <v>0</v>
      </c>
      <c r="AU15" s="80">
        <v>0</v>
      </c>
      <c r="AV15" s="80" t="s">
        <v>149</v>
      </c>
      <c r="AW15" s="190">
        <v>0</v>
      </c>
      <c r="AX15" s="80">
        <v>0</v>
      </c>
      <c r="AY15" s="80" t="s">
        <v>149</v>
      </c>
      <c r="AZ15" s="13" t="s">
        <v>108</v>
      </c>
      <c r="BA15" s="13" t="s">
        <v>109</v>
      </c>
    </row>
    <row r="16" spans="1:138" ht="75" x14ac:dyDescent="0.25">
      <c r="H16" s="372"/>
      <c r="M16" s="71" t="s">
        <v>164</v>
      </c>
      <c r="N16" s="87">
        <f>AVERAGE(N8:N15)</f>
        <v>0.03</v>
      </c>
      <c r="P16" s="71" t="s">
        <v>164</v>
      </c>
      <c r="Q16" s="87">
        <f>AVERAGE(Q8:Q15)</f>
        <v>0.08</v>
      </c>
      <c r="S16" s="71" t="s">
        <v>164</v>
      </c>
      <c r="T16" s="87">
        <f>AVERAGE(T8:T15)</f>
        <v>0.15</v>
      </c>
      <c r="V16" s="71" t="s">
        <v>164</v>
      </c>
      <c r="W16" s="87">
        <f>AVERAGE(W8:W15)</f>
        <v>0.20500000000000002</v>
      </c>
      <c r="Y16" s="71" t="s">
        <v>164</v>
      </c>
      <c r="Z16" s="87">
        <f>AVERAGE(Z8:Z15)</f>
        <v>0.28999999999999998</v>
      </c>
      <c r="AB16" s="71" t="s">
        <v>164</v>
      </c>
      <c r="AC16" s="87">
        <f>AVERAGE(AC8:AC15)</f>
        <v>0.38500000000000001</v>
      </c>
      <c r="AH16" s="71" t="s">
        <v>165</v>
      </c>
      <c r="AI16" s="87">
        <f>AVERAGE(AI8:AI10)</f>
        <v>5.000000000000001E-2</v>
      </c>
      <c r="AK16" s="71" t="s">
        <v>165</v>
      </c>
      <c r="AL16" s="87">
        <f>AVERAGE(AL8:AL10)</f>
        <v>9.9999999999999992E-2</v>
      </c>
      <c r="AN16" s="71" t="s">
        <v>165</v>
      </c>
      <c r="AO16" s="87">
        <f>AVERAGE(AO8:AO10)</f>
        <v>0.16666666666666666</v>
      </c>
      <c r="AP16" s="9"/>
      <c r="AQ16" s="71" t="s">
        <v>165</v>
      </c>
      <c r="AR16" s="87">
        <f>AVERAGE(AR8:AR10)</f>
        <v>0.2233333333333333</v>
      </c>
      <c r="AS16" s="9"/>
      <c r="AT16" s="71" t="s">
        <v>165</v>
      </c>
      <c r="AU16" s="87">
        <f>AVERAGE(AU8:AU10)</f>
        <v>0.3</v>
      </c>
      <c r="AV16" s="9"/>
      <c r="AW16" s="71" t="s">
        <v>165</v>
      </c>
      <c r="AX16" s="87">
        <f>AVERAGE(AX8:AX10)</f>
        <v>0.41</v>
      </c>
      <c r="AY16" s="9"/>
      <c r="AZ16" s="9"/>
      <c r="BA16" s="9"/>
      <c r="EE16"/>
      <c r="EF16"/>
      <c r="EG16"/>
      <c r="EH16"/>
    </row>
    <row r="17" spans="1:138" s="5" customFormat="1" ht="45" customHeight="1" x14ac:dyDescent="0.2">
      <c r="A17" s="347" t="s">
        <v>86</v>
      </c>
      <c r="B17" s="347" t="s">
        <v>291</v>
      </c>
      <c r="C17" s="363" t="s">
        <v>1638</v>
      </c>
      <c r="D17" s="347" t="s">
        <v>51</v>
      </c>
      <c r="E17" s="408" t="s">
        <v>328</v>
      </c>
      <c r="F17" s="347" t="s">
        <v>90</v>
      </c>
      <c r="G17" s="347" t="s">
        <v>293</v>
      </c>
      <c r="H17" s="372"/>
      <c r="I17" s="345">
        <v>2754561155</v>
      </c>
      <c r="J17" s="347" t="s">
        <v>329</v>
      </c>
      <c r="K17" s="347" t="s">
        <v>104</v>
      </c>
      <c r="L17" s="349">
        <v>1</v>
      </c>
      <c r="M17" s="428">
        <v>3.2199999999999999E-2</v>
      </c>
      <c r="N17" s="428">
        <v>3.2199999999999999E-2</v>
      </c>
      <c r="O17" s="354" t="s">
        <v>330</v>
      </c>
      <c r="P17" s="428">
        <v>0.10390000000000001</v>
      </c>
      <c r="Q17" s="428">
        <v>0.10390000000000001</v>
      </c>
      <c r="R17" s="354" t="s">
        <v>331</v>
      </c>
      <c r="S17" s="342">
        <v>0.19</v>
      </c>
      <c r="T17" s="342">
        <v>0.19</v>
      </c>
      <c r="U17" s="354" t="s">
        <v>332</v>
      </c>
      <c r="V17" s="419">
        <v>0.27500000000000002</v>
      </c>
      <c r="W17" s="419">
        <v>0.27500000000000002</v>
      </c>
      <c r="X17" s="354" t="s">
        <v>1260</v>
      </c>
      <c r="Y17" s="419">
        <v>0.38900000000000001</v>
      </c>
      <c r="Z17" s="419">
        <v>0.38900000000000001</v>
      </c>
      <c r="AA17" s="354" t="s">
        <v>1260</v>
      </c>
      <c r="AB17" s="419">
        <v>0.46400000000000002</v>
      </c>
      <c r="AC17" s="419">
        <v>0.46400000000000002</v>
      </c>
      <c r="AD17" s="354" t="s">
        <v>1261</v>
      </c>
      <c r="AE17" s="13" t="s">
        <v>333</v>
      </c>
      <c r="AF17" s="13" t="s">
        <v>334</v>
      </c>
      <c r="AG17" s="172">
        <v>14</v>
      </c>
      <c r="AH17" s="183">
        <v>0</v>
      </c>
      <c r="AI17" s="80">
        <v>0</v>
      </c>
      <c r="AJ17" s="80" t="s">
        <v>335</v>
      </c>
      <c r="AK17" s="183">
        <v>0</v>
      </c>
      <c r="AL17" s="80">
        <v>0</v>
      </c>
      <c r="AM17" s="80" t="s">
        <v>336</v>
      </c>
      <c r="AN17" s="183">
        <v>0</v>
      </c>
      <c r="AO17" s="80">
        <v>0</v>
      </c>
      <c r="AP17" s="80" t="s">
        <v>337</v>
      </c>
      <c r="AQ17" s="190">
        <v>0</v>
      </c>
      <c r="AR17" s="80">
        <v>0</v>
      </c>
      <c r="AS17" s="80" t="s">
        <v>337</v>
      </c>
      <c r="AT17" s="190">
        <v>0</v>
      </c>
      <c r="AU17" s="80">
        <v>0</v>
      </c>
      <c r="AV17" s="80" t="s">
        <v>337</v>
      </c>
      <c r="AW17" s="198">
        <v>1</v>
      </c>
      <c r="AX17" s="80">
        <v>7.0000000000000007E-2</v>
      </c>
      <c r="AY17" s="80" t="s">
        <v>1276</v>
      </c>
      <c r="AZ17" s="13" t="s">
        <v>108</v>
      </c>
      <c r="BA17" s="13" t="s">
        <v>109</v>
      </c>
    </row>
    <row r="18" spans="1:138" s="5" customFormat="1" ht="45" customHeight="1" x14ac:dyDescent="0.2">
      <c r="A18" s="366"/>
      <c r="B18" s="366"/>
      <c r="C18" s="364"/>
      <c r="D18" s="366"/>
      <c r="E18" s="409"/>
      <c r="F18" s="366"/>
      <c r="G18" s="366"/>
      <c r="H18" s="372"/>
      <c r="I18" s="372"/>
      <c r="J18" s="366"/>
      <c r="K18" s="366"/>
      <c r="L18" s="370"/>
      <c r="M18" s="430"/>
      <c r="N18" s="430"/>
      <c r="O18" s="355"/>
      <c r="P18" s="430"/>
      <c r="Q18" s="430"/>
      <c r="R18" s="355"/>
      <c r="S18" s="374"/>
      <c r="T18" s="374"/>
      <c r="U18" s="355"/>
      <c r="V18" s="420"/>
      <c r="W18" s="420"/>
      <c r="X18" s="355"/>
      <c r="Y18" s="420"/>
      <c r="Z18" s="420"/>
      <c r="AA18" s="355"/>
      <c r="AB18" s="420"/>
      <c r="AC18" s="420"/>
      <c r="AD18" s="355"/>
      <c r="AE18" s="13" t="s">
        <v>338</v>
      </c>
      <c r="AF18" s="13" t="s">
        <v>339</v>
      </c>
      <c r="AG18" s="172">
        <v>357</v>
      </c>
      <c r="AH18" s="183">
        <v>0</v>
      </c>
      <c r="AI18" s="80">
        <v>0</v>
      </c>
      <c r="AJ18" s="80" t="s">
        <v>340</v>
      </c>
      <c r="AK18" s="183">
        <v>0</v>
      </c>
      <c r="AL18" s="80">
        <v>0</v>
      </c>
      <c r="AM18" s="80" t="s">
        <v>341</v>
      </c>
      <c r="AN18" s="103">
        <v>158</v>
      </c>
      <c r="AO18" s="80">
        <v>0.36</v>
      </c>
      <c r="AP18" s="80" t="s">
        <v>342</v>
      </c>
      <c r="AQ18" s="103">
        <v>158</v>
      </c>
      <c r="AR18" s="80">
        <v>0.36</v>
      </c>
      <c r="AS18" s="80" t="s">
        <v>1279</v>
      </c>
      <c r="AT18" s="103">
        <v>158</v>
      </c>
      <c r="AU18" s="80">
        <v>0.36</v>
      </c>
      <c r="AV18" s="80" t="s">
        <v>1278</v>
      </c>
      <c r="AW18" s="103">
        <v>158</v>
      </c>
      <c r="AX18" s="80">
        <v>0.36</v>
      </c>
      <c r="AY18" s="80" t="s">
        <v>1277</v>
      </c>
      <c r="AZ18" s="13" t="s">
        <v>108</v>
      </c>
      <c r="BA18" s="13" t="s">
        <v>109</v>
      </c>
    </row>
    <row r="19" spans="1:138" s="5" customFormat="1" ht="45" customHeight="1" x14ac:dyDescent="0.2">
      <c r="A19" s="348"/>
      <c r="B19" s="348"/>
      <c r="C19" s="365"/>
      <c r="D19" s="348"/>
      <c r="E19" s="410"/>
      <c r="F19" s="348"/>
      <c r="G19" s="348"/>
      <c r="H19" s="372"/>
      <c r="I19" s="346"/>
      <c r="J19" s="348"/>
      <c r="K19" s="348"/>
      <c r="L19" s="350"/>
      <c r="M19" s="429"/>
      <c r="N19" s="429"/>
      <c r="O19" s="356"/>
      <c r="P19" s="429"/>
      <c r="Q19" s="429"/>
      <c r="R19" s="356"/>
      <c r="S19" s="343"/>
      <c r="T19" s="343"/>
      <c r="U19" s="356"/>
      <c r="V19" s="421"/>
      <c r="W19" s="421"/>
      <c r="X19" s="356"/>
      <c r="Y19" s="421"/>
      <c r="Z19" s="421"/>
      <c r="AA19" s="356"/>
      <c r="AB19" s="421"/>
      <c r="AC19" s="421"/>
      <c r="AD19" s="356"/>
      <c r="AE19" s="13" t="s">
        <v>343</v>
      </c>
      <c r="AF19" s="13" t="s">
        <v>344</v>
      </c>
      <c r="AG19" s="177">
        <v>0.04</v>
      </c>
      <c r="AH19" s="183">
        <v>0</v>
      </c>
      <c r="AI19" s="80">
        <v>0</v>
      </c>
      <c r="AJ19" s="80" t="s">
        <v>149</v>
      </c>
      <c r="AK19" s="183">
        <v>0</v>
      </c>
      <c r="AL19" s="80">
        <v>0</v>
      </c>
      <c r="AM19" s="80" t="s">
        <v>149</v>
      </c>
      <c r="AN19" s="183">
        <v>0</v>
      </c>
      <c r="AO19" s="80">
        <v>0</v>
      </c>
      <c r="AP19" s="80" t="s">
        <v>149</v>
      </c>
      <c r="AQ19" s="190">
        <v>0</v>
      </c>
      <c r="AR19" s="80">
        <v>0</v>
      </c>
      <c r="AS19" s="80" t="s">
        <v>149</v>
      </c>
      <c r="AT19" s="190">
        <v>0</v>
      </c>
      <c r="AU19" s="80">
        <v>0</v>
      </c>
      <c r="AV19" s="80" t="s">
        <v>149</v>
      </c>
      <c r="AW19" s="190">
        <v>0</v>
      </c>
      <c r="AX19" s="80">
        <v>0</v>
      </c>
      <c r="AY19" s="80" t="s">
        <v>149</v>
      </c>
      <c r="AZ19" s="13" t="s">
        <v>108</v>
      </c>
      <c r="BA19" s="13" t="s">
        <v>109</v>
      </c>
    </row>
    <row r="20" spans="1:138" ht="75" x14ac:dyDescent="0.25">
      <c r="H20" s="372"/>
      <c r="M20" s="71" t="s">
        <v>164</v>
      </c>
      <c r="N20" s="87">
        <f>AVERAGE(N17:N19)</f>
        <v>3.2199999999999999E-2</v>
      </c>
      <c r="P20" s="71" t="s">
        <v>164</v>
      </c>
      <c r="Q20" s="87">
        <f>AVERAGE(Q17:Q19)</f>
        <v>0.10390000000000001</v>
      </c>
      <c r="S20" s="71" t="s">
        <v>164</v>
      </c>
      <c r="T20" s="87">
        <f>AVERAGE(T17:T19)</f>
        <v>0.19</v>
      </c>
      <c r="V20" s="71" t="s">
        <v>164</v>
      </c>
      <c r="W20" s="87">
        <f>AVERAGE(W17)</f>
        <v>0.27500000000000002</v>
      </c>
      <c r="Y20" s="71" t="s">
        <v>164</v>
      </c>
      <c r="Z20" s="87">
        <v>0.38900000000000001</v>
      </c>
      <c r="AB20" s="71" t="s">
        <v>164</v>
      </c>
      <c r="AC20" s="87">
        <v>0.46400000000000002</v>
      </c>
      <c r="AH20" s="71" t="s">
        <v>165</v>
      </c>
      <c r="AI20" s="87">
        <f>AVERAGE(AI17:AI19)</f>
        <v>0</v>
      </c>
      <c r="AK20" s="71" t="s">
        <v>165</v>
      </c>
      <c r="AL20" s="87">
        <f>AVERAGE(AL17:AL19)</f>
        <v>0</v>
      </c>
      <c r="AN20" s="71" t="s">
        <v>165</v>
      </c>
      <c r="AO20" s="87">
        <f>AVERAGE(AO17:AO19)</f>
        <v>0.12</v>
      </c>
      <c r="AP20" s="9"/>
      <c r="AQ20" s="71" t="s">
        <v>165</v>
      </c>
      <c r="AR20" s="87">
        <f>AVERAGE(AR17:AR18)</f>
        <v>0.18</v>
      </c>
      <c r="AS20" s="9"/>
      <c r="AT20" s="71" t="s">
        <v>165</v>
      </c>
      <c r="AU20" s="87">
        <f>AVERAGE(AU17:AU18)</f>
        <v>0.18</v>
      </c>
      <c r="AV20" s="9"/>
      <c r="AW20" s="71" t="s">
        <v>165</v>
      </c>
      <c r="AX20" s="87">
        <f>AVERAGE(AX17:AX18)</f>
        <v>0.215</v>
      </c>
      <c r="AY20" s="9"/>
      <c r="AZ20" s="9"/>
      <c r="BA20" s="9"/>
      <c r="EE20"/>
      <c r="EF20"/>
      <c r="EG20"/>
      <c r="EH20"/>
    </row>
    <row r="21" spans="1:138" s="5" customFormat="1" ht="45" customHeight="1" x14ac:dyDescent="0.2">
      <c r="A21" s="347" t="s">
        <v>86</v>
      </c>
      <c r="B21" s="347" t="s">
        <v>291</v>
      </c>
      <c r="C21" s="347" t="s">
        <v>1628</v>
      </c>
      <c r="D21" s="347" t="s">
        <v>51</v>
      </c>
      <c r="E21" s="347" t="s">
        <v>345</v>
      </c>
      <c r="F21" s="347" t="s">
        <v>90</v>
      </c>
      <c r="G21" s="347" t="s">
        <v>293</v>
      </c>
      <c r="H21" s="372"/>
      <c r="I21" s="345">
        <v>1210333368</v>
      </c>
      <c r="J21" s="347" t="s">
        <v>346</v>
      </c>
      <c r="K21" s="347" t="s">
        <v>347</v>
      </c>
      <c r="L21" s="393">
        <v>18299</v>
      </c>
      <c r="M21" s="422">
        <v>1884</v>
      </c>
      <c r="N21" s="342">
        <v>0.10299999999999999</v>
      </c>
      <c r="O21" s="354" t="s">
        <v>348</v>
      </c>
      <c r="P21" s="422">
        <v>3888</v>
      </c>
      <c r="Q21" s="342">
        <v>0.21</v>
      </c>
      <c r="R21" s="354" t="s">
        <v>349</v>
      </c>
      <c r="S21" s="422">
        <v>5989</v>
      </c>
      <c r="T21" s="342">
        <v>0.33</v>
      </c>
      <c r="U21" s="354" t="s">
        <v>350</v>
      </c>
      <c r="V21" s="414">
        <v>7865</v>
      </c>
      <c r="W21" s="354">
        <v>0.43</v>
      </c>
      <c r="X21" s="354" t="s">
        <v>1264</v>
      </c>
      <c r="Y21" s="414">
        <v>9646</v>
      </c>
      <c r="Z21" s="354">
        <v>0.53</v>
      </c>
      <c r="AA21" s="354" t="s">
        <v>1263</v>
      </c>
      <c r="AB21" s="414">
        <v>11458</v>
      </c>
      <c r="AC21" s="354">
        <v>0.63</v>
      </c>
      <c r="AD21" s="354" t="s">
        <v>1262</v>
      </c>
      <c r="AE21" s="13" t="s">
        <v>351</v>
      </c>
      <c r="AF21" s="13" t="s">
        <v>352</v>
      </c>
      <c r="AG21" s="172">
        <v>1920</v>
      </c>
      <c r="AH21" s="103">
        <v>82</v>
      </c>
      <c r="AI21" s="80">
        <v>4.2999999999999997E-2</v>
      </c>
      <c r="AJ21" s="80" t="s">
        <v>353</v>
      </c>
      <c r="AK21" s="103">
        <v>271</v>
      </c>
      <c r="AL21" s="80">
        <v>0.14000000000000001</v>
      </c>
      <c r="AM21" s="80" t="s">
        <v>354</v>
      </c>
      <c r="AN21" s="103">
        <v>446</v>
      </c>
      <c r="AO21" s="80">
        <v>0.23</v>
      </c>
      <c r="AP21" s="157" t="s">
        <v>355</v>
      </c>
      <c r="AQ21" s="199">
        <v>637</v>
      </c>
      <c r="AR21" s="157">
        <v>0.33</v>
      </c>
      <c r="AS21" s="157" t="s">
        <v>1282</v>
      </c>
      <c r="AT21" s="199">
        <v>798</v>
      </c>
      <c r="AU21" s="157">
        <v>0.42</v>
      </c>
      <c r="AV21" s="157" t="s">
        <v>1281</v>
      </c>
      <c r="AW21" s="199">
        <v>968</v>
      </c>
      <c r="AX21" s="157">
        <v>0.5</v>
      </c>
      <c r="AY21" s="157" t="s">
        <v>1280</v>
      </c>
      <c r="AZ21" s="13" t="s">
        <v>108</v>
      </c>
      <c r="BA21" s="13" t="s">
        <v>109</v>
      </c>
    </row>
    <row r="22" spans="1:138" s="5" customFormat="1" ht="45" customHeight="1" x14ac:dyDescent="0.2">
      <c r="A22" s="366"/>
      <c r="B22" s="366"/>
      <c r="C22" s="366"/>
      <c r="D22" s="366"/>
      <c r="E22" s="366"/>
      <c r="F22" s="366"/>
      <c r="G22" s="366"/>
      <c r="H22" s="372"/>
      <c r="I22" s="372"/>
      <c r="J22" s="366"/>
      <c r="K22" s="366"/>
      <c r="L22" s="427"/>
      <c r="M22" s="423"/>
      <c r="N22" s="374"/>
      <c r="O22" s="355"/>
      <c r="P22" s="423"/>
      <c r="Q22" s="374"/>
      <c r="R22" s="355"/>
      <c r="S22" s="423"/>
      <c r="T22" s="374"/>
      <c r="U22" s="355"/>
      <c r="V22" s="415"/>
      <c r="W22" s="355"/>
      <c r="X22" s="355"/>
      <c r="Y22" s="415"/>
      <c r="Z22" s="355"/>
      <c r="AA22" s="355"/>
      <c r="AB22" s="415"/>
      <c r="AC22" s="355"/>
      <c r="AD22" s="355"/>
      <c r="AE22" s="13" t="s">
        <v>356</v>
      </c>
      <c r="AF22" s="13" t="s">
        <v>357</v>
      </c>
      <c r="AG22" s="172">
        <v>17930</v>
      </c>
      <c r="AH22" s="103">
        <v>1874</v>
      </c>
      <c r="AI22" s="156">
        <v>0.105</v>
      </c>
      <c r="AJ22" s="80" t="s">
        <v>358</v>
      </c>
      <c r="AK22" s="103">
        <v>3775</v>
      </c>
      <c r="AL22" s="80">
        <v>0.21</v>
      </c>
      <c r="AM22" s="80" t="s">
        <v>359</v>
      </c>
      <c r="AN22" s="103">
        <v>5791</v>
      </c>
      <c r="AO22" s="80">
        <v>0.32</v>
      </c>
      <c r="AP22" s="157" t="s">
        <v>360</v>
      </c>
      <c r="AQ22" s="199">
        <v>7598</v>
      </c>
      <c r="AR22" s="157">
        <v>0.42</v>
      </c>
      <c r="AS22" s="157" t="s">
        <v>1283</v>
      </c>
      <c r="AT22" s="199">
        <v>9334</v>
      </c>
      <c r="AU22" s="157">
        <v>0.52</v>
      </c>
      <c r="AV22" s="157" t="s">
        <v>1284</v>
      </c>
      <c r="AW22" s="199">
        <v>11105</v>
      </c>
      <c r="AX22" s="157">
        <v>0.62</v>
      </c>
      <c r="AY22" s="157" t="s">
        <v>1285</v>
      </c>
      <c r="AZ22" s="13" t="s">
        <v>108</v>
      </c>
      <c r="BA22" s="13" t="s">
        <v>109</v>
      </c>
    </row>
    <row r="23" spans="1:138" s="5" customFormat="1" ht="45" customHeight="1" x14ac:dyDescent="0.2">
      <c r="A23" s="366"/>
      <c r="B23" s="366"/>
      <c r="C23" s="366"/>
      <c r="D23" s="366"/>
      <c r="E23" s="366"/>
      <c r="F23" s="366"/>
      <c r="G23" s="366"/>
      <c r="H23" s="372"/>
      <c r="I23" s="372"/>
      <c r="J23" s="366"/>
      <c r="K23" s="366"/>
      <c r="L23" s="427"/>
      <c r="M23" s="423"/>
      <c r="N23" s="374"/>
      <c r="O23" s="355"/>
      <c r="P23" s="423"/>
      <c r="Q23" s="374"/>
      <c r="R23" s="355"/>
      <c r="S23" s="423"/>
      <c r="T23" s="374"/>
      <c r="U23" s="355"/>
      <c r="V23" s="415"/>
      <c r="W23" s="355"/>
      <c r="X23" s="355"/>
      <c r="Y23" s="415"/>
      <c r="Z23" s="355"/>
      <c r="AA23" s="355"/>
      <c r="AB23" s="415"/>
      <c r="AC23" s="355"/>
      <c r="AD23" s="355"/>
      <c r="AE23" s="13" t="s">
        <v>361</v>
      </c>
      <c r="AF23" s="13" t="s">
        <v>362</v>
      </c>
      <c r="AG23" s="177">
        <v>0.79</v>
      </c>
      <c r="AH23" s="183">
        <v>0</v>
      </c>
      <c r="AI23" s="80">
        <v>0</v>
      </c>
      <c r="AJ23" s="80" t="s">
        <v>363</v>
      </c>
      <c r="AK23" s="183">
        <v>0</v>
      </c>
      <c r="AL23" s="80">
        <v>0</v>
      </c>
      <c r="AM23" s="80" t="s">
        <v>363</v>
      </c>
      <c r="AN23" s="183">
        <v>0</v>
      </c>
      <c r="AO23" s="80">
        <v>0</v>
      </c>
      <c r="AP23" s="80" t="s">
        <v>363</v>
      </c>
      <c r="AQ23" s="190">
        <v>0</v>
      </c>
      <c r="AR23" s="80">
        <v>0</v>
      </c>
      <c r="AS23" s="80" t="s">
        <v>363</v>
      </c>
      <c r="AT23" s="190">
        <v>0</v>
      </c>
      <c r="AU23" s="80">
        <v>0</v>
      </c>
      <c r="AV23" s="80" t="s">
        <v>363</v>
      </c>
      <c r="AW23" s="190">
        <v>0</v>
      </c>
      <c r="AX23" s="80">
        <v>0</v>
      </c>
      <c r="AY23" s="80" t="s">
        <v>1287</v>
      </c>
      <c r="AZ23" s="13" t="s">
        <v>108</v>
      </c>
      <c r="BA23" s="13" t="s">
        <v>109</v>
      </c>
    </row>
    <row r="24" spans="1:138" s="5" customFormat="1" ht="45" customHeight="1" x14ac:dyDescent="0.2">
      <c r="A24" s="366"/>
      <c r="B24" s="366"/>
      <c r="C24" s="366"/>
      <c r="D24" s="366"/>
      <c r="E24" s="366"/>
      <c r="F24" s="366"/>
      <c r="G24" s="366"/>
      <c r="H24" s="372"/>
      <c r="I24" s="372"/>
      <c r="J24" s="366"/>
      <c r="K24" s="366"/>
      <c r="L24" s="427"/>
      <c r="M24" s="423"/>
      <c r="N24" s="374"/>
      <c r="O24" s="355"/>
      <c r="P24" s="423"/>
      <c r="Q24" s="374"/>
      <c r="R24" s="355"/>
      <c r="S24" s="423"/>
      <c r="T24" s="374"/>
      <c r="U24" s="355"/>
      <c r="V24" s="415"/>
      <c r="W24" s="355"/>
      <c r="X24" s="355"/>
      <c r="Y24" s="415"/>
      <c r="Z24" s="355"/>
      <c r="AA24" s="355"/>
      <c r="AB24" s="415"/>
      <c r="AC24" s="355"/>
      <c r="AD24" s="355"/>
      <c r="AE24" s="13" t="s">
        <v>364</v>
      </c>
      <c r="AF24" s="13" t="s">
        <v>365</v>
      </c>
      <c r="AG24" s="177">
        <v>0.83</v>
      </c>
      <c r="AH24" s="183">
        <v>0</v>
      </c>
      <c r="AI24" s="80">
        <v>0</v>
      </c>
      <c r="AJ24" s="80" t="s">
        <v>363</v>
      </c>
      <c r="AK24" s="183">
        <v>0</v>
      </c>
      <c r="AL24" s="80">
        <v>0</v>
      </c>
      <c r="AM24" s="80" t="s">
        <v>363</v>
      </c>
      <c r="AN24" s="183">
        <v>0</v>
      </c>
      <c r="AO24" s="80">
        <v>0</v>
      </c>
      <c r="AP24" s="80" t="s">
        <v>363</v>
      </c>
      <c r="AQ24" s="190">
        <v>0</v>
      </c>
      <c r="AR24" s="80">
        <v>0</v>
      </c>
      <c r="AS24" s="80" t="s">
        <v>363</v>
      </c>
      <c r="AT24" s="190">
        <v>0</v>
      </c>
      <c r="AU24" s="80">
        <v>0</v>
      </c>
      <c r="AV24" s="80" t="s">
        <v>363</v>
      </c>
      <c r="AW24" s="190">
        <v>0</v>
      </c>
      <c r="AX24" s="80">
        <v>0</v>
      </c>
      <c r="AY24" s="80" t="s">
        <v>1286</v>
      </c>
      <c r="AZ24" s="13" t="s">
        <v>108</v>
      </c>
      <c r="BA24" s="13" t="s">
        <v>109</v>
      </c>
    </row>
    <row r="25" spans="1:138" s="5" customFormat="1" ht="45" customHeight="1" x14ac:dyDescent="0.2">
      <c r="A25" s="348"/>
      <c r="B25" s="348"/>
      <c r="C25" s="348"/>
      <c r="D25" s="348"/>
      <c r="E25" s="348"/>
      <c r="F25" s="348"/>
      <c r="G25" s="348"/>
      <c r="H25" s="372"/>
      <c r="I25" s="346"/>
      <c r="J25" s="348"/>
      <c r="K25" s="348"/>
      <c r="L25" s="394"/>
      <c r="M25" s="424"/>
      <c r="N25" s="343"/>
      <c r="O25" s="356"/>
      <c r="P25" s="424"/>
      <c r="Q25" s="343"/>
      <c r="R25" s="356"/>
      <c r="S25" s="424"/>
      <c r="T25" s="343"/>
      <c r="U25" s="356"/>
      <c r="V25" s="416"/>
      <c r="W25" s="356"/>
      <c r="X25" s="356"/>
      <c r="Y25" s="416"/>
      <c r="Z25" s="356"/>
      <c r="AA25" s="356"/>
      <c r="AB25" s="416"/>
      <c r="AC25" s="356"/>
      <c r="AD25" s="356"/>
      <c r="AE25" s="13" t="s">
        <v>366</v>
      </c>
      <c r="AF25" s="13" t="s">
        <v>367</v>
      </c>
      <c r="AG25" s="25">
        <v>8.5000000000000006E-2</v>
      </c>
      <c r="AH25" s="106">
        <v>5.1299999999999998E-2</v>
      </c>
      <c r="AI25" s="80">
        <v>0.18</v>
      </c>
      <c r="AJ25" s="80" t="s">
        <v>368</v>
      </c>
      <c r="AK25" s="106">
        <v>5.5800000000000002E-2</v>
      </c>
      <c r="AL25" s="80">
        <v>0.253</v>
      </c>
      <c r="AM25" s="80" t="s">
        <v>369</v>
      </c>
      <c r="AN25" s="106">
        <v>5.7599999999999998E-2</v>
      </c>
      <c r="AO25" s="80">
        <v>0.36799999999999999</v>
      </c>
      <c r="AP25" s="80" t="s">
        <v>370</v>
      </c>
      <c r="AQ25" s="80" t="s">
        <v>1290</v>
      </c>
      <c r="AR25" s="80">
        <v>0.51200000000000001</v>
      </c>
      <c r="AS25" s="80" t="s">
        <v>1291</v>
      </c>
      <c r="AT25" s="100">
        <v>5.5199999999999999E-2</v>
      </c>
      <c r="AU25" s="80">
        <v>0.64100000000000001</v>
      </c>
      <c r="AV25" s="80" t="s">
        <v>1289</v>
      </c>
      <c r="AW25" s="100">
        <v>5.5100000000000003E-2</v>
      </c>
      <c r="AX25" s="80">
        <v>0.77</v>
      </c>
      <c r="AY25" s="80" t="s">
        <v>1288</v>
      </c>
      <c r="AZ25" s="13" t="s">
        <v>108</v>
      </c>
      <c r="BA25" s="13" t="s">
        <v>109</v>
      </c>
    </row>
    <row r="26" spans="1:138" ht="75" x14ac:dyDescent="0.25">
      <c r="H26" s="372"/>
      <c r="M26" s="71" t="s">
        <v>164</v>
      </c>
      <c r="N26" s="87">
        <f>AVERAGE(N21:N25)</f>
        <v>0.10299999999999999</v>
      </c>
      <c r="P26" s="71" t="s">
        <v>164</v>
      </c>
      <c r="Q26" s="87">
        <f>AVERAGE(Q21:Q25)</f>
        <v>0.21</v>
      </c>
      <c r="S26" s="71" t="s">
        <v>164</v>
      </c>
      <c r="T26" s="87">
        <f>AVERAGE(T21:T25)</f>
        <v>0.33</v>
      </c>
      <c r="V26" s="71" t="s">
        <v>164</v>
      </c>
      <c r="W26" s="87">
        <v>0.43</v>
      </c>
      <c r="Y26" s="71" t="s">
        <v>164</v>
      </c>
      <c r="Z26" s="87">
        <v>0.53</v>
      </c>
      <c r="AB26" s="71" t="s">
        <v>164</v>
      </c>
      <c r="AC26" s="87">
        <v>0.63</v>
      </c>
      <c r="AH26" s="71" t="s">
        <v>165</v>
      </c>
      <c r="AI26" s="87">
        <f>AVERAGE(AI21,AI22,AI25)</f>
        <v>0.10933333333333332</v>
      </c>
      <c r="AK26" s="71" t="s">
        <v>165</v>
      </c>
      <c r="AL26" s="87">
        <f>AVERAGE(AL21,AL22,AL25)</f>
        <v>0.20099999999999998</v>
      </c>
      <c r="AN26" s="71" t="s">
        <v>165</v>
      </c>
      <c r="AO26" s="87">
        <f>AVERAGE(AO21,AO22,AO25)</f>
        <v>0.30599999999999999</v>
      </c>
      <c r="AP26" s="9"/>
      <c r="AQ26" s="71" t="s">
        <v>165</v>
      </c>
      <c r="AR26" s="87">
        <f>AVERAGE(AR21:AR22,AR25)</f>
        <v>0.42066666666666669</v>
      </c>
      <c r="AS26" s="9"/>
      <c r="AT26" s="71" t="s">
        <v>165</v>
      </c>
      <c r="AU26" s="87">
        <f>AVERAGE(AU18:AU20)</f>
        <v>0.18000000000000002</v>
      </c>
      <c r="AV26" s="9"/>
      <c r="AW26" s="71" t="s">
        <v>165</v>
      </c>
      <c r="AX26" s="87" t="s">
        <v>1296</v>
      </c>
      <c r="AY26" s="9"/>
      <c r="AZ26" s="9"/>
      <c r="BA26" s="9"/>
      <c r="EE26"/>
      <c r="EF26"/>
      <c r="EG26"/>
      <c r="EH26"/>
    </row>
    <row r="27" spans="1:138" s="5" customFormat="1" ht="45" customHeight="1" x14ac:dyDescent="0.2">
      <c r="A27" s="347" t="s">
        <v>86</v>
      </c>
      <c r="B27" s="347" t="s">
        <v>291</v>
      </c>
      <c r="C27" s="347" t="s">
        <v>1638</v>
      </c>
      <c r="D27" s="347" t="s">
        <v>51</v>
      </c>
      <c r="E27" s="347" t="s">
        <v>371</v>
      </c>
      <c r="F27" s="347" t="s">
        <v>90</v>
      </c>
      <c r="G27" s="347" t="s">
        <v>293</v>
      </c>
      <c r="H27" s="372"/>
      <c r="I27" s="345">
        <v>4422038151</v>
      </c>
      <c r="J27" s="347" t="s">
        <v>372</v>
      </c>
      <c r="K27" s="347" t="s">
        <v>373</v>
      </c>
      <c r="L27" s="393">
        <v>8</v>
      </c>
      <c r="M27" s="422">
        <v>0</v>
      </c>
      <c r="N27" s="342">
        <v>5.3800000000000001E-2</v>
      </c>
      <c r="O27" s="354" t="s">
        <v>374</v>
      </c>
      <c r="P27" s="422">
        <v>0</v>
      </c>
      <c r="Q27" s="342">
        <v>5.3800000000000001E-2</v>
      </c>
      <c r="R27" s="354" t="s">
        <v>375</v>
      </c>
      <c r="S27" s="422">
        <v>1</v>
      </c>
      <c r="T27" s="428">
        <v>0.125</v>
      </c>
      <c r="U27" s="354" t="s">
        <v>376</v>
      </c>
      <c r="V27" s="414">
        <v>1</v>
      </c>
      <c r="W27" s="354">
        <v>0.125</v>
      </c>
      <c r="X27" s="354" t="s">
        <v>1265</v>
      </c>
      <c r="Y27" s="417">
        <v>3</v>
      </c>
      <c r="Z27" s="354">
        <v>0.375</v>
      </c>
      <c r="AA27" s="354" t="s">
        <v>1266</v>
      </c>
      <c r="AB27" s="417">
        <v>3</v>
      </c>
      <c r="AC27" s="354">
        <v>0.375</v>
      </c>
      <c r="AD27" s="354" t="s">
        <v>1266</v>
      </c>
      <c r="AE27" s="13" t="s">
        <v>377</v>
      </c>
      <c r="AF27" s="13" t="s">
        <v>378</v>
      </c>
      <c r="AG27" s="172">
        <v>100</v>
      </c>
      <c r="AH27" s="103">
        <v>8</v>
      </c>
      <c r="AI27" s="80">
        <v>0.08</v>
      </c>
      <c r="AJ27" s="80" t="s">
        <v>379</v>
      </c>
      <c r="AK27" s="103">
        <v>22</v>
      </c>
      <c r="AL27" s="80">
        <v>0.22</v>
      </c>
      <c r="AM27" s="80" t="s">
        <v>380</v>
      </c>
      <c r="AN27" s="103">
        <v>42</v>
      </c>
      <c r="AO27" s="80">
        <v>0.42</v>
      </c>
      <c r="AP27" s="80" t="s">
        <v>381</v>
      </c>
      <c r="AQ27" s="198">
        <v>66</v>
      </c>
      <c r="AR27" s="80">
        <v>0.66</v>
      </c>
      <c r="AS27" s="80" t="s">
        <v>1292</v>
      </c>
      <c r="AT27" s="198">
        <v>80</v>
      </c>
      <c r="AU27" s="80">
        <v>0.8</v>
      </c>
      <c r="AV27" s="80" t="s">
        <v>1293</v>
      </c>
      <c r="AW27" s="198">
        <v>92</v>
      </c>
      <c r="AX27" s="80">
        <v>0.92</v>
      </c>
      <c r="AY27" s="80" t="s">
        <v>1294</v>
      </c>
      <c r="AZ27" s="13" t="s">
        <v>108</v>
      </c>
      <c r="BA27" s="13" t="s">
        <v>109</v>
      </c>
    </row>
    <row r="28" spans="1:138" s="5" customFormat="1" ht="45" customHeight="1" x14ac:dyDescent="0.2">
      <c r="A28" s="348"/>
      <c r="B28" s="348"/>
      <c r="C28" s="348"/>
      <c r="D28" s="348"/>
      <c r="E28" s="348"/>
      <c r="F28" s="348"/>
      <c r="G28" s="348"/>
      <c r="H28" s="346"/>
      <c r="I28" s="346"/>
      <c r="J28" s="348"/>
      <c r="K28" s="348"/>
      <c r="L28" s="394"/>
      <c r="M28" s="424"/>
      <c r="N28" s="343"/>
      <c r="O28" s="356"/>
      <c r="P28" s="424"/>
      <c r="Q28" s="343"/>
      <c r="R28" s="356"/>
      <c r="S28" s="424"/>
      <c r="T28" s="429"/>
      <c r="U28" s="356"/>
      <c r="V28" s="416"/>
      <c r="W28" s="356"/>
      <c r="X28" s="356"/>
      <c r="Y28" s="418"/>
      <c r="Z28" s="356"/>
      <c r="AA28" s="356"/>
      <c r="AB28" s="418"/>
      <c r="AC28" s="356"/>
      <c r="AD28" s="356"/>
      <c r="AE28" s="13" t="s">
        <v>382</v>
      </c>
      <c r="AF28" s="13" t="s">
        <v>383</v>
      </c>
      <c r="AG28" s="172">
        <v>4</v>
      </c>
      <c r="AH28" s="103">
        <v>0.8</v>
      </c>
      <c r="AI28" s="80">
        <v>0.2</v>
      </c>
      <c r="AJ28" s="80" t="s">
        <v>384</v>
      </c>
      <c r="AK28" s="103">
        <v>0.8</v>
      </c>
      <c r="AL28" s="80">
        <v>0.2</v>
      </c>
      <c r="AM28" s="80" t="s">
        <v>384</v>
      </c>
      <c r="AN28" s="103">
        <v>0.8</v>
      </c>
      <c r="AO28" s="80">
        <v>0.2</v>
      </c>
      <c r="AP28" s="80" t="s">
        <v>385</v>
      </c>
      <c r="AQ28" s="198">
        <v>1</v>
      </c>
      <c r="AR28" s="80">
        <v>0.25</v>
      </c>
      <c r="AS28" s="80" t="s">
        <v>1295</v>
      </c>
      <c r="AT28" s="198">
        <v>1</v>
      </c>
      <c r="AU28" s="80">
        <v>0.25</v>
      </c>
      <c r="AV28" s="80" t="s">
        <v>1295</v>
      </c>
      <c r="AW28" s="198">
        <v>1</v>
      </c>
      <c r="AX28" s="80">
        <v>0.25</v>
      </c>
      <c r="AY28" s="80" t="s">
        <v>1295</v>
      </c>
      <c r="AZ28" s="13" t="s">
        <v>108</v>
      </c>
      <c r="BA28" s="13" t="s">
        <v>109</v>
      </c>
    </row>
    <row r="29" spans="1:138" ht="75" x14ac:dyDescent="0.25">
      <c r="M29" s="71" t="s">
        <v>164</v>
      </c>
      <c r="N29" s="87">
        <f>AVERAGE(N27:N28)</f>
        <v>5.3800000000000001E-2</v>
      </c>
      <c r="P29" s="71" t="s">
        <v>164</v>
      </c>
      <c r="Q29" s="87">
        <f>AVERAGE(Q27:Q28)</f>
        <v>5.3800000000000001E-2</v>
      </c>
      <c r="S29" s="71" t="s">
        <v>164</v>
      </c>
      <c r="T29" s="87">
        <f>AVERAGE(T27:T28)</f>
        <v>0.125</v>
      </c>
      <c r="V29" s="71" t="s">
        <v>164</v>
      </c>
      <c r="W29" s="87">
        <v>0.13</v>
      </c>
      <c r="Y29" s="71" t="s">
        <v>164</v>
      </c>
      <c r="Z29" s="87">
        <v>0.38</v>
      </c>
      <c r="AB29" s="71" t="s">
        <v>164</v>
      </c>
      <c r="AC29" s="87">
        <v>0.38</v>
      </c>
      <c r="AH29" s="71" t="s">
        <v>165</v>
      </c>
      <c r="AI29" s="87">
        <f>AVERAGE(AI27:AI28)</f>
        <v>0.14000000000000001</v>
      </c>
      <c r="AK29" s="71" t="s">
        <v>165</v>
      </c>
      <c r="AL29" s="87">
        <f>AVERAGE(AL27:AL28)</f>
        <v>0.21000000000000002</v>
      </c>
      <c r="AN29" s="71" t="s">
        <v>165</v>
      </c>
      <c r="AO29" s="87">
        <f>AVERAGE(AO27:AO28)</f>
        <v>0.31</v>
      </c>
      <c r="AP29" s="9"/>
      <c r="AQ29" s="71" t="s">
        <v>165</v>
      </c>
      <c r="AR29" s="87">
        <f>AVERAGE(AR21:AR23)</f>
        <v>0.25</v>
      </c>
      <c r="AS29" s="9"/>
      <c r="AT29" s="71" t="s">
        <v>165</v>
      </c>
      <c r="AU29" s="87">
        <f>AVERAGE(AU21:AU23)</f>
        <v>0.3133333333333333</v>
      </c>
      <c r="AV29" s="9"/>
      <c r="AW29" s="71" t="s">
        <v>165</v>
      </c>
      <c r="AX29" s="87">
        <f>AVERAGE(AX21:AX23)</f>
        <v>0.37333333333333335</v>
      </c>
      <c r="AY29" s="9"/>
      <c r="AZ29" s="9"/>
      <c r="BA29" s="9"/>
      <c r="EE29"/>
      <c r="EF29"/>
      <c r="EG29"/>
      <c r="EH29"/>
    </row>
    <row r="30" spans="1:138" s="5" customFormat="1" ht="33.75" customHeight="1" x14ac:dyDescent="0.2">
      <c r="A30" s="73"/>
      <c r="B30" s="73"/>
      <c r="C30" s="74"/>
      <c r="D30" s="73"/>
      <c r="E30" s="74"/>
      <c r="F30" s="73"/>
      <c r="G30" s="73"/>
      <c r="H30" s="75"/>
      <c r="I30" s="75"/>
      <c r="J30" s="76"/>
      <c r="K30" s="76"/>
      <c r="L30" s="77"/>
      <c r="M30" s="78"/>
      <c r="N30" s="88"/>
      <c r="O30" s="78"/>
      <c r="P30" s="78"/>
      <c r="Q30" s="88"/>
      <c r="R30" s="78"/>
      <c r="S30" s="78"/>
      <c r="T30" s="88"/>
      <c r="U30" s="78"/>
      <c r="V30" s="78"/>
      <c r="W30" s="78"/>
      <c r="X30" s="78"/>
      <c r="Y30" s="78"/>
      <c r="Z30" s="78"/>
      <c r="AA30" s="78"/>
      <c r="AB30" s="78"/>
      <c r="AC30" s="78"/>
      <c r="AD30" s="78"/>
      <c r="AE30" s="79"/>
      <c r="AF30" s="79"/>
      <c r="AG30" s="77"/>
      <c r="AH30" s="78"/>
      <c r="AI30" s="88"/>
      <c r="AJ30" s="78"/>
      <c r="AK30" s="78"/>
      <c r="AL30" s="88"/>
      <c r="AM30" s="78"/>
      <c r="AN30" s="78"/>
      <c r="AO30" s="88"/>
      <c r="AP30" s="78"/>
      <c r="AQ30" s="78"/>
      <c r="AR30" s="78"/>
      <c r="AS30" s="78"/>
      <c r="AT30" s="78"/>
      <c r="AU30" s="78"/>
      <c r="AV30" s="78"/>
      <c r="AW30" s="78"/>
      <c r="AX30" s="78"/>
      <c r="AY30" s="78"/>
      <c r="AZ30" s="79"/>
      <c r="BA30" s="79"/>
    </row>
    <row r="31" spans="1:138" ht="75" x14ac:dyDescent="0.25">
      <c r="M31" s="71" t="s">
        <v>155</v>
      </c>
      <c r="N31" s="87">
        <f>AVERAGE(N16,N20,N26,N29)</f>
        <v>5.4749999999999993E-2</v>
      </c>
      <c r="P31" s="71" t="s">
        <v>155</v>
      </c>
      <c r="Q31" s="87">
        <f>AVERAGE(Q16,Q20,Q26,Q29)</f>
        <v>0.11192500000000001</v>
      </c>
      <c r="S31" s="71" t="s">
        <v>155</v>
      </c>
      <c r="T31" s="87">
        <f>AVERAGE(T16,T20,T26,T29)</f>
        <v>0.19874999999999998</v>
      </c>
      <c r="V31" s="71" t="s">
        <v>155</v>
      </c>
      <c r="W31" s="87">
        <f>AVERAGE(W16,W20,W26,W29)</f>
        <v>0.26</v>
      </c>
      <c r="Y31" s="71" t="s">
        <v>155</v>
      </c>
      <c r="Z31" s="87">
        <f>AVERAGE(Z16,Z20,Z26,Z29)</f>
        <v>0.39724999999999999</v>
      </c>
      <c r="AB31" s="71" t="s">
        <v>155</v>
      </c>
      <c r="AC31" s="87">
        <f>AVERAGE(AC16,AC20,AC26,AC29)</f>
        <v>0.46475</v>
      </c>
      <c r="AH31" s="71" t="s">
        <v>156</v>
      </c>
      <c r="AI31" s="87">
        <f>AVERAGE(AI16,AI20,AI26,AI29)</f>
        <v>7.4833333333333335E-2</v>
      </c>
      <c r="AK31" s="71" t="s">
        <v>156</v>
      </c>
      <c r="AL31" s="87">
        <f>AVERAGE(AL16,AL20,AL26,AL29)</f>
        <v>0.12775</v>
      </c>
      <c r="AN31" s="71" t="s">
        <v>156</v>
      </c>
      <c r="AO31" s="87">
        <f>AVERAGE(AO16,AO20,AO26,AO29)</f>
        <v>0.22566666666666668</v>
      </c>
      <c r="AP31" s="9"/>
      <c r="AQ31" s="71" t="s">
        <v>156</v>
      </c>
      <c r="AR31" s="87">
        <v>0.31530000000000002</v>
      </c>
      <c r="AS31" s="9"/>
      <c r="AT31" s="71" t="s">
        <v>156</v>
      </c>
      <c r="AU31" s="87">
        <v>0.38529999999999998</v>
      </c>
      <c r="AV31" s="9"/>
      <c r="AW31" s="71" t="s">
        <v>156</v>
      </c>
      <c r="AX31" s="87">
        <v>0.39679999999999999</v>
      </c>
      <c r="AY31" s="9"/>
      <c r="AZ31" s="9"/>
      <c r="BA31" s="9"/>
      <c r="EE31"/>
      <c r="EF31"/>
      <c r="EG31"/>
      <c r="EH31"/>
    </row>
    <row r="32" spans="1:138" s="5" customFormat="1" ht="38.25" customHeight="1" x14ac:dyDescent="0.25">
      <c r="A32"/>
      <c r="B32"/>
      <c r="C32" s="4"/>
      <c r="D32" s="4"/>
      <c r="E32" s="4"/>
      <c r="F32" s="4"/>
      <c r="G32" s="4"/>
      <c r="H32" s="1"/>
      <c r="I32" s="1"/>
      <c r="J32" s="4"/>
      <c r="K32" s="4"/>
      <c r="L32" s="6"/>
      <c r="M32" s="4"/>
      <c r="N32" s="84"/>
      <c r="O32" s="6"/>
      <c r="P32" s="4"/>
      <c r="Q32" s="84"/>
      <c r="R32" s="6"/>
      <c r="S32" s="4"/>
      <c r="T32" s="84"/>
      <c r="U32" s="6"/>
      <c r="V32" s="6"/>
      <c r="W32" s="6"/>
      <c r="X32" s="6"/>
      <c r="Y32" s="6"/>
      <c r="Z32" s="6"/>
      <c r="AA32" s="6"/>
      <c r="AB32" s="6"/>
      <c r="AC32" s="6"/>
      <c r="AD32" s="6"/>
      <c r="AE32" s="3"/>
      <c r="AF32" s="3"/>
      <c r="AG32" s="8"/>
      <c r="AH32" s="4"/>
      <c r="AI32" s="84"/>
      <c r="AJ32" s="6"/>
      <c r="AK32" s="4"/>
      <c r="AL32" s="84"/>
      <c r="AM32" s="6"/>
      <c r="AN32" s="4"/>
      <c r="AO32" s="84"/>
      <c r="AP32" s="6"/>
      <c r="AQ32" s="6"/>
      <c r="AR32" s="6"/>
      <c r="AS32" s="6"/>
      <c r="AT32" s="6"/>
      <c r="AU32" s="6"/>
      <c r="AV32" s="6"/>
      <c r="AW32" s="6"/>
      <c r="AX32" s="6"/>
      <c r="AY32" s="6"/>
      <c r="AZ32" s="12"/>
      <c r="BA32" s="12"/>
    </row>
    <row r="33" spans="1:1" ht="38.25" customHeight="1" x14ac:dyDescent="0.25"/>
    <row r="34" spans="1:1" ht="38.25" customHeight="1" x14ac:dyDescent="0.25">
      <c r="A34" t="s">
        <v>290</v>
      </c>
    </row>
  </sheetData>
  <autoFilter ref="A7:AZ34" xr:uid="{00000000-0009-0000-0000-000000000000}"/>
  <mergeCells count="156">
    <mergeCell ref="M17:M19"/>
    <mergeCell ref="N17:N19"/>
    <mergeCell ref="O17:O19"/>
    <mergeCell ref="P17:P19"/>
    <mergeCell ref="Q17:Q19"/>
    <mergeCell ref="R21:R25"/>
    <mergeCell ref="S21:S25"/>
    <mergeCell ref="T21:T25"/>
    <mergeCell ref="U21:U25"/>
    <mergeCell ref="M21:M25"/>
    <mergeCell ref="N21:N25"/>
    <mergeCell ref="O21:O25"/>
    <mergeCell ref="P21:P25"/>
    <mergeCell ref="Q21:Q25"/>
    <mergeCell ref="R17:R19"/>
    <mergeCell ref="S17:S19"/>
    <mergeCell ref="T17:T19"/>
    <mergeCell ref="U17:U19"/>
    <mergeCell ref="M27:M28"/>
    <mergeCell ref="N27:N28"/>
    <mergeCell ref="O27:O28"/>
    <mergeCell ref="P27:P28"/>
    <mergeCell ref="Q27:Q28"/>
    <mergeCell ref="R27:R28"/>
    <mergeCell ref="S27:S28"/>
    <mergeCell ref="T27:T28"/>
    <mergeCell ref="U27:U28"/>
    <mergeCell ref="L27:L28"/>
    <mergeCell ref="A27:A28"/>
    <mergeCell ref="B27:B28"/>
    <mergeCell ref="C27:C28"/>
    <mergeCell ref="D27:D28"/>
    <mergeCell ref="E27:E28"/>
    <mergeCell ref="F27:F28"/>
    <mergeCell ref="G27:G28"/>
    <mergeCell ref="I27:I28"/>
    <mergeCell ref="J27:J28"/>
    <mergeCell ref="K27:K28"/>
    <mergeCell ref="B21:B25"/>
    <mergeCell ref="C21:C25"/>
    <mergeCell ref="D21:D25"/>
    <mergeCell ref="E21:E25"/>
    <mergeCell ref="F21:F25"/>
    <mergeCell ref="G21:G25"/>
    <mergeCell ref="I21:I25"/>
    <mergeCell ref="J21:J25"/>
    <mergeCell ref="K21:K25"/>
    <mergeCell ref="F17:F19"/>
    <mergeCell ref="G17:G19"/>
    <mergeCell ref="I17:I19"/>
    <mergeCell ref="J17:J19"/>
    <mergeCell ref="K17:K19"/>
    <mergeCell ref="L17:L19"/>
    <mergeCell ref="A17:A19"/>
    <mergeCell ref="B17:B19"/>
    <mergeCell ref="C17:C19"/>
    <mergeCell ref="D17:D19"/>
    <mergeCell ref="E17:E19"/>
    <mergeCell ref="H8:H28"/>
    <mergeCell ref="I8:I9"/>
    <mergeCell ref="J8:J9"/>
    <mergeCell ref="K8:K9"/>
    <mergeCell ref="L8:L9"/>
    <mergeCell ref="I10:I15"/>
    <mergeCell ref="J10:J15"/>
    <mergeCell ref="K10:K15"/>
    <mergeCell ref="L10:L15"/>
    <mergeCell ref="A8:A15"/>
    <mergeCell ref="B8:B15"/>
    <mergeCell ref="L21:L25"/>
    <mergeCell ref="A21:A25"/>
    <mergeCell ref="C8:C15"/>
    <mergeCell ref="D8:D15"/>
    <mergeCell ref="E8:E15"/>
    <mergeCell ref="F8:F15"/>
    <mergeCell ref="G8:G15"/>
    <mergeCell ref="M10:M15"/>
    <mergeCell ref="N10:N15"/>
    <mergeCell ref="T10:T15"/>
    <mergeCell ref="U10:U15"/>
    <mergeCell ref="O10:O15"/>
    <mergeCell ref="P10:P15"/>
    <mergeCell ref="Q10:Q15"/>
    <mergeCell ref="R10:R15"/>
    <mergeCell ref="S10:S15"/>
    <mergeCell ref="M8:M9"/>
    <mergeCell ref="N8:N9"/>
    <mergeCell ref="O8:O9"/>
    <mergeCell ref="P8:P9"/>
    <mergeCell ref="Q8:Q9"/>
    <mergeCell ref="R8:R9"/>
    <mergeCell ref="S8:S9"/>
    <mergeCell ref="T8:T9"/>
    <mergeCell ref="U8:U9"/>
    <mergeCell ref="AK6:AM6"/>
    <mergeCell ref="AN6:AP6"/>
    <mergeCell ref="AZ6:BA6"/>
    <mergeCell ref="D6:E6"/>
    <mergeCell ref="F6:I6"/>
    <mergeCell ref="J6:L6"/>
    <mergeCell ref="M6:O6"/>
    <mergeCell ref="P6:R6"/>
    <mergeCell ref="AH6:AJ6"/>
    <mergeCell ref="S6:U6"/>
    <mergeCell ref="AE6:AG6"/>
    <mergeCell ref="V6:X6"/>
    <mergeCell ref="Y6:AA6"/>
    <mergeCell ref="AB6:AD6"/>
    <mergeCell ref="AQ6:AS6"/>
    <mergeCell ref="AT6:AV6"/>
    <mergeCell ref="AW6:AY6"/>
    <mergeCell ref="AB8:AB9"/>
    <mergeCell ref="AC8:AC9"/>
    <mergeCell ref="AD8:AD9"/>
    <mergeCell ref="AB10:AB15"/>
    <mergeCell ref="AC10:AC15"/>
    <mergeCell ref="AD10:AD15"/>
    <mergeCell ref="V8:V9"/>
    <mergeCell ref="V10:V15"/>
    <mergeCell ref="W8:W9"/>
    <mergeCell ref="W10:W15"/>
    <mergeCell ref="X8:X9"/>
    <mergeCell ref="X10:X15"/>
    <mergeCell ref="Y8:Y9"/>
    <mergeCell ref="Z8:Z9"/>
    <mergeCell ref="AA8:AA9"/>
    <mergeCell ref="Y10:Y15"/>
    <mergeCell ref="Z10:Z15"/>
    <mergeCell ref="AA10:AA15"/>
    <mergeCell ref="V17:V19"/>
    <mergeCell ref="W17:W19"/>
    <mergeCell ref="X17:X19"/>
    <mergeCell ref="Y17:Y19"/>
    <mergeCell ref="Z17:Z19"/>
    <mergeCell ref="AA17:AA19"/>
    <mergeCell ref="AB17:AB19"/>
    <mergeCell ref="AC17:AC19"/>
    <mergeCell ref="AD17:AD19"/>
    <mergeCell ref="AB21:AB25"/>
    <mergeCell ref="AC21:AC25"/>
    <mergeCell ref="AD21:AD25"/>
    <mergeCell ref="V27:V28"/>
    <mergeCell ref="W27:W28"/>
    <mergeCell ref="X27:X28"/>
    <mergeCell ref="Y27:Y28"/>
    <mergeCell ref="Z27:Z28"/>
    <mergeCell ref="AA27:AA28"/>
    <mergeCell ref="AB27:AB28"/>
    <mergeCell ref="AC27:AC28"/>
    <mergeCell ref="AD27:AD28"/>
    <mergeCell ref="V21:V25"/>
    <mergeCell ref="W21:W25"/>
    <mergeCell ref="X21:X25"/>
    <mergeCell ref="Y21:Y25"/>
    <mergeCell ref="Z21:Z25"/>
    <mergeCell ref="AA21:AA25"/>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22DB-F00B-4366-AD5F-8B43B58C51D5}">
  <sheetPr>
    <tabColor theme="9" tint="-0.249977111117893"/>
  </sheetPr>
  <dimension ref="A1:EH57"/>
  <sheetViews>
    <sheetView showGridLines="0" topLeftCell="C2" zoomScale="80" zoomScaleNormal="80" workbookViewId="0">
      <selection activeCell="G2" sqref="G2"/>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customWidth="1"/>
    <col min="7" max="7" width="45.7109375" style="4" customWidth="1"/>
    <col min="8" max="8" width="19.42578125" style="1" customWidth="1"/>
    <col min="9" max="9" width="15.5703125" style="1" customWidth="1"/>
    <col min="10" max="11" width="45.7109375" style="4" customWidth="1"/>
    <col min="12" max="12" width="17.7109375" style="6" customWidth="1"/>
    <col min="13" max="13" width="15.28515625" style="4" customWidth="1"/>
    <col min="14" max="14" width="23.42578125" style="94" customWidth="1"/>
    <col min="15" max="15" width="17.7109375" style="6" customWidth="1"/>
    <col min="16" max="16" width="15.28515625" style="4" customWidth="1"/>
    <col min="17" max="17" width="23.42578125" style="94" customWidth="1"/>
    <col min="18" max="18" width="17.7109375" style="6" customWidth="1"/>
    <col min="19" max="19" width="15.28515625" style="4" customWidth="1"/>
    <col min="20" max="20" width="23.42578125" style="94" customWidth="1"/>
    <col min="21" max="21" width="17.7109375" style="6" customWidth="1"/>
    <col min="22" max="22" width="15.28515625" style="4" customWidth="1"/>
    <col min="23" max="23" width="23.42578125" style="94" customWidth="1"/>
    <col min="24" max="24" width="17.7109375" style="6" customWidth="1"/>
    <col min="25" max="25" width="15.28515625" style="4" customWidth="1"/>
    <col min="26" max="26" width="23.42578125" style="94" customWidth="1"/>
    <col min="27" max="27" width="17.7109375" style="6" customWidth="1"/>
    <col min="28" max="28" width="15.28515625" style="4" customWidth="1"/>
    <col min="29" max="29" width="23.42578125" style="94" customWidth="1"/>
    <col min="30" max="30" width="17.7109375" style="6" customWidth="1"/>
    <col min="31" max="32" width="45.7109375" style="3" bestFit="1" customWidth="1"/>
    <col min="33" max="33" width="15.28515625" style="8" bestFit="1" customWidth="1"/>
    <col min="34" max="34" width="15.28515625" style="4" customWidth="1"/>
    <col min="35" max="35" width="23.42578125" style="94" customWidth="1"/>
    <col min="36" max="36" width="17.7109375" style="6" customWidth="1"/>
    <col min="37" max="37" width="15.28515625" style="4" customWidth="1"/>
    <col min="38" max="38" width="23.42578125" style="94" customWidth="1"/>
    <col min="39" max="39" width="17.7109375" style="6" customWidth="1"/>
    <col min="40" max="40" width="15.28515625" style="4" customWidth="1"/>
    <col min="41" max="41" width="23.42578125" style="94" customWidth="1"/>
    <col min="42" max="42" width="17.7109375" style="6" customWidth="1"/>
    <col min="43" max="43" width="15.28515625" style="4" customWidth="1"/>
    <col min="44" max="44" width="23.42578125" style="94" customWidth="1"/>
    <col min="45" max="45" width="17.7109375" style="6" bestFit="1" customWidth="1"/>
    <col min="46" max="46" width="15.28515625" style="4" customWidth="1"/>
    <col min="47" max="47" width="23.42578125" style="94" customWidth="1"/>
    <col min="48" max="48" width="17.7109375" style="6" bestFit="1" customWidth="1"/>
    <col min="49" max="49" width="15.28515625" style="4" customWidth="1"/>
    <col min="50" max="50" width="23.42578125" style="94" customWidth="1"/>
    <col min="51" max="51" width="17.7109375" style="6" bestFit="1" customWidth="1"/>
    <col min="52" max="52" width="30.140625" style="12" bestFit="1" customWidth="1"/>
    <col min="53" max="53" width="45.7109375" style="12" bestFit="1" customWidth="1"/>
    <col min="54" max="138" width="11.42578125" style="9"/>
  </cols>
  <sheetData>
    <row r="1" spans="1:138" x14ac:dyDescent="0.25">
      <c r="A1" s="2"/>
      <c r="B1" s="2"/>
      <c r="H1" s="2"/>
      <c r="I1" s="2"/>
      <c r="AG1" s="7"/>
    </row>
    <row r="2" spans="1:138" x14ac:dyDescent="0.25">
      <c r="A2" s="2"/>
      <c r="B2" s="2"/>
      <c r="H2" s="2"/>
      <c r="I2" s="2"/>
      <c r="AG2" s="7"/>
    </row>
    <row r="3" spans="1:138" x14ac:dyDescent="0.25">
      <c r="A3" s="2"/>
      <c r="B3" s="2"/>
      <c r="H3" s="2"/>
      <c r="I3" s="2"/>
      <c r="AG3" s="7"/>
    </row>
    <row r="4" spans="1:138" x14ac:dyDescent="0.25">
      <c r="A4" s="2"/>
      <c r="B4" s="2"/>
      <c r="H4" s="2"/>
      <c r="I4" s="2"/>
      <c r="AG4" s="7"/>
    </row>
    <row r="5" spans="1:138" x14ac:dyDescent="0.25">
      <c r="A5" s="14"/>
      <c r="B5" s="14"/>
      <c r="C5" s="15"/>
      <c r="D5" s="15"/>
      <c r="E5" s="15"/>
      <c r="F5" s="15"/>
      <c r="G5" s="15"/>
      <c r="H5" s="14"/>
      <c r="I5" s="14"/>
      <c r="J5" s="15"/>
      <c r="K5" s="15"/>
      <c r="L5" s="16"/>
      <c r="M5" s="15"/>
      <c r="N5" s="95"/>
      <c r="O5" s="16"/>
      <c r="P5" s="15"/>
      <c r="Q5" s="95"/>
      <c r="R5" s="16"/>
      <c r="S5" s="15"/>
      <c r="T5" s="95"/>
      <c r="U5" s="16"/>
      <c r="V5" s="15"/>
      <c r="W5" s="95"/>
      <c r="X5" s="16"/>
      <c r="Y5" s="15"/>
      <c r="Z5" s="95"/>
      <c r="AA5" s="16"/>
      <c r="AB5" s="15"/>
      <c r="AC5" s="95"/>
      <c r="AD5" s="16"/>
      <c r="AE5" s="17"/>
      <c r="AF5" s="17"/>
      <c r="AG5" s="18"/>
      <c r="AH5" s="15"/>
      <c r="AI5" s="95"/>
      <c r="AJ5" s="16"/>
      <c r="AK5" s="15"/>
      <c r="AL5" s="95"/>
      <c r="AM5" s="16"/>
      <c r="AN5" s="15"/>
      <c r="AO5" s="95"/>
      <c r="AP5" s="16"/>
      <c r="AQ5" s="15"/>
      <c r="AR5" s="95"/>
      <c r="AS5" s="16"/>
      <c r="AT5" s="15"/>
      <c r="AU5" s="95"/>
      <c r="AV5" s="16"/>
      <c r="AW5" s="15"/>
      <c r="AX5" s="95"/>
      <c r="AY5" s="16"/>
      <c r="AZ5" s="19"/>
      <c r="BA5" s="19"/>
    </row>
    <row r="6" spans="1:138" s="11" customFormat="1" ht="30" x14ac:dyDescent="0.2">
      <c r="A6" s="170" t="s">
        <v>61</v>
      </c>
      <c r="B6" s="170" t="s">
        <v>62</v>
      </c>
      <c r="C6" s="305"/>
      <c r="D6" s="335" t="s">
        <v>63</v>
      </c>
      <c r="E6" s="336"/>
      <c r="F6" s="335" t="s">
        <v>64</v>
      </c>
      <c r="G6" s="337"/>
      <c r="H6" s="337"/>
      <c r="I6" s="336"/>
      <c r="J6" s="338" t="s">
        <v>65</v>
      </c>
      <c r="K6" s="338"/>
      <c r="L6" s="338"/>
      <c r="M6" s="339" t="s">
        <v>2</v>
      </c>
      <c r="N6" s="340"/>
      <c r="O6" s="341"/>
      <c r="P6" s="339" t="s">
        <v>3</v>
      </c>
      <c r="Q6" s="340"/>
      <c r="R6" s="341"/>
      <c r="S6" s="339" t="s">
        <v>4</v>
      </c>
      <c r="T6" s="340"/>
      <c r="U6" s="341"/>
      <c r="V6" s="339" t="s">
        <v>1081</v>
      </c>
      <c r="W6" s="340"/>
      <c r="X6" s="341"/>
      <c r="Y6" s="339" t="s">
        <v>1082</v>
      </c>
      <c r="Z6" s="340"/>
      <c r="AA6" s="341"/>
      <c r="AB6" s="339" t="s">
        <v>1083</v>
      </c>
      <c r="AC6" s="340"/>
      <c r="AD6" s="341"/>
      <c r="AE6" s="373" t="s">
        <v>66</v>
      </c>
      <c r="AF6" s="373"/>
      <c r="AG6" s="373"/>
      <c r="AH6" s="367" t="s">
        <v>2</v>
      </c>
      <c r="AI6" s="368"/>
      <c r="AJ6" s="369"/>
      <c r="AK6" s="367" t="s">
        <v>3</v>
      </c>
      <c r="AL6" s="368"/>
      <c r="AM6" s="369"/>
      <c r="AN6" s="367" t="s">
        <v>4</v>
      </c>
      <c r="AO6" s="368"/>
      <c r="AP6" s="369"/>
      <c r="AQ6" s="367" t="s">
        <v>1081</v>
      </c>
      <c r="AR6" s="368"/>
      <c r="AS6" s="369"/>
      <c r="AT6" s="367" t="s">
        <v>1082</v>
      </c>
      <c r="AU6" s="368"/>
      <c r="AV6" s="369"/>
      <c r="AW6" s="367" t="s">
        <v>1083</v>
      </c>
      <c r="AX6" s="368"/>
      <c r="AY6" s="369"/>
      <c r="AZ6" s="338" t="s">
        <v>67</v>
      </c>
      <c r="BA6" s="338"/>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row>
    <row r="7" spans="1:138" s="11" customFormat="1" ht="49.5" customHeight="1" x14ac:dyDescent="0.2">
      <c r="A7" s="170" t="s">
        <v>68</v>
      </c>
      <c r="B7" s="170" t="s">
        <v>69</v>
      </c>
      <c r="C7" s="170" t="s">
        <v>70</v>
      </c>
      <c r="D7" s="170" t="s">
        <v>71</v>
      </c>
      <c r="E7" s="170" t="s">
        <v>72</v>
      </c>
      <c r="F7" s="170" t="s">
        <v>73</v>
      </c>
      <c r="G7" s="170" t="s">
        <v>74</v>
      </c>
      <c r="H7" s="20" t="s">
        <v>75</v>
      </c>
      <c r="I7" s="20" t="s">
        <v>76</v>
      </c>
      <c r="J7" s="170" t="s">
        <v>65</v>
      </c>
      <c r="K7" s="170" t="s">
        <v>77</v>
      </c>
      <c r="L7" s="170" t="s">
        <v>78</v>
      </c>
      <c r="M7" s="170" t="s">
        <v>79</v>
      </c>
      <c r="N7" s="96" t="s">
        <v>80</v>
      </c>
      <c r="O7" s="170" t="s">
        <v>81</v>
      </c>
      <c r="P7" s="170" t="s">
        <v>79</v>
      </c>
      <c r="Q7" s="96" t="s">
        <v>80</v>
      </c>
      <c r="R7" s="170" t="s">
        <v>81</v>
      </c>
      <c r="S7" s="170" t="s">
        <v>79</v>
      </c>
      <c r="T7" s="96" t="s">
        <v>80</v>
      </c>
      <c r="U7" s="170" t="s">
        <v>81</v>
      </c>
      <c r="V7" s="185" t="s">
        <v>79</v>
      </c>
      <c r="W7" s="96" t="s">
        <v>80</v>
      </c>
      <c r="X7" s="185" t="s">
        <v>81</v>
      </c>
      <c r="Y7" s="185" t="s">
        <v>79</v>
      </c>
      <c r="Z7" s="96" t="s">
        <v>80</v>
      </c>
      <c r="AA7" s="185" t="s">
        <v>81</v>
      </c>
      <c r="AB7" s="185" t="s">
        <v>79</v>
      </c>
      <c r="AC7" s="96" t="s">
        <v>80</v>
      </c>
      <c r="AD7" s="185" t="s">
        <v>81</v>
      </c>
      <c r="AE7" s="308" t="s">
        <v>66</v>
      </c>
      <c r="AF7" s="308" t="s">
        <v>82</v>
      </c>
      <c r="AG7" s="308" t="s">
        <v>83</v>
      </c>
      <c r="AH7" s="308" t="s">
        <v>79</v>
      </c>
      <c r="AI7" s="310" t="s">
        <v>80</v>
      </c>
      <c r="AJ7" s="308" t="s">
        <v>81</v>
      </c>
      <c r="AK7" s="308" t="s">
        <v>79</v>
      </c>
      <c r="AL7" s="310" t="s">
        <v>80</v>
      </c>
      <c r="AM7" s="308" t="s">
        <v>81</v>
      </c>
      <c r="AN7" s="308" t="s">
        <v>79</v>
      </c>
      <c r="AO7" s="310" t="s">
        <v>80</v>
      </c>
      <c r="AP7" s="308" t="s">
        <v>81</v>
      </c>
      <c r="AQ7" s="308" t="s">
        <v>79</v>
      </c>
      <c r="AR7" s="310" t="s">
        <v>80</v>
      </c>
      <c r="AS7" s="308" t="s">
        <v>81</v>
      </c>
      <c r="AT7" s="308" t="s">
        <v>79</v>
      </c>
      <c r="AU7" s="310" t="s">
        <v>80</v>
      </c>
      <c r="AV7" s="308" t="s">
        <v>81</v>
      </c>
      <c r="AW7" s="308" t="s">
        <v>79</v>
      </c>
      <c r="AX7" s="310" t="s">
        <v>80</v>
      </c>
      <c r="AY7" s="308" t="s">
        <v>81</v>
      </c>
      <c r="AZ7" s="170" t="s">
        <v>84</v>
      </c>
      <c r="BA7" s="170" t="s">
        <v>85</v>
      </c>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row>
    <row r="8" spans="1:138" s="5" customFormat="1" ht="33.75" customHeight="1" x14ac:dyDescent="0.2">
      <c r="A8" s="351" t="s">
        <v>86</v>
      </c>
      <c r="B8" s="351" t="s">
        <v>291</v>
      </c>
      <c r="C8" s="351" t="s">
        <v>1629</v>
      </c>
      <c r="D8" s="351" t="s">
        <v>34</v>
      </c>
      <c r="E8" s="344" t="s">
        <v>386</v>
      </c>
      <c r="F8" s="351" t="s">
        <v>90</v>
      </c>
      <c r="G8" s="351" t="s">
        <v>293</v>
      </c>
      <c r="H8" s="345">
        <v>14125207239</v>
      </c>
      <c r="I8" s="345">
        <v>999948176</v>
      </c>
      <c r="J8" s="351" t="s">
        <v>387</v>
      </c>
      <c r="K8" s="351" t="s">
        <v>388</v>
      </c>
      <c r="L8" s="396">
        <v>0.92</v>
      </c>
      <c r="M8" s="342">
        <f>3/3</f>
        <v>1</v>
      </c>
      <c r="N8" s="375">
        <f>(M8/$L8)*(8.3%*1)</f>
        <v>9.0217391304347833E-2</v>
      </c>
      <c r="O8" s="342" t="s">
        <v>389</v>
      </c>
      <c r="P8" s="342">
        <f>3/3</f>
        <v>1</v>
      </c>
      <c r="Q8" s="375">
        <f>(P8/$L8)*(8.3%*2)</f>
        <v>0.18043478260869567</v>
      </c>
      <c r="R8" s="342" t="s">
        <v>390</v>
      </c>
      <c r="S8" s="342">
        <f>4/4</f>
        <v>1</v>
      </c>
      <c r="T8" s="375">
        <f>(S8/$L8)*(8.3%*3)</f>
        <v>0.27065217391304347</v>
      </c>
      <c r="U8" s="342" t="s">
        <v>391</v>
      </c>
      <c r="V8" s="342">
        <f>5/5</f>
        <v>1</v>
      </c>
      <c r="W8" s="375">
        <f>(V8/$L8)*(8.3%*4)</f>
        <v>0.36086956521739133</v>
      </c>
      <c r="X8" s="342" t="s">
        <v>1084</v>
      </c>
      <c r="Y8" s="342">
        <f>5/5</f>
        <v>1</v>
      </c>
      <c r="Z8" s="375">
        <f>(Y8/$L8)*(8.3%*5)</f>
        <v>0.45108695652173914</v>
      </c>
      <c r="AA8" s="342" t="s">
        <v>1086</v>
      </c>
      <c r="AB8" s="342">
        <f>7/7</f>
        <v>1</v>
      </c>
      <c r="AC8" s="375">
        <f>(AB8/$L8)*(8.3%*6)</f>
        <v>0.54130434782608694</v>
      </c>
      <c r="AD8" s="342" t="s">
        <v>1088</v>
      </c>
      <c r="AE8" s="13" t="s">
        <v>392</v>
      </c>
      <c r="AF8" s="13" t="s">
        <v>393</v>
      </c>
      <c r="AG8" s="177">
        <v>0.92</v>
      </c>
      <c r="AH8" s="183">
        <f>1/1</f>
        <v>1</v>
      </c>
      <c r="AI8" s="100">
        <f>(AH8/$AG8)*(8.3%*1)</f>
        <v>9.0217391304347833E-2</v>
      </c>
      <c r="AJ8" s="183" t="s">
        <v>394</v>
      </c>
      <c r="AK8" s="183">
        <f>3/3</f>
        <v>1</v>
      </c>
      <c r="AL8" s="100">
        <f>(AK8/$AG8)*(8.3%*2)</f>
        <v>0.18043478260869567</v>
      </c>
      <c r="AM8" s="183" t="s">
        <v>395</v>
      </c>
      <c r="AN8" s="183">
        <f>5/5</f>
        <v>1</v>
      </c>
      <c r="AO8" s="100">
        <f>(AN8/$AG8)*(8.3%*3)</f>
        <v>0.27065217391304347</v>
      </c>
      <c r="AP8" s="183" t="s">
        <v>396</v>
      </c>
      <c r="AQ8" s="188">
        <f>9/9</f>
        <v>1</v>
      </c>
      <c r="AR8" s="100">
        <f>(AQ8/$AG8)*(8.3%*4)</f>
        <v>0.36086956521739133</v>
      </c>
      <c r="AS8" s="188" t="s">
        <v>1138</v>
      </c>
      <c r="AT8" s="188">
        <f>11/11</f>
        <v>1</v>
      </c>
      <c r="AU8" s="100">
        <f>(AT8/$AG8)*(8.3%*5)</f>
        <v>0.45108695652173914</v>
      </c>
      <c r="AV8" s="188" t="s">
        <v>1143</v>
      </c>
      <c r="AW8" s="188">
        <f>16/16</f>
        <v>1</v>
      </c>
      <c r="AX8" s="100">
        <f>(AW8/$AG8)*(8.3%*6)</f>
        <v>0.54130434782608694</v>
      </c>
      <c r="AY8" s="188" t="s">
        <v>1148</v>
      </c>
      <c r="AZ8" s="13" t="s">
        <v>108</v>
      </c>
      <c r="BA8" s="13" t="s">
        <v>109</v>
      </c>
    </row>
    <row r="9" spans="1:138" s="5" customFormat="1" ht="33.75" customHeight="1" x14ac:dyDescent="0.2">
      <c r="A9" s="351"/>
      <c r="B9" s="351"/>
      <c r="C9" s="351"/>
      <c r="D9" s="351"/>
      <c r="E9" s="344"/>
      <c r="F9" s="351"/>
      <c r="G9" s="351"/>
      <c r="H9" s="372"/>
      <c r="I9" s="346"/>
      <c r="J9" s="351"/>
      <c r="K9" s="351"/>
      <c r="L9" s="396"/>
      <c r="M9" s="343"/>
      <c r="N9" s="377"/>
      <c r="O9" s="343"/>
      <c r="P9" s="343"/>
      <c r="Q9" s="377"/>
      <c r="R9" s="343"/>
      <c r="S9" s="343"/>
      <c r="T9" s="377"/>
      <c r="U9" s="343"/>
      <c r="V9" s="343"/>
      <c r="W9" s="377"/>
      <c r="X9" s="343"/>
      <c r="Y9" s="343"/>
      <c r="Z9" s="377"/>
      <c r="AA9" s="343"/>
      <c r="AB9" s="343"/>
      <c r="AC9" s="377"/>
      <c r="AD9" s="343"/>
      <c r="AE9" s="13" t="s">
        <v>397</v>
      </c>
      <c r="AF9" s="13" t="s">
        <v>398</v>
      </c>
      <c r="AG9" s="177">
        <v>0.92</v>
      </c>
      <c r="AH9" s="183">
        <v>0</v>
      </c>
      <c r="AI9" s="100">
        <f t="shared" ref="AI9:AI12" si="0">(AH9/$AG9)*(8.3%*1)</f>
        <v>0</v>
      </c>
      <c r="AJ9" s="183" t="s">
        <v>399</v>
      </c>
      <c r="AK9" s="183">
        <v>0</v>
      </c>
      <c r="AL9" s="100">
        <f>(AK9/$AG9)*(8.3%*2)</f>
        <v>0</v>
      </c>
      <c r="AM9" s="183" t="s">
        <v>400</v>
      </c>
      <c r="AN9" s="183">
        <f>0/2</f>
        <v>0</v>
      </c>
      <c r="AO9" s="100">
        <f>(AN9/$AG9)*(8.3%*3)</f>
        <v>0</v>
      </c>
      <c r="AP9" s="183" t="s">
        <v>401</v>
      </c>
      <c r="AQ9" s="188">
        <v>0</v>
      </c>
      <c r="AR9" s="100">
        <f t="shared" ref="AR9:AR12" si="1">(AQ9/$AG9)*(8.3%*4)</f>
        <v>0</v>
      </c>
      <c r="AS9" s="188" t="s">
        <v>1139</v>
      </c>
      <c r="AT9" s="188">
        <f>1/4</f>
        <v>0.25</v>
      </c>
      <c r="AU9" s="100">
        <f t="shared" ref="AU9:AU12" si="2">(AT9/$AG9)*(8.3%*5)</f>
        <v>0.11277173913043478</v>
      </c>
      <c r="AV9" s="188" t="s">
        <v>1144</v>
      </c>
      <c r="AW9" s="188">
        <f>1/4</f>
        <v>0.25</v>
      </c>
      <c r="AX9" s="100">
        <f t="shared" ref="AX9:AX12" si="3">(AW9/$AG9)*(8.3%*6)</f>
        <v>0.13532608695652174</v>
      </c>
      <c r="AY9" s="188" t="s">
        <v>1149</v>
      </c>
      <c r="AZ9" s="13" t="s">
        <v>108</v>
      </c>
      <c r="BA9" s="13" t="s">
        <v>109</v>
      </c>
    </row>
    <row r="10" spans="1:138" s="5" customFormat="1" ht="33.75" customHeight="1" x14ac:dyDescent="0.2">
      <c r="A10" s="351"/>
      <c r="B10" s="351"/>
      <c r="C10" s="351"/>
      <c r="D10" s="351"/>
      <c r="E10" s="344"/>
      <c r="F10" s="351"/>
      <c r="G10" s="351"/>
      <c r="H10" s="372"/>
      <c r="I10" s="345">
        <v>1077525282</v>
      </c>
      <c r="J10" s="351" t="s">
        <v>402</v>
      </c>
      <c r="K10" s="351" t="s">
        <v>403</v>
      </c>
      <c r="L10" s="371">
        <v>45</v>
      </c>
      <c r="M10" s="432">
        <v>3</v>
      </c>
      <c r="N10" s="375">
        <f>M10/$L10</f>
        <v>6.6666666666666666E-2</v>
      </c>
      <c r="O10" s="342" t="s">
        <v>404</v>
      </c>
      <c r="P10" s="432">
        <v>3</v>
      </c>
      <c r="Q10" s="375">
        <f>P10/$L10</f>
        <v>6.6666666666666666E-2</v>
      </c>
      <c r="R10" s="342" t="s">
        <v>405</v>
      </c>
      <c r="S10" s="432">
        <v>4</v>
      </c>
      <c r="T10" s="375">
        <f>S10/$L10</f>
        <v>8.8888888888888892E-2</v>
      </c>
      <c r="U10" s="342" t="s">
        <v>406</v>
      </c>
      <c r="V10" s="432">
        <v>17</v>
      </c>
      <c r="W10" s="375">
        <f>V10/$L10</f>
        <v>0.37777777777777777</v>
      </c>
      <c r="X10" s="342" t="s">
        <v>1085</v>
      </c>
      <c r="Y10" s="432">
        <v>20</v>
      </c>
      <c r="Z10" s="375">
        <f>Y10/$L10</f>
        <v>0.44444444444444442</v>
      </c>
      <c r="AA10" s="342" t="s">
        <v>1087</v>
      </c>
      <c r="AB10" s="432">
        <v>23</v>
      </c>
      <c r="AC10" s="375">
        <f>AB10/$L10</f>
        <v>0.51111111111111107</v>
      </c>
      <c r="AD10" s="342" t="s">
        <v>1089</v>
      </c>
      <c r="AE10" s="13" t="s">
        <v>407</v>
      </c>
      <c r="AF10" s="13" t="s">
        <v>408</v>
      </c>
      <c r="AG10" s="172">
        <v>30</v>
      </c>
      <c r="AH10" s="99">
        <v>1</v>
      </c>
      <c r="AI10" s="100">
        <f>AH10/$AG10</f>
        <v>3.3333333333333333E-2</v>
      </c>
      <c r="AJ10" s="183" t="s">
        <v>409</v>
      </c>
      <c r="AK10" s="99">
        <v>4</v>
      </c>
      <c r="AL10" s="100">
        <f>AK10/$AG10</f>
        <v>0.13333333333333333</v>
      </c>
      <c r="AM10" s="99" t="s">
        <v>410</v>
      </c>
      <c r="AN10" s="99">
        <v>10</v>
      </c>
      <c r="AO10" s="100">
        <f>AN10/$AG10</f>
        <v>0.33333333333333331</v>
      </c>
      <c r="AP10" s="183" t="s">
        <v>411</v>
      </c>
      <c r="AQ10" s="99">
        <v>13</v>
      </c>
      <c r="AR10" s="100">
        <f>(AQ10/$AG10)</f>
        <v>0.43333333333333335</v>
      </c>
      <c r="AS10" s="188" t="s">
        <v>1140</v>
      </c>
      <c r="AT10" s="99">
        <v>15</v>
      </c>
      <c r="AU10" s="100">
        <f>(AT10/$AG10)</f>
        <v>0.5</v>
      </c>
      <c r="AV10" s="99" t="s">
        <v>1145</v>
      </c>
      <c r="AW10" s="99">
        <v>19</v>
      </c>
      <c r="AX10" s="100">
        <f>(AW10/$AG10)</f>
        <v>0.6333333333333333</v>
      </c>
      <c r="AY10" s="188" t="s">
        <v>1150</v>
      </c>
      <c r="AZ10" s="13" t="s">
        <v>108</v>
      </c>
      <c r="BA10" s="13" t="s">
        <v>109</v>
      </c>
    </row>
    <row r="11" spans="1:138" s="5" customFormat="1" ht="45" customHeight="1" x14ac:dyDescent="0.2">
      <c r="A11" s="351"/>
      <c r="B11" s="351"/>
      <c r="C11" s="351"/>
      <c r="D11" s="351"/>
      <c r="E11" s="344"/>
      <c r="F11" s="351"/>
      <c r="G11" s="351"/>
      <c r="H11" s="372"/>
      <c r="I11" s="372"/>
      <c r="J11" s="351"/>
      <c r="K11" s="351"/>
      <c r="L11" s="371"/>
      <c r="M11" s="433"/>
      <c r="N11" s="376"/>
      <c r="O11" s="374"/>
      <c r="P11" s="433"/>
      <c r="Q11" s="376"/>
      <c r="R11" s="374"/>
      <c r="S11" s="433"/>
      <c r="T11" s="376"/>
      <c r="U11" s="374"/>
      <c r="V11" s="433"/>
      <c r="W11" s="376"/>
      <c r="X11" s="374"/>
      <c r="Y11" s="433"/>
      <c r="Z11" s="376"/>
      <c r="AA11" s="374"/>
      <c r="AB11" s="433"/>
      <c r="AC11" s="376"/>
      <c r="AD11" s="374"/>
      <c r="AE11" s="13" t="s">
        <v>412</v>
      </c>
      <c r="AF11" s="13" t="s">
        <v>413</v>
      </c>
      <c r="AG11" s="172">
        <v>35</v>
      </c>
      <c r="AH11" s="99">
        <v>2</v>
      </c>
      <c r="AI11" s="100">
        <f>AH11/$AG11</f>
        <v>5.7142857142857141E-2</v>
      </c>
      <c r="AJ11" s="183" t="s">
        <v>414</v>
      </c>
      <c r="AK11" s="99">
        <v>2</v>
      </c>
      <c r="AL11" s="100">
        <f>AK11/$AG11</f>
        <v>5.7142857142857141E-2</v>
      </c>
      <c r="AM11" s="99" t="s">
        <v>415</v>
      </c>
      <c r="AN11" s="99">
        <v>3</v>
      </c>
      <c r="AO11" s="100">
        <f>AN11/$AG11</f>
        <v>8.5714285714285715E-2</v>
      </c>
      <c r="AP11" s="183" t="s">
        <v>416</v>
      </c>
      <c r="AQ11" s="99">
        <v>16</v>
      </c>
      <c r="AR11" s="100">
        <f>(AQ11/$AG11)</f>
        <v>0.45714285714285713</v>
      </c>
      <c r="AS11" s="188" t="s">
        <v>1141</v>
      </c>
      <c r="AT11" s="99">
        <v>20</v>
      </c>
      <c r="AU11" s="100">
        <f>(AT11/$AG11)</f>
        <v>0.5714285714285714</v>
      </c>
      <c r="AV11" s="99" t="s">
        <v>1146</v>
      </c>
      <c r="AW11" s="99">
        <v>22</v>
      </c>
      <c r="AX11" s="100">
        <f>(AW11/$AG11)</f>
        <v>0.62857142857142856</v>
      </c>
      <c r="AY11" s="188" t="s">
        <v>1151</v>
      </c>
      <c r="AZ11" s="13" t="s">
        <v>108</v>
      </c>
      <c r="BA11" s="13" t="s">
        <v>109</v>
      </c>
    </row>
    <row r="12" spans="1:138" s="5" customFormat="1" ht="120" x14ac:dyDescent="0.2">
      <c r="A12" s="351"/>
      <c r="B12" s="351"/>
      <c r="C12" s="351"/>
      <c r="D12" s="351"/>
      <c r="E12" s="344"/>
      <c r="F12" s="351"/>
      <c r="G12" s="351"/>
      <c r="H12" s="372"/>
      <c r="I12" s="346"/>
      <c r="J12" s="351"/>
      <c r="K12" s="351"/>
      <c r="L12" s="371"/>
      <c r="M12" s="434"/>
      <c r="N12" s="377"/>
      <c r="O12" s="343"/>
      <c r="P12" s="434"/>
      <c r="Q12" s="377"/>
      <c r="R12" s="343"/>
      <c r="S12" s="434"/>
      <c r="T12" s="377"/>
      <c r="U12" s="343"/>
      <c r="V12" s="434"/>
      <c r="W12" s="377"/>
      <c r="X12" s="343"/>
      <c r="Y12" s="434"/>
      <c r="Z12" s="377"/>
      <c r="AA12" s="343"/>
      <c r="AB12" s="434"/>
      <c r="AC12" s="377"/>
      <c r="AD12" s="343"/>
      <c r="AE12" s="13" t="s">
        <v>417</v>
      </c>
      <c r="AF12" s="13" t="s">
        <v>418</v>
      </c>
      <c r="AG12" s="177">
        <v>0.8</v>
      </c>
      <c r="AH12" s="183">
        <f>2/2</f>
        <v>1</v>
      </c>
      <c r="AI12" s="100">
        <f t="shared" si="0"/>
        <v>0.10375000000000001</v>
      </c>
      <c r="AJ12" s="183" t="s">
        <v>419</v>
      </c>
      <c r="AK12" s="183">
        <f>2/2</f>
        <v>1</v>
      </c>
      <c r="AL12" s="100">
        <f>(AK12/$AG12)*(8.3%*2)</f>
        <v>0.20750000000000002</v>
      </c>
      <c r="AM12" s="183" t="s">
        <v>420</v>
      </c>
      <c r="AN12" s="183">
        <f>3/3</f>
        <v>1</v>
      </c>
      <c r="AO12" s="100">
        <f>(AN12/$AG12)*(8.3%*3)</f>
        <v>0.31125000000000003</v>
      </c>
      <c r="AP12" s="183" t="s">
        <v>421</v>
      </c>
      <c r="AQ12" s="188">
        <f>5/5</f>
        <v>1</v>
      </c>
      <c r="AR12" s="100">
        <f t="shared" si="1"/>
        <v>0.41500000000000004</v>
      </c>
      <c r="AS12" s="188" t="s">
        <v>1142</v>
      </c>
      <c r="AT12" s="188">
        <f>7/7</f>
        <v>1</v>
      </c>
      <c r="AU12" s="100">
        <f t="shared" si="2"/>
        <v>0.51875000000000004</v>
      </c>
      <c r="AV12" s="188" t="s">
        <v>1147</v>
      </c>
      <c r="AW12" s="188">
        <f>8/8</f>
        <v>1</v>
      </c>
      <c r="AX12" s="100">
        <f t="shared" si="3"/>
        <v>0.62250000000000005</v>
      </c>
      <c r="AY12" s="188" t="s">
        <v>1152</v>
      </c>
      <c r="AZ12" s="13" t="s">
        <v>108</v>
      </c>
      <c r="BA12" s="13" t="s">
        <v>109</v>
      </c>
    </row>
    <row r="13" spans="1:138" ht="75" x14ac:dyDescent="0.25">
      <c r="H13" s="372"/>
      <c r="M13" s="71" t="s">
        <v>155</v>
      </c>
      <c r="N13" s="97">
        <f>AVERAGE(N8:N12)</f>
        <v>7.8442028985507256E-2</v>
      </c>
      <c r="P13" s="71" t="s">
        <v>155</v>
      </c>
      <c r="Q13" s="97">
        <f>AVERAGE(Q8:Q12)</f>
        <v>0.12355072463768116</v>
      </c>
      <c r="S13" s="71" t="s">
        <v>155</v>
      </c>
      <c r="T13" s="97">
        <f>AVERAGE(T8:T12)</f>
        <v>0.17977053140096619</v>
      </c>
      <c r="V13" s="71" t="s">
        <v>155</v>
      </c>
      <c r="W13" s="97">
        <f>AVERAGE(W8:W12)</f>
        <v>0.36932367149758455</v>
      </c>
      <c r="Y13" s="71" t="s">
        <v>155</v>
      </c>
      <c r="Z13" s="97">
        <f>AVERAGE(Z8:Z12)</f>
        <v>0.44776570048309178</v>
      </c>
      <c r="AB13" s="71" t="s">
        <v>155</v>
      </c>
      <c r="AC13" s="97">
        <f>AVERAGE(AC8:AC12)</f>
        <v>0.52620772946859895</v>
      </c>
      <c r="AH13" s="71" t="s">
        <v>156</v>
      </c>
      <c r="AI13" s="97">
        <f>AVERAGE(AI8:AI12)</f>
        <v>5.6888716356107663E-2</v>
      </c>
      <c r="AK13" s="71" t="s">
        <v>156</v>
      </c>
      <c r="AL13" s="97">
        <f>AVERAGE(AL8:AL12)</f>
        <v>0.11568219461697724</v>
      </c>
      <c r="AN13" s="71" t="s">
        <v>156</v>
      </c>
      <c r="AO13" s="97">
        <f>AVERAGE(AO8:AO12)</f>
        <v>0.20018995859213251</v>
      </c>
      <c r="AP13" s="9"/>
      <c r="AQ13" s="71" t="s">
        <v>156</v>
      </c>
      <c r="AR13" s="97">
        <f>AVERAGE(AR8:AR12)</f>
        <v>0.33326915113871636</v>
      </c>
      <c r="AT13" s="71" t="s">
        <v>156</v>
      </c>
      <c r="AU13" s="97">
        <f>AVERAGE(AU8:AU12)</f>
        <v>0.43080745341614907</v>
      </c>
      <c r="AW13" s="71" t="s">
        <v>156</v>
      </c>
      <c r="AX13" s="97">
        <f>AVERAGE(AX8:AX12)</f>
        <v>0.51220703933747413</v>
      </c>
      <c r="AY13" s="9"/>
      <c r="AZ13" s="9"/>
      <c r="BA13" s="9"/>
      <c r="EE13"/>
      <c r="EF13"/>
      <c r="EG13"/>
      <c r="EH13"/>
    </row>
    <row r="14" spans="1:138" s="5" customFormat="1" ht="45" customHeight="1" x14ac:dyDescent="0.2">
      <c r="A14" s="351" t="s">
        <v>86</v>
      </c>
      <c r="B14" s="351" t="s">
        <v>291</v>
      </c>
      <c r="C14" s="351" t="s">
        <v>1629</v>
      </c>
      <c r="D14" s="351" t="s">
        <v>34</v>
      </c>
      <c r="E14" s="344" t="s">
        <v>422</v>
      </c>
      <c r="F14" s="351" t="s">
        <v>90</v>
      </c>
      <c r="G14" s="351" t="s">
        <v>293</v>
      </c>
      <c r="H14" s="372"/>
      <c r="I14" s="345">
        <v>1698752993</v>
      </c>
      <c r="J14" s="351" t="s">
        <v>387</v>
      </c>
      <c r="K14" s="351" t="s">
        <v>388</v>
      </c>
      <c r="L14" s="396">
        <v>0.92</v>
      </c>
      <c r="M14" s="342">
        <f>6/6</f>
        <v>1</v>
      </c>
      <c r="N14" s="375">
        <f>(M14/$L14)*(8.3%*1)</f>
        <v>9.0217391304347833E-2</v>
      </c>
      <c r="O14" s="342" t="s">
        <v>423</v>
      </c>
      <c r="P14" s="342">
        <f>3/3</f>
        <v>1</v>
      </c>
      <c r="Q14" s="375">
        <f>(P14/$L14)*(8.3%*2)</f>
        <v>0.18043478260869567</v>
      </c>
      <c r="R14" s="342" t="s">
        <v>424</v>
      </c>
      <c r="S14" s="342">
        <f>5/5</f>
        <v>1</v>
      </c>
      <c r="T14" s="375">
        <f>(S14/$L14)*(8.3%*3)</f>
        <v>0.27065217391304347</v>
      </c>
      <c r="U14" s="342" t="s">
        <v>425</v>
      </c>
      <c r="V14" s="342">
        <f>9/9</f>
        <v>1</v>
      </c>
      <c r="W14" s="375">
        <f>(V14/$L14)*(8.3%*4)</f>
        <v>0.36086956521739133</v>
      </c>
      <c r="X14" s="342" t="s">
        <v>1090</v>
      </c>
      <c r="Y14" s="342">
        <f>12/12</f>
        <v>1</v>
      </c>
      <c r="Z14" s="375">
        <f>(Y14/$L14)*(8.3%*5)</f>
        <v>0.45108695652173914</v>
      </c>
      <c r="AA14" s="342" t="s">
        <v>1092</v>
      </c>
      <c r="AB14" s="342">
        <f>13/13</f>
        <v>1</v>
      </c>
      <c r="AC14" s="375">
        <f>(AB14/$L14)*(8.3%*6)</f>
        <v>0.54130434782608694</v>
      </c>
      <c r="AD14" s="342" t="s">
        <v>1094</v>
      </c>
      <c r="AE14" s="13" t="s">
        <v>392</v>
      </c>
      <c r="AF14" s="13" t="s">
        <v>393</v>
      </c>
      <c r="AG14" s="177">
        <v>0.92</v>
      </c>
      <c r="AH14" s="183">
        <v>0</v>
      </c>
      <c r="AI14" s="100">
        <f>(AH14/$AG14)*(8.3%*1)</f>
        <v>0</v>
      </c>
      <c r="AJ14" s="183" t="s">
        <v>426</v>
      </c>
      <c r="AK14" s="183">
        <f>2/2</f>
        <v>1</v>
      </c>
      <c r="AL14" s="100">
        <f>(AK14/$AG14)*(8.3%*2)</f>
        <v>0.18043478260869567</v>
      </c>
      <c r="AM14" s="183" t="s">
        <v>427</v>
      </c>
      <c r="AN14" s="183">
        <f>7/7</f>
        <v>1</v>
      </c>
      <c r="AO14" s="100">
        <f>(AN14/$AG14)*(8.3%*3)</f>
        <v>0.27065217391304347</v>
      </c>
      <c r="AP14" s="183" t="s">
        <v>428</v>
      </c>
      <c r="AQ14" s="188">
        <f>10/10</f>
        <v>1</v>
      </c>
      <c r="AR14" s="100">
        <f>(AQ14/$AG14)*(8.3%*4)</f>
        <v>0.36086956521739133</v>
      </c>
      <c r="AS14" s="188" t="s">
        <v>1138</v>
      </c>
      <c r="AT14" s="188">
        <f>9/9</f>
        <v>1</v>
      </c>
      <c r="AU14" s="100">
        <f>(AT14/$AG14)*(8.3%*5)</f>
        <v>0.45108695652173914</v>
      </c>
      <c r="AV14" s="188" t="s">
        <v>1157</v>
      </c>
      <c r="AW14" s="188">
        <f>11/11</f>
        <v>1</v>
      </c>
      <c r="AX14" s="100">
        <f>(AW14/$AG14)*(8.3%*6)</f>
        <v>0.54130434782608694</v>
      </c>
      <c r="AY14" s="188" t="s">
        <v>1161</v>
      </c>
      <c r="AZ14" s="13" t="s">
        <v>108</v>
      </c>
      <c r="BA14" s="13" t="s">
        <v>109</v>
      </c>
    </row>
    <row r="15" spans="1:138" s="5" customFormat="1" ht="60" customHeight="1" x14ac:dyDescent="0.2">
      <c r="A15" s="351"/>
      <c r="B15" s="351"/>
      <c r="C15" s="351"/>
      <c r="D15" s="351" t="s">
        <v>34</v>
      </c>
      <c r="E15" s="344" t="s">
        <v>422</v>
      </c>
      <c r="F15" s="351"/>
      <c r="G15" s="351"/>
      <c r="H15" s="372"/>
      <c r="I15" s="346"/>
      <c r="J15" s="351"/>
      <c r="K15" s="351"/>
      <c r="L15" s="396"/>
      <c r="M15" s="343"/>
      <c r="N15" s="377"/>
      <c r="O15" s="343"/>
      <c r="P15" s="343"/>
      <c r="Q15" s="377"/>
      <c r="R15" s="343"/>
      <c r="S15" s="343"/>
      <c r="T15" s="377"/>
      <c r="U15" s="343"/>
      <c r="V15" s="343"/>
      <c r="W15" s="377"/>
      <c r="X15" s="343"/>
      <c r="Y15" s="343"/>
      <c r="Z15" s="377"/>
      <c r="AA15" s="343"/>
      <c r="AB15" s="343"/>
      <c r="AC15" s="377"/>
      <c r="AD15" s="343"/>
      <c r="AE15" s="13" t="s">
        <v>397</v>
      </c>
      <c r="AF15" s="13" t="s">
        <v>398</v>
      </c>
      <c r="AG15" s="177">
        <v>0.92</v>
      </c>
      <c r="AH15" s="183">
        <v>0</v>
      </c>
      <c r="AI15" s="100">
        <f t="shared" ref="AI15:AI18" si="4">(AH15/$AG15)*(8.3%*1)</f>
        <v>0</v>
      </c>
      <c r="AJ15" s="183" t="s">
        <v>429</v>
      </c>
      <c r="AK15" s="183">
        <v>0</v>
      </c>
      <c r="AL15" s="100">
        <f>(AK15/$AG15)*(8.3%*2)</f>
        <v>0</v>
      </c>
      <c r="AM15" s="183" t="s">
        <v>430</v>
      </c>
      <c r="AN15" s="99">
        <f>1/8</f>
        <v>0.125</v>
      </c>
      <c r="AO15" s="100">
        <f>(AN15/$AG15)*(8.3%*3)</f>
        <v>3.3831521739130434E-2</v>
      </c>
      <c r="AP15" s="183" t="s">
        <v>431</v>
      </c>
      <c r="AQ15" s="188">
        <f>1/11</f>
        <v>9.0909090909090912E-2</v>
      </c>
      <c r="AR15" s="100">
        <f t="shared" ref="AR15:AR24" si="5">(AQ15/$AG15)*(8.3%*4)</f>
        <v>3.2806324110671935E-2</v>
      </c>
      <c r="AS15" s="188" t="s">
        <v>1153</v>
      </c>
      <c r="AT15" s="188">
        <f>1/11</f>
        <v>9.0909090909090912E-2</v>
      </c>
      <c r="AU15" s="100">
        <f t="shared" ref="AU15:AU24" si="6">(AT15/$AG15)*(8.3%*5)</f>
        <v>4.1007905138339927E-2</v>
      </c>
      <c r="AV15" s="188" t="s">
        <v>1153</v>
      </c>
      <c r="AW15" s="99">
        <f>1/12</f>
        <v>8.3333333333333329E-2</v>
      </c>
      <c r="AX15" s="100">
        <f t="shared" ref="AX15:AX24" si="7">(AW15/$AG15)*(8.3%*6)</f>
        <v>4.5108695652173902E-2</v>
      </c>
      <c r="AY15" s="188" t="s">
        <v>1162</v>
      </c>
      <c r="AZ15" s="13" t="s">
        <v>108</v>
      </c>
      <c r="BA15" s="13" t="s">
        <v>109</v>
      </c>
    </row>
    <row r="16" spans="1:138" s="5" customFormat="1" ht="45" customHeight="1" x14ac:dyDescent="0.2">
      <c r="A16" s="351"/>
      <c r="B16" s="351"/>
      <c r="C16" s="351"/>
      <c r="D16" s="351" t="s">
        <v>34</v>
      </c>
      <c r="E16" s="344" t="s">
        <v>422</v>
      </c>
      <c r="F16" s="351"/>
      <c r="G16" s="351"/>
      <c r="H16" s="372"/>
      <c r="I16" s="345">
        <v>1124113798</v>
      </c>
      <c r="J16" s="351" t="s">
        <v>402</v>
      </c>
      <c r="K16" s="351" t="s">
        <v>403</v>
      </c>
      <c r="L16" s="371">
        <v>36</v>
      </c>
      <c r="M16" s="432">
        <v>2</v>
      </c>
      <c r="N16" s="375">
        <f>M16/$L16</f>
        <v>5.5555555555555552E-2</v>
      </c>
      <c r="O16" s="342" t="s">
        <v>432</v>
      </c>
      <c r="P16" s="432">
        <v>6</v>
      </c>
      <c r="Q16" s="375">
        <f>P16/$L16</f>
        <v>0.16666666666666666</v>
      </c>
      <c r="R16" s="342" t="s">
        <v>433</v>
      </c>
      <c r="S16" s="432">
        <v>6</v>
      </c>
      <c r="T16" s="375">
        <f>S16/$L16</f>
        <v>0.16666666666666666</v>
      </c>
      <c r="U16" s="342" t="s">
        <v>434</v>
      </c>
      <c r="V16" s="432">
        <v>13</v>
      </c>
      <c r="W16" s="375">
        <f>V16/$L16</f>
        <v>0.3611111111111111</v>
      </c>
      <c r="X16" s="342" t="s">
        <v>1091</v>
      </c>
      <c r="Y16" s="432">
        <v>15</v>
      </c>
      <c r="Z16" s="375">
        <f>Y16/$L16</f>
        <v>0.41666666666666669</v>
      </c>
      <c r="AA16" s="342" t="s">
        <v>1093</v>
      </c>
      <c r="AB16" s="432">
        <v>16</v>
      </c>
      <c r="AC16" s="375">
        <f>AB16/$L16</f>
        <v>0.44444444444444442</v>
      </c>
      <c r="AD16" s="342" t="s">
        <v>1095</v>
      </c>
      <c r="AE16" s="13" t="s">
        <v>407</v>
      </c>
      <c r="AF16" s="13" t="s">
        <v>408</v>
      </c>
      <c r="AG16" s="172">
        <v>29</v>
      </c>
      <c r="AH16" s="99">
        <v>2</v>
      </c>
      <c r="AI16" s="100">
        <f>AH16/$AG16</f>
        <v>6.8965517241379309E-2</v>
      </c>
      <c r="AJ16" s="183" t="s">
        <v>435</v>
      </c>
      <c r="AK16" s="99">
        <v>3</v>
      </c>
      <c r="AL16" s="100">
        <f>AK16/$AG16</f>
        <v>0.10344827586206896</v>
      </c>
      <c r="AM16" s="183" t="s">
        <v>436</v>
      </c>
      <c r="AN16" s="99">
        <v>8</v>
      </c>
      <c r="AO16" s="100">
        <f>AN16/$AG16</f>
        <v>0.27586206896551724</v>
      </c>
      <c r="AP16" s="183" t="s">
        <v>437</v>
      </c>
      <c r="AQ16" s="99">
        <v>10</v>
      </c>
      <c r="AR16" s="100">
        <f t="shared" ref="AR16:AR17" si="8">(AQ16/$AG16)</f>
        <v>0.34482758620689657</v>
      </c>
      <c r="AS16" s="188" t="s">
        <v>1154</v>
      </c>
      <c r="AT16" s="99">
        <v>11</v>
      </c>
      <c r="AU16" s="100">
        <f t="shared" ref="AU16:AU17" si="9">(AT16/$AG16)</f>
        <v>0.37931034482758619</v>
      </c>
      <c r="AV16" s="188" t="s">
        <v>1158</v>
      </c>
      <c r="AW16" s="99">
        <v>13</v>
      </c>
      <c r="AX16" s="100">
        <f t="shared" ref="AX16:AX17" si="10">(AW16/$AG16)</f>
        <v>0.44827586206896552</v>
      </c>
      <c r="AY16" s="188" t="s">
        <v>1163</v>
      </c>
      <c r="AZ16" s="13" t="s">
        <v>108</v>
      </c>
      <c r="BA16" s="13" t="s">
        <v>109</v>
      </c>
    </row>
    <row r="17" spans="1:138" s="5" customFormat="1" ht="45" customHeight="1" x14ac:dyDescent="0.2">
      <c r="A17" s="351"/>
      <c r="B17" s="351"/>
      <c r="C17" s="351"/>
      <c r="D17" s="351" t="s">
        <v>34</v>
      </c>
      <c r="E17" s="344" t="s">
        <v>422</v>
      </c>
      <c r="F17" s="351"/>
      <c r="G17" s="351"/>
      <c r="H17" s="372"/>
      <c r="I17" s="372"/>
      <c r="J17" s="351"/>
      <c r="K17" s="351"/>
      <c r="L17" s="371"/>
      <c r="M17" s="433"/>
      <c r="N17" s="376"/>
      <c r="O17" s="374"/>
      <c r="P17" s="433"/>
      <c r="Q17" s="376"/>
      <c r="R17" s="374"/>
      <c r="S17" s="433"/>
      <c r="T17" s="376"/>
      <c r="U17" s="374"/>
      <c r="V17" s="433"/>
      <c r="W17" s="376"/>
      <c r="X17" s="374"/>
      <c r="Y17" s="433"/>
      <c r="Z17" s="376"/>
      <c r="AA17" s="374"/>
      <c r="AB17" s="433"/>
      <c r="AC17" s="376"/>
      <c r="AD17" s="374"/>
      <c r="AE17" s="13" t="s">
        <v>412</v>
      </c>
      <c r="AF17" s="13" t="s">
        <v>413</v>
      </c>
      <c r="AG17" s="172">
        <v>34</v>
      </c>
      <c r="AH17" s="99">
        <v>3</v>
      </c>
      <c r="AI17" s="100">
        <f>AH17/$AG17</f>
        <v>8.8235294117647065E-2</v>
      </c>
      <c r="AJ17" s="183" t="s">
        <v>438</v>
      </c>
      <c r="AK17" s="99">
        <v>6</v>
      </c>
      <c r="AL17" s="100">
        <f>AK17/$AG17</f>
        <v>0.17647058823529413</v>
      </c>
      <c r="AM17" s="183" t="s">
        <v>439</v>
      </c>
      <c r="AN17" s="99">
        <v>7</v>
      </c>
      <c r="AO17" s="100">
        <f>AN17/$AG17</f>
        <v>0.20588235294117646</v>
      </c>
      <c r="AP17" s="183" t="s">
        <v>440</v>
      </c>
      <c r="AQ17" s="99">
        <v>13</v>
      </c>
      <c r="AR17" s="100">
        <f t="shared" si="8"/>
        <v>0.38235294117647056</v>
      </c>
      <c r="AS17" s="188" t="s">
        <v>1155</v>
      </c>
      <c r="AT17" s="99">
        <v>15</v>
      </c>
      <c r="AU17" s="100">
        <f t="shared" si="9"/>
        <v>0.44117647058823528</v>
      </c>
      <c r="AV17" s="188" t="s">
        <v>1159</v>
      </c>
      <c r="AW17" s="99">
        <v>15</v>
      </c>
      <c r="AX17" s="100">
        <f t="shared" si="10"/>
        <v>0.44117647058823528</v>
      </c>
      <c r="AY17" s="188" t="s">
        <v>1164</v>
      </c>
      <c r="AZ17" s="13" t="s">
        <v>108</v>
      </c>
      <c r="BA17" s="13" t="s">
        <v>109</v>
      </c>
    </row>
    <row r="18" spans="1:138" s="5" customFormat="1" ht="120" x14ac:dyDescent="0.2">
      <c r="A18" s="351"/>
      <c r="B18" s="351"/>
      <c r="C18" s="351"/>
      <c r="D18" s="351" t="s">
        <v>34</v>
      </c>
      <c r="E18" s="344" t="s">
        <v>422</v>
      </c>
      <c r="F18" s="351"/>
      <c r="G18" s="351"/>
      <c r="H18" s="372"/>
      <c r="I18" s="346"/>
      <c r="J18" s="351"/>
      <c r="K18" s="351"/>
      <c r="L18" s="371"/>
      <c r="M18" s="434"/>
      <c r="N18" s="377"/>
      <c r="O18" s="343"/>
      <c r="P18" s="434"/>
      <c r="Q18" s="377"/>
      <c r="R18" s="343"/>
      <c r="S18" s="434"/>
      <c r="T18" s="377"/>
      <c r="U18" s="343"/>
      <c r="V18" s="434"/>
      <c r="W18" s="377"/>
      <c r="X18" s="343"/>
      <c r="Y18" s="434"/>
      <c r="Z18" s="377"/>
      <c r="AA18" s="343"/>
      <c r="AB18" s="434"/>
      <c r="AC18" s="377"/>
      <c r="AD18" s="343"/>
      <c r="AE18" s="13" t="s">
        <v>417</v>
      </c>
      <c r="AF18" s="13" t="s">
        <v>418</v>
      </c>
      <c r="AG18" s="177">
        <v>0.8</v>
      </c>
      <c r="AH18" s="183">
        <f>1/1</f>
        <v>1</v>
      </c>
      <c r="AI18" s="100">
        <f t="shared" si="4"/>
        <v>0.10375000000000001</v>
      </c>
      <c r="AJ18" s="183" t="s">
        <v>441</v>
      </c>
      <c r="AK18" s="183">
        <f>4/4</f>
        <v>1</v>
      </c>
      <c r="AL18" s="100">
        <f>(AK18/$AG18)*(8.3%*2)</f>
        <v>0.20750000000000002</v>
      </c>
      <c r="AM18" s="183" t="s">
        <v>442</v>
      </c>
      <c r="AN18" s="183">
        <f>7/7</f>
        <v>1</v>
      </c>
      <c r="AO18" s="100">
        <f>(AN18/$AG18)*(8.3%*3)</f>
        <v>0.31125000000000003</v>
      </c>
      <c r="AP18" s="183" t="s">
        <v>443</v>
      </c>
      <c r="AQ18" s="188">
        <f>9/9</f>
        <v>1</v>
      </c>
      <c r="AR18" s="100">
        <f t="shared" si="5"/>
        <v>0.41500000000000004</v>
      </c>
      <c r="AS18" s="188" t="s">
        <v>1156</v>
      </c>
      <c r="AT18" s="188">
        <f>12/12</f>
        <v>1</v>
      </c>
      <c r="AU18" s="100">
        <f t="shared" si="6"/>
        <v>0.51875000000000004</v>
      </c>
      <c r="AV18" s="188" t="s">
        <v>1160</v>
      </c>
      <c r="AW18" s="188">
        <f>13/13</f>
        <v>1</v>
      </c>
      <c r="AX18" s="100">
        <f t="shared" si="7"/>
        <v>0.62250000000000005</v>
      </c>
      <c r="AY18" s="188" t="s">
        <v>1165</v>
      </c>
      <c r="AZ18" s="13" t="s">
        <v>108</v>
      </c>
      <c r="BA18" s="13" t="s">
        <v>109</v>
      </c>
    </row>
    <row r="19" spans="1:138" ht="75" x14ac:dyDescent="0.25">
      <c r="H19" s="372"/>
      <c r="M19" s="71" t="s">
        <v>155</v>
      </c>
      <c r="N19" s="97">
        <f>AVERAGE(N14:N18)</f>
        <v>7.2886473429951693E-2</v>
      </c>
      <c r="P19" s="71" t="s">
        <v>155</v>
      </c>
      <c r="Q19" s="97">
        <f>AVERAGE(Q14:Q18)</f>
        <v>0.17355072463768118</v>
      </c>
      <c r="S19" s="71" t="s">
        <v>155</v>
      </c>
      <c r="T19" s="97">
        <f>AVERAGE(T14:T18)</f>
        <v>0.21865942028985508</v>
      </c>
      <c r="V19" s="71" t="s">
        <v>155</v>
      </c>
      <c r="W19" s="97">
        <f>AVERAGE(W14:W18)</f>
        <v>0.36099033816425119</v>
      </c>
      <c r="Y19" s="71" t="s">
        <v>155</v>
      </c>
      <c r="Z19" s="97">
        <f>AVERAGE(Z14:Z18)</f>
        <v>0.43387681159420288</v>
      </c>
      <c r="AB19" s="71" t="s">
        <v>155</v>
      </c>
      <c r="AC19" s="97">
        <f>AVERAGE(AC14:AC18)</f>
        <v>0.49287439613526568</v>
      </c>
      <c r="AH19" s="71" t="s">
        <v>156</v>
      </c>
      <c r="AI19" s="97">
        <f>AVERAGE(AI14:AI18)</f>
        <v>5.2190162271805271E-2</v>
      </c>
      <c r="AK19" s="71" t="s">
        <v>156</v>
      </c>
      <c r="AL19" s="97">
        <f>AVERAGE(AL14:AL18)</f>
        <v>0.13357072934121175</v>
      </c>
      <c r="AN19" s="71" t="s">
        <v>156</v>
      </c>
      <c r="AO19" s="97">
        <f>AVERAGE(AO14:AO18)</f>
        <v>0.21949562351177354</v>
      </c>
      <c r="AP19" s="9"/>
      <c r="AQ19" s="71" t="s">
        <v>156</v>
      </c>
      <c r="AR19" s="97">
        <f>AVERAGE(AR14:AR18)</f>
        <v>0.30717128334228605</v>
      </c>
      <c r="AT19" s="71" t="s">
        <v>156</v>
      </c>
      <c r="AU19" s="97">
        <f>AVERAGE(AU14:AU18)</f>
        <v>0.36626633541518011</v>
      </c>
      <c r="AW19" s="71" t="s">
        <v>156</v>
      </c>
      <c r="AX19" s="97">
        <f>AVERAGE(AX14:AX18)</f>
        <v>0.41967307522709235</v>
      </c>
      <c r="AY19" s="9"/>
      <c r="AZ19" s="9"/>
      <c r="BA19" s="9"/>
      <c r="EE19"/>
      <c r="EF19"/>
      <c r="EG19"/>
      <c r="EH19"/>
    </row>
    <row r="20" spans="1:138" s="5" customFormat="1" ht="45" customHeight="1" x14ac:dyDescent="0.2">
      <c r="A20" s="351" t="s">
        <v>86</v>
      </c>
      <c r="B20" s="351" t="s">
        <v>291</v>
      </c>
      <c r="C20" s="351" t="s">
        <v>1629</v>
      </c>
      <c r="D20" s="351" t="s">
        <v>34</v>
      </c>
      <c r="E20" s="344" t="s">
        <v>444</v>
      </c>
      <c r="F20" s="351" t="s">
        <v>90</v>
      </c>
      <c r="G20" s="351" t="s">
        <v>293</v>
      </c>
      <c r="H20" s="372"/>
      <c r="I20" s="345">
        <v>1130148428</v>
      </c>
      <c r="J20" s="351" t="s">
        <v>402</v>
      </c>
      <c r="K20" s="431" t="s">
        <v>403</v>
      </c>
      <c r="L20" s="371">
        <v>50</v>
      </c>
      <c r="M20" s="432">
        <v>6</v>
      </c>
      <c r="N20" s="375">
        <f>M20/L20</f>
        <v>0.12</v>
      </c>
      <c r="O20" s="342" t="s">
        <v>445</v>
      </c>
      <c r="P20" s="432">
        <v>10</v>
      </c>
      <c r="Q20" s="375">
        <f>P20/$L20</f>
        <v>0.2</v>
      </c>
      <c r="R20" s="342" t="s">
        <v>446</v>
      </c>
      <c r="S20" s="432">
        <v>14</v>
      </c>
      <c r="T20" s="375">
        <f>S20/$L20</f>
        <v>0.28000000000000003</v>
      </c>
      <c r="U20" s="342" t="s">
        <v>447</v>
      </c>
      <c r="V20" s="432">
        <v>17</v>
      </c>
      <c r="W20" s="375">
        <f>V20/$L20</f>
        <v>0.34</v>
      </c>
      <c r="X20" s="342" t="s">
        <v>1097</v>
      </c>
      <c r="Y20" s="432">
        <v>21</v>
      </c>
      <c r="Z20" s="375">
        <f>Y20/$L20</f>
        <v>0.42</v>
      </c>
      <c r="AA20" s="342" t="s">
        <v>1099</v>
      </c>
      <c r="AB20" s="432">
        <v>23</v>
      </c>
      <c r="AC20" s="375">
        <f>AB20/$L20</f>
        <v>0.46</v>
      </c>
      <c r="AD20" s="342" t="s">
        <v>1100</v>
      </c>
      <c r="AE20" s="13" t="s">
        <v>407</v>
      </c>
      <c r="AF20" s="13" t="s">
        <v>408</v>
      </c>
      <c r="AG20" s="172">
        <v>40</v>
      </c>
      <c r="AH20" s="99">
        <v>1</v>
      </c>
      <c r="AI20" s="100">
        <f t="shared" ref="AI20:AI21" si="11">AH20/$AG20</f>
        <v>2.5000000000000001E-2</v>
      </c>
      <c r="AJ20" s="183" t="s">
        <v>448</v>
      </c>
      <c r="AK20" s="99">
        <v>4</v>
      </c>
      <c r="AL20" s="100">
        <f t="shared" ref="AL20:AL21" si="12">AK20/$AG20</f>
        <v>0.1</v>
      </c>
      <c r="AM20" s="183" t="s">
        <v>449</v>
      </c>
      <c r="AN20" s="99">
        <v>8</v>
      </c>
      <c r="AO20" s="100">
        <f t="shared" ref="AO20:AO21" si="13">AN20/$AG20</f>
        <v>0.2</v>
      </c>
      <c r="AP20" s="183" t="s">
        <v>450</v>
      </c>
      <c r="AQ20" s="99">
        <v>11</v>
      </c>
      <c r="AR20" s="100">
        <f t="shared" ref="AR20:AR21" si="14">(AQ20/$AG20)</f>
        <v>0.27500000000000002</v>
      </c>
      <c r="AS20" s="188" t="s">
        <v>1166</v>
      </c>
      <c r="AT20" s="99">
        <v>13</v>
      </c>
      <c r="AU20" s="100">
        <f t="shared" ref="AU20:AU21" si="15">(AT20/$AG20)</f>
        <v>0.32500000000000001</v>
      </c>
      <c r="AV20" s="188" t="s">
        <v>1171</v>
      </c>
      <c r="AW20" s="99">
        <v>17</v>
      </c>
      <c r="AX20" s="100">
        <f t="shared" ref="AX20:AX21" si="16">(AW20/$AG20)</f>
        <v>0.42499999999999999</v>
      </c>
      <c r="AY20" s="188" t="s">
        <v>1176</v>
      </c>
      <c r="AZ20" s="13" t="s">
        <v>108</v>
      </c>
      <c r="BA20" s="13" t="s">
        <v>109</v>
      </c>
    </row>
    <row r="21" spans="1:138" s="5" customFormat="1" ht="45" customHeight="1" x14ac:dyDescent="0.2">
      <c r="A21" s="351"/>
      <c r="B21" s="351"/>
      <c r="C21" s="351"/>
      <c r="D21" s="351" t="s">
        <v>34</v>
      </c>
      <c r="E21" s="351" t="s">
        <v>444</v>
      </c>
      <c r="F21" s="351"/>
      <c r="G21" s="351"/>
      <c r="H21" s="372"/>
      <c r="I21" s="372"/>
      <c r="J21" s="351"/>
      <c r="K21" s="431"/>
      <c r="L21" s="371"/>
      <c r="M21" s="433"/>
      <c r="N21" s="376"/>
      <c r="O21" s="374"/>
      <c r="P21" s="433"/>
      <c r="Q21" s="376"/>
      <c r="R21" s="374"/>
      <c r="S21" s="433"/>
      <c r="T21" s="376"/>
      <c r="U21" s="374"/>
      <c r="V21" s="433"/>
      <c r="W21" s="376"/>
      <c r="X21" s="374"/>
      <c r="Y21" s="433"/>
      <c r="Z21" s="376"/>
      <c r="AA21" s="374"/>
      <c r="AB21" s="433"/>
      <c r="AC21" s="376"/>
      <c r="AD21" s="374"/>
      <c r="AE21" s="13" t="s">
        <v>412</v>
      </c>
      <c r="AF21" s="13" t="s">
        <v>413</v>
      </c>
      <c r="AG21" s="172">
        <v>45</v>
      </c>
      <c r="AH21" s="99">
        <v>5</v>
      </c>
      <c r="AI21" s="100">
        <f t="shared" si="11"/>
        <v>0.1111111111111111</v>
      </c>
      <c r="AJ21" s="183" t="s">
        <v>451</v>
      </c>
      <c r="AK21" s="99">
        <v>9</v>
      </c>
      <c r="AL21" s="100">
        <f t="shared" si="12"/>
        <v>0.2</v>
      </c>
      <c r="AM21" s="183" t="s">
        <v>452</v>
      </c>
      <c r="AN21" s="99">
        <v>13</v>
      </c>
      <c r="AO21" s="100">
        <f t="shared" si="13"/>
        <v>0.28888888888888886</v>
      </c>
      <c r="AP21" s="183" t="s">
        <v>453</v>
      </c>
      <c r="AQ21" s="99">
        <v>15</v>
      </c>
      <c r="AR21" s="100">
        <f t="shared" si="14"/>
        <v>0.33333333333333331</v>
      </c>
      <c r="AS21" s="188" t="s">
        <v>1167</v>
      </c>
      <c r="AT21" s="99">
        <v>19</v>
      </c>
      <c r="AU21" s="100">
        <f t="shared" si="15"/>
        <v>0.42222222222222222</v>
      </c>
      <c r="AV21" s="188" t="s">
        <v>1172</v>
      </c>
      <c r="AW21" s="99">
        <v>20</v>
      </c>
      <c r="AX21" s="100">
        <f t="shared" si="16"/>
        <v>0.44444444444444442</v>
      </c>
      <c r="AY21" s="188" t="s">
        <v>1177</v>
      </c>
      <c r="AZ21" s="13" t="s">
        <v>108</v>
      </c>
      <c r="BA21" s="13" t="s">
        <v>109</v>
      </c>
    </row>
    <row r="22" spans="1:138" s="5" customFormat="1" ht="45" customHeight="1" x14ac:dyDescent="0.2">
      <c r="A22" s="351"/>
      <c r="B22" s="351"/>
      <c r="C22" s="351"/>
      <c r="D22" s="351" t="s">
        <v>34</v>
      </c>
      <c r="E22" s="351" t="s">
        <v>444</v>
      </c>
      <c r="F22" s="351"/>
      <c r="G22" s="351"/>
      <c r="H22" s="372"/>
      <c r="I22" s="346"/>
      <c r="J22" s="351"/>
      <c r="K22" s="431"/>
      <c r="L22" s="371"/>
      <c r="M22" s="434"/>
      <c r="N22" s="377"/>
      <c r="O22" s="343"/>
      <c r="P22" s="434"/>
      <c r="Q22" s="377"/>
      <c r="R22" s="343"/>
      <c r="S22" s="434"/>
      <c r="T22" s="377"/>
      <c r="U22" s="343"/>
      <c r="V22" s="434"/>
      <c r="W22" s="377"/>
      <c r="X22" s="343"/>
      <c r="Y22" s="434"/>
      <c r="Z22" s="377"/>
      <c r="AA22" s="343"/>
      <c r="AB22" s="434"/>
      <c r="AC22" s="377"/>
      <c r="AD22" s="343"/>
      <c r="AE22" s="13" t="s">
        <v>417</v>
      </c>
      <c r="AF22" s="13" t="s">
        <v>418</v>
      </c>
      <c r="AG22" s="177">
        <v>0.8</v>
      </c>
      <c r="AH22" s="183">
        <f>3/3</f>
        <v>1</v>
      </c>
      <c r="AI22" s="100">
        <f t="shared" ref="AI22:AI24" si="17">(AH22/$AG22)*(8.3%*1)</f>
        <v>0.10375000000000001</v>
      </c>
      <c r="AJ22" s="183" t="s">
        <v>454</v>
      </c>
      <c r="AK22" s="183">
        <f>5/5</f>
        <v>1</v>
      </c>
      <c r="AL22" s="100">
        <f>(AK22/$AG22)*(8.3%*2)</f>
        <v>0.20750000000000002</v>
      </c>
      <c r="AM22" s="183" t="s">
        <v>455</v>
      </c>
      <c r="AN22" s="183">
        <f>8/8</f>
        <v>1</v>
      </c>
      <c r="AO22" s="100">
        <f>(AN22/$AG22)*(8.3%*3)</f>
        <v>0.31125000000000003</v>
      </c>
      <c r="AP22" s="183" t="s">
        <v>456</v>
      </c>
      <c r="AQ22" s="188">
        <f>11/11</f>
        <v>1</v>
      </c>
      <c r="AR22" s="100">
        <f t="shared" si="5"/>
        <v>0.41500000000000004</v>
      </c>
      <c r="AS22" s="188" t="s">
        <v>1168</v>
      </c>
      <c r="AT22" s="188">
        <f>12/12</f>
        <v>1</v>
      </c>
      <c r="AU22" s="100">
        <f t="shared" si="6"/>
        <v>0.51875000000000004</v>
      </c>
      <c r="AV22" s="188" t="s">
        <v>1173</v>
      </c>
      <c r="AW22" s="188">
        <f>13/13</f>
        <v>1</v>
      </c>
      <c r="AX22" s="100">
        <f t="shared" si="7"/>
        <v>0.62250000000000005</v>
      </c>
      <c r="AY22" s="188" t="s">
        <v>1165</v>
      </c>
      <c r="AZ22" s="13" t="s">
        <v>108</v>
      </c>
      <c r="BA22" s="13" t="s">
        <v>109</v>
      </c>
    </row>
    <row r="23" spans="1:138" s="5" customFormat="1" ht="45" customHeight="1" x14ac:dyDescent="0.2">
      <c r="A23" s="351"/>
      <c r="B23" s="351"/>
      <c r="C23" s="351"/>
      <c r="D23" s="351" t="s">
        <v>34</v>
      </c>
      <c r="E23" s="351" t="s">
        <v>444</v>
      </c>
      <c r="F23" s="351"/>
      <c r="G23" s="351"/>
      <c r="H23" s="372"/>
      <c r="I23" s="345">
        <v>1006533430</v>
      </c>
      <c r="J23" s="351" t="s">
        <v>387</v>
      </c>
      <c r="K23" s="431" t="s">
        <v>388</v>
      </c>
      <c r="L23" s="396">
        <v>0.92</v>
      </c>
      <c r="M23" s="342">
        <f>5/5</f>
        <v>1</v>
      </c>
      <c r="N23" s="375">
        <f>(M23/$L23)*(8.3%*1)</f>
        <v>9.0217391304347833E-2</v>
      </c>
      <c r="O23" s="342" t="s">
        <v>457</v>
      </c>
      <c r="P23" s="342">
        <f>9/9</f>
        <v>1</v>
      </c>
      <c r="Q23" s="375">
        <f>(P23/$L23)*(8.3%*2)</f>
        <v>0.18043478260869567</v>
      </c>
      <c r="R23" s="342" t="s">
        <v>458</v>
      </c>
      <c r="S23" s="342">
        <f>12/12</f>
        <v>1</v>
      </c>
      <c r="T23" s="375">
        <f>(S23/$L23)*(8.3%*3)</f>
        <v>0.27065217391304347</v>
      </c>
      <c r="U23" s="342" t="s">
        <v>459</v>
      </c>
      <c r="V23" s="342">
        <f>15/15</f>
        <v>1</v>
      </c>
      <c r="W23" s="375">
        <f>(V23/$L23)*(8.3%*4)</f>
        <v>0.36086956521739133</v>
      </c>
      <c r="X23" s="342" t="s">
        <v>1096</v>
      </c>
      <c r="Y23" s="342">
        <f>17/17</f>
        <v>1</v>
      </c>
      <c r="Z23" s="375">
        <f>(Y23/$L23)*(8.3%*5)</f>
        <v>0.45108695652173914</v>
      </c>
      <c r="AA23" s="342" t="s">
        <v>1098</v>
      </c>
      <c r="AB23" s="342">
        <f>19/19</f>
        <v>1</v>
      </c>
      <c r="AC23" s="375">
        <f>(AB23/$L23)*(8.3%*6)</f>
        <v>0.54130434782608694</v>
      </c>
      <c r="AD23" s="342" t="s">
        <v>1101</v>
      </c>
      <c r="AE23" s="13" t="s">
        <v>392</v>
      </c>
      <c r="AF23" s="13" t="s">
        <v>393</v>
      </c>
      <c r="AG23" s="177">
        <v>0.92</v>
      </c>
      <c r="AH23" s="183">
        <f>1/1</f>
        <v>1</v>
      </c>
      <c r="AI23" s="100">
        <f t="shared" si="17"/>
        <v>9.0217391304347833E-2</v>
      </c>
      <c r="AJ23" s="183" t="s">
        <v>460</v>
      </c>
      <c r="AK23" s="183">
        <f>5/5</f>
        <v>1</v>
      </c>
      <c r="AL23" s="100">
        <f t="shared" ref="AL23:AL24" si="18">(AK23/$AG23)*(8.3%*2)</f>
        <v>0.18043478260869567</v>
      </c>
      <c r="AM23" s="183" t="s">
        <v>461</v>
      </c>
      <c r="AN23" s="183">
        <f>6/6</f>
        <v>1</v>
      </c>
      <c r="AO23" s="100">
        <f t="shared" ref="AO23:AO24" si="19">(AN23/$AG23)*(8.3%*3)</f>
        <v>0.27065217391304347</v>
      </c>
      <c r="AP23" s="183" t="s">
        <v>462</v>
      </c>
      <c r="AQ23" s="188">
        <f>10/10</f>
        <v>1</v>
      </c>
      <c r="AR23" s="100">
        <f>(AQ23/$AG23)*(8.3%*4)</f>
        <v>0.36086956521739133</v>
      </c>
      <c r="AS23" s="188" t="s">
        <v>1169</v>
      </c>
      <c r="AT23" s="188">
        <f>13/13</f>
        <v>1</v>
      </c>
      <c r="AU23" s="100">
        <f>(AT23/$AG23)*(8.3%*5)</f>
        <v>0.45108695652173914</v>
      </c>
      <c r="AV23" s="188" t="s">
        <v>1174</v>
      </c>
      <c r="AW23" s="188">
        <f>16/16</f>
        <v>1</v>
      </c>
      <c r="AX23" s="100">
        <f>(AW23/$AG23)*(8.3%*6)</f>
        <v>0.54130434782608694</v>
      </c>
      <c r="AY23" s="188" t="s">
        <v>1178</v>
      </c>
      <c r="AZ23" s="13" t="s">
        <v>108</v>
      </c>
      <c r="BA23" s="13" t="s">
        <v>109</v>
      </c>
    </row>
    <row r="24" spans="1:138" s="5" customFormat="1" ht="45" customHeight="1" x14ac:dyDescent="0.2">
      <c r="A24" s="351"/>
      <c r="B24" s="351"/>
      <c r="C24" s="351"/>
      <c r="D24" s="351" t="s">
        <v>34</v>
      </c>
      <c r="E24" s="351" t="s">
        <v>444</v>
      </c>
      <c r="F24" s="351"/>
      <c r="G24" s="351"/>
      <c r="H24" s="372"/>
      <c r="I24" s="346"/>
      <c r="J24" s="351"/>
      <c r="K24" s="431"/>
      <c r="L24" s="396"/>
      <c r="M24" s="343"/>
      <c r="N24" s="377"/>
      <c r="O24" s="343"/>
      <c r="P24" s="343"/>
      <c r="Q24" s="377"/>
      <c r="R24" s="343"/>
      <c r="S24" s="343"/>
      <c r="T24" s="377"/>
      <c r="U24" s="343"/>
      <c r="V24" s="343"/>
      <c r="W24" s="377"/>
      <c r="X24" s="343"/>
      <c r="Y24" s="343"/>
      <c r="Z24" s="377"/>
      <c r="AA24" s="343"/>
      <c r="AB24" s="343"/>
      <c r="AC24" s="377"/>
      <c r="AD24" s="343"/>
      <c r="AE24" s="13" t="s">
        <v>397</v>
      </c>
      <c r="AF24" s="13" t="s">
        <v>398</v>
      </c>
      <c r="AG24" s="177">
        <v>0.92</v>
      </c>
      <c r="AH24" s="183">
        <f>2/4</f>
        <v>0.5</v>
      </c>
      <c r="AI24" s="100">
        <f t="shared" si="17"/>
        <v>4.5108695652173916E-2</v>
      </c>
      <c r="AJ24" s="183" t="s">
        <v>463</v>
      </c>
      <c r="AK24" s="183">
        <f>4/8</f>
        <v>0.5</v>
      </c>
      <c r="AL24" s="100">
        <f t="shared" si="18"/>
        <v>9.0217391304347833E-2</v>
      </c>
      <c r="AM24" s="183" t="s">
        <v>464</v>
      </c>
      <c r="AN24" s="183">
        <f>4/11</f>
        <v>0.36363636363636365</v>
      </c>
      <c r="AO24" s="100">
        <f t="shared" si="19"/>
        <v>9.8418972332015811E-2</v>
      </c>
      <c r="AP24" s="183" t="s">
        <v>465</v>
      </c>
      <c r="AQ24" s="188">
        <f>5/14</f>
        <v>0.35714285714285715</v>
      </c>
      <c r="AR24" s="100">
        <f t="shared" si="5"/>
        <v>0.12888198757763977</v>
      </c>
      <c r="AS24" s="188" t="s">
        <v>1170</v>
      </c>
      <c r="AT24" s="188">
        <f>6/16</f>
        <v>0.375</v>
      </c>
      <c r="AU24" s="100">
        <f t="shared" si="6"/>
        <v>0.16915760869565219</v>
      </c>
      <c r="AV24" s="188" t="s">
        <v>1175</v>
      </c>
      <c r="AW24" s="188">
        <f>8/18</f>
        <v>0.44444444444444442</v>
      </c>
      <c r="AX24" s="100">
        <f t="shared" si="7"/>
        <v>0.24057971014492749</v>
      </c>
      <c r="AY24" s="188" t="s">
        <v>1179</v>
      </c>
      <c r="AZ24" s="13" t="s">
        <v>108</v>
      </c>
      <c r="BA24" s="13" t="s">
        <v>109</v>
      </c>
    </row>
    <row r="25" spans="1:138" ht="75" x14ac:dyDescent="0.25">
      <c r="H25" s="372"/>
      <c r="M25" s="71" t="s">
        <v>155</v>
      </c>
      <c r="N25" s="97">
        <f>AVERAGE(N20:N24)</f>
        <v>0.10510869565217391</v>
      </c>
      <c r="P25" s="71" t="s">
        <v>155</v>
      </c>
      <c r="Q25" s="97">
        <f>AVERAGE(Q20:Q24)</f>
        <v>0.19021739130434784</v>
      </c>
      <c r="S25" s="71" t="s">
        <v>155</v>
      </c>
      <c r="T25" s="97">
        <f>AVERAGE(T20:T24)</f>
        <v>0.27532608695652172</v>
      </c>
      <c r="V25" s="71" t="s">
        <v>155</v>
      </c>
      <c r="W25" s="97">
        <f>AVERAGE(W20:W24)</f>
        <v>0.35043478260869565</v>
      </c>
      <c r="Y25" s="71" t="s">
        <v>155</v>
      </c>
      <c r="Z25" s="97">
        <f>AVERAGE(Z20:Z24)</f>
        <v>0.43554347826086959</v>
      </c>
      <c r="AB25" s="71" t="s">
        <v>155</v>
      </c>
      <c r="AC25" s="97">
        <f>AVERAGE(AC20:AC24)</f>
        <v>0.50065217391304351</v>
      </c>
      <c r="AH25" s="71" t="s">
        <v>156</v>
      </c>
      <c r="AI25" s="97">
        <f>AVERAGE(AI20:AI24)</f>
        <v>7.5037439613526574E-2</v>
      </c>
      <c r="AK25" s="71" t="s">
        <v>156</v>
      </c>
      <c r="AL25" s="97">
        <f>AVERAGE(AL20:AL24)</f>
        <v>0.15563043478260868</v>
      </c>
      <c r="AN25" s="71" t="s">
        <v>156</v>
      </c>
      <c r="AO25" s="97">
        <f>AVERAGE(AO20:AO24)</f>
        <v>0.23384200702678964</v>
      </c>
      <c r="AP25" s="9"/>
      <c r="AQ25" s="71" t="s">
        <v>156</v>
      </c>
      <c r="AR25" s="97">
        <f>AVERAGE(AR20:AR24)</f>
        <v>0.30261697722567288</v>
      </c>
      <c r="AT25" s="71" t="s">
        <v>156</v>
      </c>
      <c r="AU25" s="97">
        <f>AVERAGE(AU20:AU24)</f>
        <v>0.3772433574879227</v>
      </c>
      <c r="AW25" s="71" t="s">
        <v>156</v>
      </c>
      <c r="AX25" s="97">
        <f>AVERAGE(AX20:AX24)</f>
        <v>0.45476570048309178</v>
      </c>
      <c r="AY25" s="9"/>
      <c r="AZ25" s="9"/>
      <c r="BA25" s="9"/>
      <c r="EE25"/>
      <c r="EF25"/>
      <c r="EG25"/>
      <c r="EH25"/>
    </row>
    <row r="26" spans="1:138" s="5" customFormat="1" ht="45" customHeight="1" x14ac:dyDescent="0.2">
      <c r="A26" s="351" t="s">
        <v>86</v>
      </c>
      <c r="B26" s="351" t="s">
        <v>291</v>
      </c>
      <c r="C26" s="351" t="s">
        <v>1629</v>
      </c>
      <c r="D26" s="351" t="s">
        <v>34</v>
      </c>
      <c r="E26" s="371" t="s">
        <v>466</v>
      </c>
      <c r="F26" s="351" t="s">
        <v>90</v>
      </c>
      <c r="G26" s="351" t="s">
        <v>293</v>
      </c>
      <c r="H26" s="372"/>
      <c r="I26" s="345">
        <v>950337912</v>
      </c>
      <c r="J26" s="351" t="s">
        <v>387</v>
      </c>
      <c r="K26" s="351" t="s">
        <v>388</v>
      </c>
      <c r="L26" s="396">
        <v>0.92</v>
      </c>
      <c r="M26" s="342">
        <v>0</v>
      </c>
      <c r="N26" s="375">
        <f>(M26/$L26)*(8.3%*1)</f>
        <v>0</v>
      </c>
      <c r="O26" s="342" t="s">
        <v>467</v>
      </c>
      <c r="P26" s="342">
        <f>1/2</f>
        <v>0.5</v>
      </c>
      <c r="Q26" s="375">
        <f>(P26/$L26)*(8.3%*2)</f>
        <v>9.0217391304347833E-2</v>
      </c>
      <c r="R26" s="342" t="s">
        <v>468</v>
      </c>
      <c r="S26" s="342">
        <f>1/2</f>
        <v>0.5</v>
      </c>
      <c r="T26" s="375">
        <f>(S26/$L26)*(8.3%*3)</f>
        <v>0.13532608695652174</v>
      </c>
      <c r="U26" s="342" t="s">
        <v>469</v>
      </c>
      <c r="V26" s="342">
        <f>1/2</f>
        <v>0.5</v>
      </c>
      <c r="W26" s="375">
        <f>(V26/$L26)*(8.3%*4)</f>
        <v>0.18043478260869567</v>
      </c>
      <c r="X26" s="342" t="s">
        <v>1103</v>
      </c>
      <c r="Y26" s="342">
        <f>1/2</f>
        <v>0.5</v>
      </c>
      <c r="Z26" s="375">
        <f>(Y26/$L26)*(8.3%*5)</f>
        <v>0.22554347826086957</v>
      </c>
      <c r="AA26" s="342" t="s">
        <v>1105</v>
      </c>
      <c r="AB26" s="342">
        <f>1/2</f>
        <v>0.5</v>
      </c>
      <c r="AC26" s="375">
        <f>(AB26/$L26)*(8.3%*6)</f>
        <v>0.27065217391304347</v>
      </c>
      <c r="AD26" s="342" t="s">
        <v>1103</v>
      </c>
      <c r="AE26" s="13" t="s">
        <v>392</v>
      </c>
      <c r="AF26" s="13" t="s">
        <v>393</v>
      </c>
      <c r="AG26" s="177">
        <v>0.92</v>
      </c>
      <c r="AH26" s="183">
        <v>0</v>
      </c>
      <c r="AI26" s="100">
        <f>(AH26/$AG26)*(8.3%*1)</f>
        <v>0</v>
      </c>
      <c r="AJ26" s="183" t="s">
        <v>470</v>
      </c>
      <c r="AK26" s="183">
        <v>0</v>
      </c>
      <c r="AL26" s="100"/>
      <c r="AM26" s="183" t="s">
        <v>471</v>
      </c>
      <c r="AN26" s="183">
        <v>0</v>
      </c>
      <c r="AO26" s="100"/>
      <c r="AP26" s="183" t="s">
        <v>472</v>
      </c>
      <c r="AQ26" s="188">
        <v>0</v>
      </c>
      <c r="AR26" s="100">
        <f>(AQ26/$AG26)*(8.3%*4)</f>
        <v>0</v>
      </c>
      <c r="AS26" s="188" t="s">
        <v>1180</v>
      </c>
      <c r="AT26" s="188">
        <v>0</v>
      </c>
      <c r="AU26" s="100">
        <f>(AT26/$AG26)*(8.3%*5)</f>
        <v>0</v>
      </c>
      <c r="AV26" s="188" t="s">
        <v>1185</v>
      </c>
      <c r="AW26" s="188">
        <f>1/1</f>
        <v>1</v>
      </c>
      <c r="AX26" s="102">
        <f>(AW26/$AG26)*(8.3%*6)</f>
        <v>0.54130434782608694</v>
      </c>
      <c r="AY26" s="188" t="s">
        <v>1190</v>
      </c>
      <c r="AZ26" s="13" t="s">
        <v>108</v>
      </c>
      <c r="BA26" s="13" t="s">
        <v>109</v>
      </c>
    </row>
    <row r="27" spans="1:138" s="5" customFormat="1" ht="45" customHeight="1" x14ac:dyDescent="0.2">
      <c r="A27" s="351"/>
      <c r="B27" s="351"/>
      <c r="C27" s="351"/>
      <c r="D27" s="351" t="s">
        <v>34</v>
      </c>
      <c r="E27" s="371" t="s">
        <v>466</v>
      </c>
      <c r="F27" s="351"/>
      <c r="G27" s="351"/>
      <c r="H27" s="372"/>
      <c r="I27" s="346"/>
      <c r="J27" s="351"/>
      <c r="K27" s="351"/>
      <c r="L27" s="396"/>
      <c r="M27" s="343"/>
      <c r="N27" s="377"/>
      <c r="O27" s="343"/>
      <c r="P27" s="343"/>
      <c r="Q27" s="377"/>
      <c r="R27" s="343"/>
      <c r="S27" s="343"/>
      <c r="T27" s="377"/>
      <c r="U27" s="343"/>
      <c r="V27" s="343"/>
      <c r="W27" s="377"/>
      <c r="X27" s="343"/>
      <c r="Y27" s="343"/>
      <c r="Z27" s="377"/>
      <c r="AA27" s="343"/>
      <c r="AB27" s="343"/>
      <c r="AC27" s="377"/>
      <c r="AD27" s="343"/>
      <c r="AE27" s="13" t="s">
        <v>397</v>
      </c>
      <c r="AF27" s="13" t="s">
        <v>398</v>
      </c>
      <c r="AG27" s="177">
        <v>0.92</v>
      </c>
      <c r="AH27" s="183">
        <v>0</v>
      </c>
      <c r="AI27" s="100">
        <f t="shared" ref="AI27:AI30" si="20">(AH27/$AG27)*(8.3%*1)</f>
        <v>0</v>
      </c>
      <c r="AJ27" s="183" t="s">
        <v>473</v>
      </c>
      <c r="AK27" s="183">
        <v>0</v>
      </c>
      <c r="AL27" s="100">
        <f>(AK27/$AG27)*(8.3%*2)</f>
        <v>0</v>
      </c>
      <c r="AM27" s="183" t="s">
        <v>474</v>
      </c>
      <c r="AN27" s="183">
        <f>0/1</f>
        <v>0</v>
      </c>
      <c r="AO27" s="100">
        <f>(AN27/$AG27)*(8.3%*3)</f>
        <v>0</v>
      </c>
      <c r="AP27" s="183" t="s">
        <v>475</v>
      </c>
      <c r="AQ27" s="188">
        <v>0</v>
      </c>
      <c r="AR27" s="100">
        <f t="shared" ref="AR27:AR30" si="21">(AQ27/$AG27)*(8.3%*4)</f>
        <v>0</v>
      </c>
      <c r="AS27" s="188" t="s">
        <v>1181</v>
      </c>
      <c r="AT27" s="188">
        <v>0</v>
      </c>
      <c r="AU27" s="100">
        <f t="shared" ref="AU27:AU30" si="22">(AT27/$AG27)*(8.3%*5)</f>
        <v>0</v>
      </c>
      <c r="AV27" s="188" t="s">
        <v>1186</v>
      </c>
      <c r="AW27" s="188">
        <f>0/1</f>
        <v>0</v>
      </c>
      <c r="AX27" s="100">
        <f t="shared" ref="AX27:AX30" si="23">(AW27/$AG27)*(8.3%*6)</f>
        <v>0</v>
      </c>
      <c r="AY27" s="188" t="s">
        <v>1191</v>
      </c>
      <c r="AZ27" s="13" t="s">
        <v>108</v>
      </c>
      <c r="BA27" s="13" t="s">
        <v>109</v>
      </c>
    </row>
    <row r="28" spans="1:138" s="5" customFormat="1" ht="144" x14ac:dyDescent="0.2">
      <c r="A28" s="351"/>
      <c r="B28" s="351"/>
      <c r="C28" s="351"/>
      <c r="D28" s="351" t="s">
        <v>34</v>
      </c>
      <c r="E28" s="371" t="s">
        <v>466</v>
      </c>
      <c r="F28" s="351"/>
      <c r="G28" s="351"/>
      <c r="H28" s="372"/>
      <c r="I28" s="345">
        <v>896500841</v>
      </c>
      <c r="J28" s="351" t="s">
        <v>402</v>
      </c>
      <c r="K28" s="351" t="s">
        <v>403</v>
      </c>
      <c r="L28" s="371">
        <v>16</v>
      </c>
      <c r="M28" s="432">
        <v>0</v>
      </c>
      <c r="N28" s="375">
        <f>M28/$L28</f>
        <v>0</v>
      </c>
      <c r="O28" s="342" t="s">
        <v>476</v>
      </c>
      <c r="P28" s="432">
        <v>2</v>
      </c>
      <c r="Q28" s="375">
        <f>P28/$L28</f>
        <v>0.125</v>
      </c>
      <c r="R28" s="342" t="s">
        <v>477</v>
      </c>
      <c r="S28" s="432">
        <v>6</v>
      </c>
      <c r="T28" s="375">
        <f>S28/$L28</f>
        <v>0.375</v>
      </c>
      <c r="U28" s="342" t="s">
        <v>478</v>
      </c>
      <c r="V28" s="432">
        <v>9</v>
      </c>
      <c r="W28" s="375">
        <f>V28/$L28</f>
        <v>0.5625</v>
      </c>
      <c r="X28" s="342" t="s">
        <v>1104</v>
      </c>
      <c r="Y28" s="432">
        <v>11</v>
      </c>
      <c r="Z28" s="375">
        <f>Y28/$L28</f>
        <v>0.6875</v>
      </c>
      <c r="AA28" s="422" t="s">
        <v>1106</v>
      </c>
      <c r="AB28" s="432">
        <v>12</v>
      </c>
      <c r="AC28" s="375">
        <f>AB28/$L28</f>
        <v>0.75</v>
      </c>
      <c r="AD28" s="342" t="s">
        <v>1102</v>
      </c>
      <c r="AE28" s="13" t="s">
        <v>407</v>
      </c>
      <c r="AF28" s="13" t="s">
        <v>408</v>
      </c>
      <c r="AG28" s="172">
        <v>14</v>
      </c>
      <c r="AH28" s="99">
        <v>1</v>
      </c>
      <c r="AI28" s="100">
        <f>AH28/$AG28</f>
        <v>7.1428571428571425E-2</v>
      </c>
      <c r="AJ28" s="99" t="s">
        <v>479</v>
      </c>
      <c r="AK28" s="99">
        <v>3</v>
      </c>
      <c r="AL28" s="100">
        <f>AK28/$AG28</f>
        <v>0.21428571428571427</v>
      </c>
      <c r="AM28" s="183" t="s">
        <v>480</v>
      </c>
      <c r="AN28" s="99">
        <v>4</v>
      </c>
      <c r="AO28" s="100">
        <f>AN28/$AG28</f>
        <v>0.2857142857142857</v>
      </c>
      <c r="AP28" s="183" t="s">
        <v>481</v>
      </c>
      <c r="AQ28" s="99">
        <v>5</v>
      </c>
      <c r="AR28" s="100">
        <f t="shared" ref="AR28:AR29" si="24">(AQ28/$AG28)</f>
        <v>0.35714285714285715</v>
      </c>
      <c r="AS28" s="99" t="s">
        <v>1182</v>
      </c>
      <c r="AT28" s="99">
        <v>5</v>
      </c>
      <c r="AU28" s="100">
        <f t="shared" ref="AU28:AU29" si="25">(AT28/$AG28)</f>
        <v>0.35714285714285715</v>
      </c>
      <c r="AV28" s="188" t="s">
        <v>1187</v>
      </c>
      <c r="AW28" s="99">
        <v>8</v>
      </c>
      <c r="AX28" s="100">
        <f t="shared" ref="AX28:AX29" si="26">(AW28/$AG28)</f>
        <v>0.5714285714285714</v>
      </c>
      <c r="AY28" s="188" t="s">
        <v>1192</v>
      </c>
      <c r="AZ28" s="13" t="s">
        <v>108</v>
      </c>
      <c r="BA28" s="13" t="s">
        <v>109</v>
      </c>
    </row>
    <row r="29" spans="1:138" s="5" customFormat="1" ht="45" customHeight="1" x14ac:dyDescent="0.2">
      <c r="A29" s="351"/>
      <c r="B29" s="351"/>
      <c r="C29" s="351"/>
      <c r="D29" s="351" t="s">
        <v>34</v>
      </c>
      <c r="E29" s="371" t="s">
        <v>466</v>
      </c>
      <c r="F29" s="351"/>
      <c r="G29" s="351"/>
      <c r="H29" s="372"/>
      <c r="I29" s="372"/>
      <c r="J29" s="351"/>
      <c r="K29" s="351"/>
      <c r="L29" s="371"/>
      <c r="M29" s="433"/>
      <c r="N29" s="376"/>
      <c r="O29" s="374"/>
      <c r="P29" s="433"/>
      <c r="Q29" s="376"/>
      <c r="R29" s="374"/>
      <c r="S29" s="433"/>
      <c r="T29" s="376"/>
      <c r="U29" s="374"/>
      <c r="V29" s="433"/>
      <c r="W29" s="376"/>
      <c r="X29" s="374"/>
      <c r="Y29" s="433"/>
      <c r="Z29" s="376"/>
      <c r="AA29" s="423"/>
      <c r="AB29" s="433"/>
      <c r="AC29" s="376"/>
      <c r="AD29" s="374"/>
      <c r="AE29" s="13" t="s">
        <v>412</v>
      </c>
      <c r="AF29" s="13" t="s">
        <v>413</v>
      </c>
      <c r="AG29" s="172">
        <v>18</v>
      </c>
      <c r="AH29" s="99">
        <v>0</v>
      </c>
      <c r="AI29" s="100">
        <f>AH29/$AG29</f>
        <v>0</v>
      </c>
      <c r="AJ29" s="99" t="s">
        <v>473</v>
      </c>
      <c r="AK29" s="99">
        <v>4</v>
      </c>
      <c r="AL29" s="100">
        <f>AK29/$AG29</f>
        <v>0.22222222222222221</v>
      </c>
      <c r="AM29" s="183" t="s">
        <v>482</v>
      </c>
      <c r="AN29" s="99">
        <v>6</v>
      </c>
      <c r="AO29" s="100">
        <f>AN29/$AG29</f>
        <v>0.33333333333333331</v>
      </c>
      <c r="AP29" s="183" t="s">
        <v>483</v>
      </c>
      <c r="AQ29" s="99">
        <v>8</v>
      </c>
      <c r="AR29" s="100">
        <f t="shared" si="24"/>
        <v>0.44444444444444442</v>
      </c>
      <c r="AS29" s="99" t="s">
        <v>1183</v>
      </c>
      <c r="AT29" s="99">
        <v>10</v>
      </c>
      <c r="AU29" s="100">
        <f t="shared" si="25"/>
        <v>0.55555555555555558</v>
      </c>
      <c r="AV29" s="188" t="s">
        <v>1188</v>
      </c>
      <c r="AW29" s="99">
        <v>11</v>
      </c>
      <c r="AX29" s="100">
        <f t="shared" si="26"/>
        <v>0.61111111111111116</v>
      </c>
      <c r="AY29" s="188" t="s">
        <v>1193</v>
      </c>
      <c r="AZ29" s="13" t="s">
        <v>108</v>
      </c>
      <c r="BA29" s="13" t="s">
        <v>109</v>
      </c>
    </row>
    <row r="30" spans="1:138" s="5" customFormat="1" ht="84" x14ac:dyDescent="0.2">
      <c r="A30" s="351"/>
      <c r="B30" s="351"/>
      <c r="C30" s="351"/>
      <c r="D30" s="351" t="s">
        <v>34</v>
      </c>
      <c r="E30" s="371" t="s">
        <v>466</v>
      </c>
      <c r="F30" s="351"/>
      <c r="G30" s="351"/>
      <c r="H30" s="372"/>
      <c r="I30" s="346"/>
      <c r="J30" s="351"/>
      <c r="K30" s="351"/>
      <c r="L30" s="371"/>
      <c r="M30" s="434"/>
      <c r="N30" s="377"/>
      <c r="O30" s="343"/>
      <c r="P30" s="434"/>
      <c r="Q30" s="377"/>
      <c r="R30" s="343"/>
      <c r="S30" s="434"/>
      <c r="T30" s="377"/>
      <c r="U30" s="343"/>
      <c r="V30" s="434"/>
      <c r="W30" s="377"/>
      <c r="X30" s="343"/>
      <c r="Y30" s="434"/>
      <c r="Z30" s="377"/>
      <c r="AA30" s="424"/>
      <c r="AB30" s="434"/>
      <c r="AC30" s="377"/>
      <c r="AD30" s="343"/>
      <c r="AE30" s="13" t="s">
        <v>417</v>
      </c>
      <c r="AF30" s="13" t="s">
        <v>418</v>
      </c>
      <c r="AG30" s="177">
        <v>0.8</v>
      </c>
      <c r="AH30" s="183">
        <v>0</v>
      </c>
      <c r="AI30" s="100">
        <f t="shared" si="20"/>
        <v>0</v>
      </c>
      <c r="AJ30" s="183" t="s">
        <v>484</v>
      </c>
      <c r="AK30" s="183">
        <f>1/1</f>
        <v>1</v>
      </c>
      <c r="AL30" s="100">
        <f>(AK30/$AG30)*(8.3%*2)</f>
        <v>0.20750000000000002</v>
      </c>
      <c r="AM30" s="183" t="s">
        <v>485</v>
      </c>
      <c r="AN30" s="183">
        <f>1/1</f>
        <v>1</v>
      </c>
      <c r="AO30" s="100">
        <f>(AN30/$AG30)*(8.3%*3)</f>
        <v>0.31125000000000003</v>
      </c>
      <c r="AP30" s="183" t="s">
        <v>486</v>
      </c>
      <c r="AQ30" s="188">
        <f>2/2</f>
        <v>1</v>
      </c>
      <c r="AR30" s="100">
        <f t="shared" si="21"/>
        <v>0.41500000000000004</v>
      </c>
      <c r="AS30" s="188" t="s">
        <v>1184</v>
      </c>
      <c r="AT30" s="188">
        <f>2/2</f>
        <v>1</v>
      </c>
      <c r="AU30" s="100">
        <f t="shared" si="22"/>
        <v>0.51875000000000004</v>
      </c>
      <c r="AV30" s="188" t="s">
        <v>1189</v>
      </c>
      <c r="AW30" s="188">
        <f>3/3</f>
        <v>1</v>
      </c>
      <c r="AX30" s="100">
        <f t="shared" si="23"/>
        <v>0.62250000000000005</v>
      </c>
      <c r="AY30" s="188" t="s">
        <v>1194</v>
      </c>
      <c r="AZ30" s="13" t="s">
        <v>108</v>
      </c>
      <c r="BA30" s="13" t="s">
        <v>109</v>
      </c>
    </row>
    <row r="31" spans="1:138" ht="75" x14ac:dyDescent="0.25">
      <c r="H31" s="372"/>
      <c r="M31" s="71" t="s">
        <v>155</v>
      </c>
      <c r="N31" s="97">
        <f>AVERAGE(N26:N30)</f>
        <v>0</v>
      </c>
      <c r="P31" s="71" t="s">
        <v>155</v>
      </c>
      <c r="Q31" s="97">
        <f>AVERAGE(Q26:Q30)</f>
        <v>0.10760869565217392</v>
      </c>
      <c r="S31" s="71" t="s">
        <v>155</v>
      </c>
      <c r="T31" s="97">
        <f>AVERAGE(T26:T30)</f>
        <v>0.25516304347826085</v>
      </c>
      <c r="V31" s="71" t="s">
        <v>155</v>
      </c>
      <c r="W31" s="97">
        <f>AVERAGE(W26:W30)</f>
        <v>0.3714673913043478</v>
      </c>
      <c r="Y31" s="71" t="s">
        <v>155</v>
      </c>
      <c r="Z31" s="97">
        <f>AVERAGE(Z26:Z30)</f>
        <v>0.45652173913043481</v>
      </c>
      <c r="AB31" s="71" t="s">
        <v>155</v>
      </c>
      <c r="AC31" s="97">
        <f>AVERAGE(AC26:AC30)</f>
        <v>0.51032608695652171</v>
      </c>
      <c r="AH31" s="71" t="s">
        <v>156</v>
      </c>
      <c r="AI31" s="97">
        <f>AVERAGE(AI26:AI30)</f>
        <v>1.4285714285714285E-2</v>
      </c>
      <c r="AK31" s="71" t="s">
        <v>156</v>
      </c>
      <c r="AL31" s="97">
        <f>AVERAGE(AL26:AL30)</f>
        <v>0.16100198412698413</v>
      </c>
      <c r="AN31" s="71" t="s">
        <v>156</v>
      </c>
      <c r="AO31" s="97">
        <f>AVERAGE(AO26:AO30)</f>
        <v>0.23257440476190477</v>
      </c>
      <c r="AP31" s="9"/>
      <c r="AQ31" s="71" t="s">
        <v>156</v>
      </c>
      <c r="AR31" s="97">
        <f>AVERAGE(AR27:AR30)</f>
        <v>0.30414682539682542</v>
      </c>
      <c r="AT31" s="71" t="s">
        <v>156</v>
      </c>
      <c r="AU31" s="97">
        <f>AVERAGE(AU27:AU30)</f>
        <v>0.35786210317460321</v>
      </c>
      <c r="AW31" s="71" t="s">
        <v>156</v>
      </c>
      <c r="AX31" s="97">
        <f>AVERAGE(AX26:AX30)</f>
        <v>0.46926880607315391</v>
      </c>
      <c r="AY31" s="9"/>
      <c r="AZ31" s="9"/>
      <c r="BA31" s="9"/>
      <c r="EE31"/>
      <c r="EF31"/>
      <c r="EG31"/>
      <c r="EH31"/>
    </row>
    <row r="32" spans="1:138" s="5" customFormat="1" ht="45" customHeight="1" x14ac:dyDescent="0.2">
      <c r="A32" s="351" t="s">
        <v>86</v>
      </c>
      <c r="B32" s="351" t="s">
        <v>291</v>
      </c>
      <c r="C32" s="351" t="s">
        <v>1629</v>
      </c>
      <c r="D32" s="351" t="s">
        <v>34</v>
      </c>
      <c r="E32" s="371" t="s">
        <v>487</v>
      </c>
      <c r="F32" s="351" t="s">
        <v>90</v>
      </c>
      <c r="G32" s="351" t="s">
        <v>293</v>
      </c>
      <c r="H32" s="372"/>
      <c r="I32" s="345">
        <v>760976565</v>
      </c>
      <c r="J32" s="351" t="s">
        <v>387</v>
      </c>
      <c r="K32" s="351" t="s">
        <v>388</v>
      </c>
      <c r="L32" s="396">
        <v>0.92</v>
      </c>
      <c r="M32" s="342">
        <f>1/2</f>
        <v>0.5</v>
      </c>
      <c r="N32" s="375">
        <f>(M32/$L32)*(8.3%*1)</f>
        <v>4.5108695652173916E-2</v>
      </c>
      <c r="O32" s="342" t="s">
        <v>488</v>
      </c>
      <c r="P32" s="342">
        <f>4/5</f>
        <v>0.8</v>
      </c>
      <c r="Q32" s="375">
        <f>(P32/$L32)*(8.3%*2)</f>
        <v>0.14434782608695654</v>
      </c>
      <c r="R32" s="342" t="s">
        <v>489</v>
      </c>
      <c r="S32" s="342">
        <f>7/8</f>
        <v>0.875</v>
      </c>
      <c r="T32" s="375">
        <f>(S32/$L32)*(8.3%*3)</f>
        <v>0.23682065217391304</v>
      </c>
      <c r="U32" s="342" t="s">
        <v>490</v>
      </c>
      <c r="V32" s="342">
        <f>8/9</f>
        <v>0.88888888888888884</v>
      </c>
      <c r="W32" s="375">
        <f>(V32/$L32)*(8.3%*4)</f>
        <v>0.32077294685990337</v>
      </c>
      <c r="X32" s="342" t="s">
        <v>1112</v>
      </c>
      <c r="Y32" s="342">
        <f>8/9</f>
        <v>0.88888888888888884</v>
      </c>
      <c r="Z32" s="375">
        <f>(Y32/$L32)*(8.3%*5)</f>
        <v>0.40096618357487918</v>
      </c>
      <c r="AA32" s="342" t="s">
        <v>1109</v>
      </c>
      <c r="AB32" s="342">
        <f>10/11</f>
        <v>0.90909090909090906</v>
      </c>
      <c r="AC32" s="375">
        <f>(AB32/$L32)*(8.3%*6)</f>
        <v>0.49209486166007904</v>
      </c>
      <c r="AD32" s="342" t="s">
        <v>1108</v>
      </c>
      <c r="AE32" s="13" t="s">
        <v>392</v>
      </c>
      <c r="AF32" s="13" t="s">
        <v>393</v>
      </c>
      <c r="AG32" s="177">
        <v>0.92</v>
      </c>
      <c r="AH32" s="183">
        <v>0</v>
      </c>
      <c r="AI32" s="100">
        <f>(AH32/$AG32)*(8.3%*1)</f>
        <v>0</v>
      </c>
      <c r="AJ32" s="183" t="s">
        <v>491</v>
      </c>
      <c r="AK32" s="183">
        <v>0</v>
      </c>
      <c r="AL32" s="100"/>
      <c r="AM32" s="183" t="s">
        <v>492</v>
      </c>
      <c r="AN32" s="183">
        <f>4/4</f>
        <v>1</v>
      </c>
      <c r="AO32" s="100">
        <f>(AN32/$AG32)*(8.3%*3)</f>
        <v>0.27065217391304347</v>
      </c>
      <c r="AP32" s="183" t="s">
        <v>493</v>
      </c>
      <c r="AQ32" s="188">
        <f>4/4</f>
        <v>1</v>
      </c>
      <c r="AR32" s="100">
        <f>(AQ32/$AG32)*(8.3%*4)</f>
        <v>0.36086956521739133</v>
      </c>
      <c r="AS32" s="188" t="s">
        <v>1198</v>
      </c>
      <c r="AT32" s="188">
        <f>5/5</f>
        <v>1</v>
      </c>
      <c r="AU32" s="100">
        <f>(AT32/$AG32)*(8.3%*5)</f>
        <v>0.45108695652173914</v>
      </c>
      <c r="AV32" s="188" t="s">
        <v>1203</v>
      </c>
      <c r="AW32" s="188">
        <f>6/6</f>
        <v>1</v>
      </c>
      <c r="AX32" s="100">
        <f>(AW32/$AG32)*(8.3%*6)</f>
        <v>0.54130434782608694</v>
      </c>
      <c r="AY32" s="188" t="s">
        <v>1198</v>
      </c>
      <c r="AZ32" s="13" t="s">
        <v>108</v>
      </c>
      <c r="BA32" s="13" t="s">
        <v>109</v>
      </c>
    </row>
    <row r="33" spans="1:138" s="5" customFormat="1" ht="45" customHeight="1" x14ac:dyDescent="0.2">
      <c r="A33" s="351"/>
      <c r="B33" s="351"/>
      <c r="C33" s="351"/>
      <c r="D33" s="351"/>
      <c r="E33" s="371"/>
      <c r="F33" s="351"/>
      <c r="G33" s="351"/>
      <c r="H33" s="372"/>
      <c r="I33" s="346"/>
      <c r="J33" s="351"/>
      <c r="K33" s="351"/>
      <c r="L33" s="396"/>
      <c r="M33" s="343"/>
      <c r="N33" s="377"/>
      <c r="O33" s="343"/>
      <c r="P33" s="343"/>
      <c r="Q33" s="377"/>
      <c r="R33" s="343"/>
      <c r="S33" s="343"/>
      <c r="T33" s="377"/>
      <c r="U33" s="343"/>
      <c r="V33" s="343"/>
      <c r="W33" s="377"/>
      <c r="X33" s="343"/>
      <c r="Y33" s="343"/>
      <c r="Z33" s="377"/>
      <c r="AA33" s="343"/>
      <c r="AB33" s="343"/>
      <c r="AC33" s="377"/>
      <c r="AD33" s="343"/>
      <c r="AE33" s="13" t="s">
        <v>397</v>
      </c>
      <c r="AF33" s="13" t="s">
        <v>398</v>
      </c>
      <c r="AG33" s="177">
        <v>0.92</v>
      </c>
      <c r="AH33" s="183">
        <f>1/1</f>
        <v>1</v>
      </c>
      <c r="AI33" s="100">
        <f t="shared" ref="AI33:AI36" si="27">(AH33/$AG33)*(8.3%*1)</f>
        <v>9.0217391304347833E-2</v>
      </c>
      <c r="AJ33" s="183" t="s">
        <v>494</v>
      </c>
      <c r="AK33" s="183">
        <f>4/4</f>
        <v>1</v>
      </c>
      <c r="AL33" s="100">
        <f>(AK33/$AG33)*(8.3%*2)</f>
        <v>0.18043478260869567</v>
      </c>
      <c r="AM33" s="183" t="s">
        <v>495</v>
      </c>
      <c r="AN33" s="183">
        <f>5/5</f>
        <v>1</v>
      </c>
      <c r="AO33" s="100">
        <f>(AN33/$AG33)*(8.3%*3)</f>
        <v>0.27065217391304347</v>
      </c>
      <c r="AP33" s="183" t="s">
        <v>496</v>
      </c>
      <c r="AQ33" s="188">
        <f>5/5</f>
        <v>1</v>
      </c>
      <c r="AR33" s="100">
        <f t="shared" ref="AR33:AR36" si="28">(AQ33/$AG33)*(8.3%*4)</f>
        <v>0.36086956521739133</v>
      </c>
      <c r="AS33" s="188" t="s">
        <v>1199</v>
      </c>
      <c r="AT33" s="188">
        <f>5/5</f>
        <v>1</v>
      </c>
      <c r="AU33" s="100">
        <f t="shared" ref="AU33:AU36" si="29">(AT33/$AG33)*(8.3%*5)</f>
        <v>0.45108695652173914</v>
      </c>
      <c r="AV33" s="188" t="s">
        <v>1204</v>
      </c>
      <c r="AW33" s="188">
        <f>9/9</f>
        <v>1</v>
      </c>
      <c r="AX33" s="100">
        <f t="shared" ref="AX33:AX36" si="30">(AW33/$AG33)*(8.3%*6)</f>
        <v>0.54130434782608694</v>
      </c>
      <c r="AY33" s="188" t="s">
        <v>1199</v>
      </c>
      <c r="AZ33" s="13" t="s">
        <v>108</v>
      </c>
      <c r="BA33" s="13" t="s">
        <v>109</v>
      </c>
    </row>
    <row r="34" spans="1:138" s="5" customFormat="1" ht="45" customHeight="1" x14ac:dyDescent="0.2">
      <c r="A34" s="351"/>
      <c r="B34" s="351"/>
      <c r="C34" s="351"/>
      <c r="D34" s="351"/>
      <c r="E34" s="371"/>
      <c r="F34" s="351"/>
      <c r="G34" s="351"/>
      <c r="H34" s="372"/>
      <c r="I34" s="345">
        <v>437049490</v>
      </c>
      <c r="J34" s="351" t="s">
        <v>402</v>
      </c>
      <c r="K34" s="351" t="s">
        <v>403</v>
      </c>
      <c r="L34" s="371">
        <v>265</v>
      </c>
      <c r="M34" s="432">
        <v>5</v>
      </c>
      <c r="N34" s="375">
        <f>M34/$L34</f>
        <v>1.8867924528301886E-2</v>
      </c>
      <c r="O34" s="342" t="s">
        <v>497</v>
      </c>
      <c r="P34" s="432">
        <v>45</v>
      </c>
      <c r="Q34" s="375">
        <f>P34/$L34</f>
        <v>0.16981132075471697</v>
      </c>
      <c r="R34" s="342" t="s">
        <v>498</v>
      </c>
      <c r="S34" s="432">
        <v>56</v>
      </c>
      <c r="T34" s="375">
        <f>S34/$L34</f>
        <v>0.21132075471698114</v>
      </c>
      <c r="U34" s="342" t="s">
        <v>499</v>
      </c>
      <c r="V34" s="432">
        <v>68</v>
      </c>
      <c r="W34" s="375">
        <f>V34/$L34</f>
        <v>0.25660377358490566</v>
      </c>
      <c r="X34" s="342" t="s">
        <v>1111</v>
      </c>
      <c r="Y34" s="432">
        <v>85</v>
      </c>
      <c r="Z34" s="375">
        <f>Y34/$L34</f>
        <v>0.32075471698113206</v>
      </c>
      <c r="AA34" s="342" t="s">
        <v>1110</v>
      </c>
      <c r="AB34" s="432">
        <v>100</v>
      </c>
      <c r="AC34" s="375">
        <f>AB34/$L34</f>
        <v>0.37735849056603776</v>
      </c>
      <c r="AD34" s="342" t="s">
        <v>1107</v>
      </c>
      <c r="AE34" s="13" t="s">
        <v>407</v>
      </c>
      <c r="AF34" s="13" t="s">
        <v>408</v>
      </c>
      <c r="AG34" s="172">
        <v>6</v>
      </c>
      <c r="AH34" s="99">
        <v>0</v>
      </c>
      <c r="AI34" s="100">
        <f>AH34/$AG34</f>
        <v>0</v>
      </c>
      <c r="AJ34" s="183" t="s">
        <v>500</v>
      </c>
      <c r="AK34" s="99">
        <v>4</v>
      </c>
      <c r="AL34" s="100">
        <f>AK34/$AG34</f>
        <v>0.66666666666666663</v>
      </c>
      <c r="AM34" s="183" t="s">
        <v>501</v>
      </c>
      <c r="AN34" s="99">
        <v>5</v>
      </c>
      <c r="AO34" s="100">
        <f>AN34/$AG34</f>
        <v>0.83333333333333337</v>
      </c>
      <c r="AP34" s="183" t="s">
        <v>502</v>
      </c>
      <c r="AQ34" s="99">
        <v>6</v>
      </c>
      <c r="AR34" s="100">
        <f t="shared" ref="AR34:AR35" si="31">(AQ34/$AG34)</f>
        <v>1</v>
      </c>
      <c r="AS34" s="188" t="s">
        <v>1195</v>
      </c>
      <c r="AT34" s="99">
        <v>7</v>
      </c>
      <c r="AU34" s="100">
        <f t="shared" ref="AU34:AU35" si="32">(AT34/$AG34)</f>
        <v>1.1666666666666667</v>
      </c>
      <c r="AV34" s="188" t="s">
        <v>1200</v>
      </c>
      <c r="AW34" s="99">
        <v>9</v>
      </c>
      <c r="AX34" s="100">
        <f t="shared" ref="AX34:AX35" si="33">(AW34/$AG34)</f>
        <v>1.5</v>
      </c>
      <c r="AY34" s="188" t="s">
        <v>1195</v>
      </c>
      <c r="AZ34" s="13" t="s">
        <v>108</v>
      </c>
      <c r="BA34" s="13" t="s">
        <v>109</v>
      </c>
    </row>
    <row r="35" spans="1:138" s="5" customFormat="1" ht="45" customHeight="1" x14ac:dyDescent="0.2">
      <c r="A35" s="351"/>
      <c r="B35" s="351"/>
      <c r="C35" s="351"/>
      <c r="D35" s="351"/>
      <c r="E35" s="371"/>
      <c r="F35" s="351"/>
      <c r="G35" s="351"/>
      <c r="H35" s="372"/>
      <c r="I35" s="372"/>
      <c r="J35" s="351"/>
      <c r="K35" s="351"/>
      <c r="L35" s="371"/>
      <c r="M35" s="433"/>
      <c r="N35" s="376"/>
      <c r="O35" s="374"/>
      <c r="P35" s="433"/>
      <c r="Q35" s="376"/>
      <c r="R35" s="374"/>
      <c r="S35" s="433"/>
      <c r="T35" s="376"/>
      <c r="U35" s="374"/>
      <c r="V35" s="433"/>
      <c r="W35" s="376"/>
      <c r="X35" s="374"/>
      <c r="Y35" s="433"/>
      <c r="Z35" s="376"/>
      <c r="AA35" s="374"/>
      <c r="AB35" s="433"/>
      <c r="AC35" s="376"/>
      <c r="AD35" s="374"/>
      <c r="AE35" s="13" t="s">
        <v>412</v>
      </c>
      <c r="AF35" s="13" t="s">
        <v>413</v>
      </c>
      <c r="AG35" s="172">
        <v>265</v>
      </c>
      <c r="AH35" s="99">
        <v>13</v>
      </c>
      <c r="AI35" s="100">
        <f>AH35/$AG35</f>
        <v>4.9056603773584909E-2</v>
      </c>
      <c r="AJ35" s="183" t="s">
        <v>503</v>
      </c>
      <c r="AK35" s="99">
        <v>34</v>
      </c>
      <c r="AL35" s="100">
        <f>AK35/$AG35</f>
        <v>0.12830188679245283</v>
      </c>
      <c r="AM35" s="183" t="s">
        <v>504</v>
      </c>
      <c r="AN35" s="99">
        <v>44</v>
      </c>
      <c r="AO35" s="100">
        <f>AN35/$AG35</f>
        <v>0.16603773584905659</v>
      </c>
      <c r="AP35" s="183" t="s">
        <v>505</v>
      </c>
      <c r="AQ35" s="99">
        <v>54</v>
      </c>
      <c r="AR35" s="100">
        <f t="shared" si="31"/>
        <v>0.20377358490566039</v>
      </c>
      <c r="AS35" s="188" t="s">
        <v>1196</v>
      </c>
      <c r="AT35" s="99">
        <v>67</v>
      </c>
      <c r="AU35" s="100">
        <f t="shared" si="32"/>
        <v>0.25283018867924528</v>
      </c>
      <c r="AV35" s="188" t="s">
        <v>1201</v>
      </c>
      <c r="AW35" s="99">
        <v>97</v>
      </c>
      <c r="AX35" s="100">
        <f t="shared" si="33"/>
        <v>0.36603773584905658</v>
      </c>
      <c r="AY35" s="188" t="s">
        <v>1196</v>
      </c>
      <c r="AZ35" s="13" t="s">
        <v>108</v>
      </c>
      <c r="BA35" s="13" t="s">
        <v>109</v>
      </c>
    </row>
    <row r="36" spans="1:138" s="5" customFormat="1" ht="120" x14ac:dyDescent="0.2">
      <c r="A36" s="351"/>
      <c r="B36" s="351"/>
      <c r="C36" s="351"/>
      <c r="D36" s="351"/>
      <c r="E36" s="371"/>
      <c r="F36" s="351"/>
      <c r="G36" s="351"/>
      <c r="H36" s="372"/>
      <c r="I36" s="346"/>
      <c r="J36" s="351"/>
      <c r="K36" s="351"/>
      <c r="L36" s="371"/>
      <c r="M36" s="434"/>
      <c r="N36" s="377"/>
      <c r="O36" s="343"/>
      <c r="P36" s="434"/>
      <c r="Q36" s="377"/>
      <c r="R36" s="343"/>
      <c r="S36" s="434"/>
      <c r="T36" s="377"/>
      <c r="U36" s="343"/>
      <c r="V36" s="434"/>
      <c r="W36" s="377"/>
      <c r="X36" s="343"/>
      <c r="Y36" s="434"/>
      <c r="Z36" s="377"/>
      <c r="AA36" s="343"/>
      <c r="AB36" s="434"/>
      <c r="AC36" s="377"/>
      <c r="AD36" s="343"/>
      <c r="AE36" s="13" t="s">
        <v>417</v>
      </c>
      <c r="AF36" s="13" t="s">
        <v>418</v>
      </c>
      <c r="AG36" s="177">
        <v>0.8</v>
      </c>
      <c r="AH36" s="183">
        <v>0</v>
      </c>
      <c r="AI36" s="100">
        <f t="shared" si="27"/>
        <v>0</v>
      </c>
      <c r="AJ36" s="183" t="s">
        <v>506</v>
      </c>
      <c r="AK36" s="183">
        <v>0</v>
      </c>
      <c r="AL36" s="100"/>
      <c r="AM36" s="183" t="s">
        <v>507</v>
      </c>
      <c r="AN36" s="183">
        <f>2/2</f>
        <v>1</v>
      </c>
      <c r="AO36" s="184">
        <f>(AN36/$AG36)*(8.3%*3)</f>
        <v>0.31125000000000003</v>
      </c>
      <c r="AP36" s="183" t="s">
        <v>508</v>
      </c>
      <c r="AQ36" s="188">
        <f>3/3</f>
        <v>1</v>
      </c>
      <c r="AR36" s="100">
        <f t="shared" si="28"/>
        <v>0.41500000000000004</v>
      </c>
      <c r="AS36" s="188" t="s">
        <v>1197</v>
      </c>
      <c r="AT36" s="188">
        <f>2/2</f>
        <v>1</v>
      </c>
      <c r="AU36" s="100">
        <f t="shared" si="29"/>
        <v>0.51875000000000004</v>
      </c>
      <c r="AV36" s="188" t="s">
        <v>1202</v>
      </c>
      <c r="AW36" s="188">
        <f>4/4</f>
        <v>1</v>
      </c>
      <c r="AX36" s="194">
        <f t="shared" si="30"/>
        <v>0.62250000000000005</v>
      </c>
      <c r="AY36" s="188" t="s">
        <v>1197</v>
      </c>
      <c r="AZ36" s="13" t="s">
        <v>108</v>
      </c>
      <c r="BA36" s="13" t="s">
        <v>109</v>
      </c>
    </row>
    <row r="37" spans="1:138" ht="75" x14ac:dyDescent="0.25">
      <c r="H37" s="372"/>
      <c r="M37" s="71" t="s">
        <v>155</v>
      </c>
      <c r="N37" s="97">
        <f>AVERAGE(N32:N36)</f>
        <v>3.1988310090237899E-2</v>
      </c>
      <c r="P37" s="71" t="s">
        <v>155</v>
      </c>
      <c r="Q37" s="97">
        <f>AVERAGE(Q32:Q36)</f>
        <v>0.15707957342083675</v>
      </c>
      <c r="S37" s="71" t="s">
        <v>155</v>
      </c>
      <c r="T37" s="97">
        <f>AVERAGE(T32:T36)</f>
        <v>0.22407070344544711</v>
      </c>
      <c r="V37" s="71" t="s">
        <v>155</v>
      </c>
      <c r="W37" s="97">
        <f>AVERAGE(W32:W36)</f>
        <v>0.28868836022240452</v>
      </c>
      <c r="Y37" s="71" t="s">
        <v>155</v>
      </c>
      <c r="Z37" s="97">
        <f>AVERAGE(Z32:Z36)</f>
        <v>0.36086045027800562</v>
      </c>
      <c r="AB37" s="71" t="s">
        <v>155</v>
      </c>
      <c r="AC37" s="97">
        <f>AVERAGE(AC32:AC36)</f>
        <v>0.43472667611305837</v>
      </c>
      <c r="AH37" s="71" t="s">
        <v>156</v>
      </c>
      <c r="AI37" s="97">
        <f>AVERAGE(AI32:AI36)</f>
        <v>2.7854799015586552E-2</v>
      </c>
      <c r="AK37" s="71" t="s">
        <v>156</v>
      </c>
      <c r="AL37" s="97">
        <f>AVERAGE(AL32:AL36)</f>
        <v>0.32513444535593838</v>
      </c>
      <c r="AN37" s="71" t="s">
        <v>156</v>
      </c>
      <c r="AO37" s="97">
        <f>AVERAGE(AO32:AO36)</f>
        <v>0.3703850834016954</v>
      </c>
      <c r="AP37" s="9"/>
      <c r="AQ37" s="71" t="s">
        <v>156</v>
      </c>
      <c r="AR37" s="97">
        <f>AVERAGE(AR32:AR36)</f>
        <v>0.46810254306808863</v>
      </c>
      <c r="AT37" s="71" t="s">
        <v>156</v>
      </c>
      <c r="AU37" s="97">
        <f>AVERAGE(AU32:AU36)</f>
        <v>0.56808415367787801</v>
      </c>
      <c r="AW37" s="71" t="s">
        <v>156</v>
      </c>
      <c r="AX37" s="97">
        <f>AVERAGE(AX32:AX36)</f>
        <v>0.71422928630024607</v>
      </c>
      <c r="AY37" s="9"/>
      <c r="AZ37" s="9"/>
      <c r="BA37" s="9"/>
      <c r="EE37"/>
      <c r="EF37"/>
      <c r="EG37"/>
      <c r="EH37"/>
    </row>
    <row r="38" spans="1:138" s="5" customFormat="1" ht="45" customHeight="1" x14ac:dyDescent="0.2">
      <c r="A38" s="347" t="s">
        <v>86</v>
      </c>
      <c r="B38" s="347" t="s">
        <v>291</v>
      </c>
      <c r="C38" s="347" t="s">
        <v>1629</v>
      </c>
      <c r="D38" s="347" t="s">
        <v>34</v>
      </c>
      <c r="E38" s="363" t="s">
        <v>509</v>
      </c>
      <c r="F38" s="347" t="s">
        <v>90</v>
      </c>
      <c r="G38" s="347" t="s">
        <v>293</v>
      </c>
      <c r="H38" s="372"/>
      <c r="I38" s="22">
        <v>441776466</v>
      </c>
      <c r="J38" s="171" t="s">
        <v>387</v>
      </c>
      <c r="K38" s="171" t="s">
        <v>388</v>
      </c>
      <c r="L38" s="177">
        <v>0.92</v>
      </c>
      <c r="M38" s="183">
        <f>10/11</f>
        <v>0.90909090909090906</v>
      </c>
      <c r="N38" s="83">
        <f>(M38/$L38)*(8.3%*1)</f>
        <v>8.201581027667984E-2</v>
      </c>
      <c r="O38" s="183" t="s">
        <v>510</v>
      </c>
      <c r="P38" s="183">
        <v>0.91</v>
      </c>
      <c r="Q38" s="83">
        <f>(P38/$L38)*(8.3%*2)</f>
        <v>0.16419565217391305</v>
      </c>
      <c r="R38" s="183" t="s">
        <v>511</v>
      </c>
      <c r="S38" s="183">
        <f>29/31</f>
        <v>0.93548387096774188</v>
      </c>
      <c r="T38" s="83">
        <f>(S38/$L38)*(8.3%*3)</f>
        <v>0.25319074333800839</v>
      </c>
      <c r="U38" s="183" t="s">
        <v>512</v>
      </c>
      <c r="V38" s="188">
        <f>38/40</f>
        <v>0.95</v>
      </c>
      <c r="W38" s="83">
        <f>(V38/$L38)*(8.3%*4)</f>
        <v>0.34282608695652173</v>
      </c>
      <c r="X38" s="188" t="s">
        <v>1114</v>
      </c>
      <c r="Y38" s="188">
        <f>43/45</f>
        <v>0.9555555555555556</v>
      </c>
      <c r="Z38" s="83">
        <f>(Y38/$L38)*(8.3%*5)</f>
        <v>0.43103864734299518</v>
      </c>
      <c r="AA38" s="188" t="s">
        <v>1118</v>
      </c>
      <c r="AB38" s="188">
        <f>50/52</f>
        <v>0.96153846153846156</v>
      </c>
      <c r="AC38" s="83">
        <f>(AB38/$L38)*(8.3%*6)</f>
        <v>0.52048494983277593</v>
      </c>
      <c r="AD38" s="188" t="s">
        <v>1122</v>
      </c>
      <c r="AE38" s="351" t="s">
        <v>95</v>
      </c>
      <c r="AF38" s="351"/>
      <c r="AG38" s="351"/>
      <c r="AH38" s="89"/>
      <c r="AI38" s="101"/>
      <c r="AJ38" s="89"/>
      <c r="AK38" s="89"/>
      <c r="AL38" s="101"/>
      <c r="AM38" s="89"/>
      <c r="AN38" s="89"/>
      <c r="AO38" s="101"/>
      <c r="AP38" s="89"/>
      <c r="AQ38" s="89"/>
      <c r="AR38" s="101"/>
      <c r="AS38" s="89"/>
      <c r="AT38" s="89"/>
      <c r="AU38" s="101"/>
      <c r="AV38" s="89"/>
      <c r="AW38" s="89"/>
      <c r="AX38" s="101"/>
      <c r="AY38" s="89"/>
      <c r="AZ38" s="13" t="s">
        <v>108</v>
      </c>
      <c r="BA38" s="13" t="s">
        <v>109</v>
      </c>
    </row>
    <row r="39" spans="1:138" s="5" customFormat="1" ht="45" customHeight="1" x14ac:dyDescent="0.2">
      <c r="A39" s="366"/>
      <c r="B39" s="366"/>
      <c r="C39" s="366"/>
      <c r="D39" s="366"/>
      <c r="E39" s="364"/>
      <c r="F39" s="366"/>
      <c r="G39" s="366"/>
      <c r="H39" s="372"/>
      <c r="I39" s="345">
        <v>529940080</v>
      </c>
      <c r="J39" s="351" t="s">
        <v>402</v>
      </c>
      <c r="K39" s="351" t="s">
        <v>403</v>
      </c>
      <c r="L39" s="371">
        <v>412</v>
      </c>
      <c r="M39" s="432">
        <v>16</v>
      </c>
      <c r="N39" s="375">
        <f>M39/$L39</f>
        <v>3.8834951456310676E-2</v>
      </c>
      <c r="O39" s="342" t="s">
        <v>513</v>
      </c>
      <c r="P39" s="432">
        <v>66</v>
      </c>
      <c r="Q39" s="375">
        <f>P39/$L39</f>
        <v>0.16019417475728157</v>
      </c>
      <c r="R39" s="342" t="s">
        <v>514</v>
      </c>
      <c r="S39" s="432">
        <v>86</v>
      </c>
      <c r="T39" s="375">
        <f>S39/$L39</f>
        <v>0.20873786407766989</v>
      </c>
      <c r="U39" s="342" t="s">
        <v>515</v>
      </c>
      <c r="V39" s="432">
        <v>124</v>
      </c>
      <c r="W39" s="375">
        <f>V39/$L39</f>
        <v>0.30097087378640774</v>
      </c>
      <c r="X39" s="342" t="s">
        <v>1115</v>
      </c>
      <c r="Y39" s="432">
        <v>152</v>
      </c>
      <c r="Z39" s="375">
        <f>Y39/$L39</f>
        <v>0.36893203883495146</v>
      </c>
      <c r="AA39" s="342" t="s">
        <v>1121</v>
      </c>
      <c r="AB39" s="432">
        <v>174</v>
      </c>
      <c r="AC39" s="375">
        <f>AB39/$L39</f>
        <v>0.42233009708737862</v>
      </c>
      <c r="AD39" s="342" t="s">
        <v>1123</v>
      </c>
      <c r="AE39" s="13" t="s">
        <v>407</v>
      </c>
      <c r="AF39" s="13" t="s">
        <v>408</v>
      </c>
      <c r="AG39" s="172">
        <v>119</v>
      </c>
      <c r="AH39" s="99">
        <v>5</v>
      </c>
      <c r="AI39" s="100">
        <f t="shared" ref="AI39:AI40" si="34">AH39/$AG39</f>
        <v>4.2016806722689079E-2</v>
      </c>
      <c r="AJ39" s="183" t="s">
        <v>516</v>
      </c>
      <c r="AK39" s="99">
        <v>18</v>
      </c>
      <c r="AL39" s="100">
        <f t="shared" ref="AL39:AL40" si="35">AK39/$AG39</f>
        <v>0.15126050420168066</v>
      </c>
      <c r="AM39" s="183" t="s">
        <v>517</v>
      </c>
      <c r="AN39" s="99">
        <v>35</v>
      </c>
      <c r="AO39" s="100">
        <f t="shared" ref="AO39:AO40" si="36">AN39/$AG39</f>
        <v>0.29411764705882354</v>
      </c>
      <c r="AP39" s="183" t="s">
        <v>518</v>
      </c>
      <c r="AQ39" s="99">
        <v>45</v>
      </c>
      <c r="AR39" s="100">
        <f t="shared" ref="AR39:AR40" si="37">AQ39/$AG39</f>
        <v>0.37815126050420167</v>
      </c>
      <c r="AS39" s="188" t="s">
        <v>1205</v>
      </c>
      <c r="AT39" s="99">
        <v>51</v>
      </c>
      <c r="AU39" s="100">
        <f t="shared" ref="AU39:AU40" si="38">AT39/$AG39</f>
        <v>0.42857142857142855</v>
      </c>
      <c r="AV39" s="188" t="s">
        <v>1207</v>
      </c>
      <c r="AW39" s="99">
        <v>66</v>
      </c>
      <c r="AX39" s="100">
        <f t="shared" ref="AX39:AX40" si="39">AW39/$AG39</f>
        <v>0.55462184873949583</v>
      </c>
      <c r="AY39" s="188" t="s">
        <v>1209</v>
      </c>
      <c r="AZ39" s="13" t="s">
        <v>108</v>
      </c>
      <c r="BA39" s="13" t="s">
        <v>109</v>
      </c>
    </row>
    <row r="40" spans="1:138" s="5" customFormat="1" ht="45" customHeight="1" x14ac:dyDescent="0.2">
      <c r="A40" s="366"/>
      <c r="B40" s="366"/>
      <c r="C40" s="366"/>
      <c r="D40" s="366"/>
      <c r="E40" s="364"/>
      <c r="F40" s="366"/>
      <c r="G40" s="366"/>
      <c r="H40" s="372"/>
      <c r="I40" s="372"/>
      <c r="J40" s="351"/>
      <c r="K40" s="351" t="s">
        <v>403</v>
      </c>
      <c r="L40" s="371">
        <v>412</v>
      </c>
      <c r="M40" s="433"/>
      <c r="N40" s="376"/>
      <c r="O40" s="374"/>
      <c r="P40" s="433"/>
      <c r="Q40" s="376"/>
      <c r="R40" s="374"/>
      <c r="S40" s="433"/>
      <c r="T40" s="376"/>
      <c r="U40" s="374"/>
      <c r="V40" s="433"/>
      <c r="W40" s="376"/>
      <c r="X40" s="374"/>
      <c r="Y40" s="433"/>
      <c r="Z40" s="376"/>
      <c r="AA40" s="374"/>
      <c r="AB40" s="433"/>
      <c r="AC40" s="376"/>
      <c r="AD40" s="374"/>
      <c r="AE40" s="13" t="s">
        <v>519</v>
      </c>
      <c r="AF40" s="13" t="s">
        <v>520</v>
      </c>
      <c r="AG40" s="172">
        <v>397</v>
      </c>
      <c r="AH40" s="193">
        <v>23</v>
      </c>
      <c r="AI40" s="192">
        <f t="shared" si="34"/>
        <v>5.793450881612091E-2</v>
      </c>
      <c r="AJ40" s="183" t="s">
        <v>521</v>
      </c>
      <c r="AK40" s="99">
        <v>55</v>
      </c>
      <c r="AL40" s="100">
        <f t="shared" si="35"/>
        <v>0.1385390428211587</v>
      </c>
      <c r="AM40" s="183" t="s">
        <v>522</v>
      </c>
      <c r="AN40" s="99">
        <v>73</v>
      </c>
      <c r="AO40" s="100">
        <f t="shared" si="36"/>
        <v>0.18387909319899245</v>
      </c>
      <c r="AP40" s="183" t="s">
        <v>523</v>
      </c>
      <c r="AQ40" s="99">
        <v>106</v>
      </c>
      <c r="AR40" s="192">
        <f t="shared" si="37"/>
        <v>0.26700251889168763</v>
      </c>
      <c r="AS40" s="188" t="s">
        <v>1206</v>
      </c>
      <c r="AT40" s="99">
        <v>131</v>
      </c>
      <c r="AU40" s="100">
        <f t="shared" si="38"/>
        <v>0.32997481108312343</v>
      </c>
      <c r="AV40" s="188" t="s">
        <v>1208</v>
      </c>
      <c r="AW40" s="99">
        <v>165</v>
      </c>
      <c r="AX40" s="100">
        <f t="shared" si="39"/>
        <v>0.41561712846347609</v>
      </c>
      <c r="AY40" s="188" t="s">
        <v>1210</v>
      </c>
      <c r="AZ40" s="13" t="s">
        <v>108</v>
      </c>
      <c r="BA40" s="13" t="s">
        <v>109</v>
      </c>
    </row>
    <row r="41" spans="1:138" s="5" customFormat="1" ht="216" x14ac:dyDescent="0.2">
      <c r="A41" s="366"/>
      <c r="B41" s="366"/>
      <c r="C41" s="366"/>
      <c r="D41" s="366"/>
      <c r="E41" s="364"/>
      <c r="F41" s="366"/>
      <c r="G41" s="366"/>
      <c r="H41" s="372"/>
      <c r="I41" s="346"/>
      <c r="J41" s="351"/>
      <c r="K41" s="351" t="s">
        <v>403</v>
      </c>
      <c r="L41" s="371">
        <v>412</v>
      </c>
      <c r="M41" s="434"/>
      <c r="N41" s="377"/>
      <c r="O41" s="343"/>
      <c r="P41" s="434"/>
      <c r="Q41" s="377"/>
      <c r="R41" s="343"/>
      <c r="S41" s="434"/>
      <c r="T41" s="377"/>
      <c r="U41" s="343"/>
      <c r="V41" s="434"/>
      <c r="W41" s="377"/>
      <c r="X41" s="343"/>
      <c r="Y41" s="434"/>
      <c r="Z41" s="377"/>
      <c r="AA41" s="343"/>
      <c r="AB41" s="434"/>
      <c r="AC41" s="377"/>
      <c r="AD41" s="343"/>
      <c r="AE41" s="13" t="s">
        <v>1212</v>
      </c>
      <c r="AF41" s="13" t="s">
        <v>1213</v>
      </c>
      <c r="AG41" s="187">
        <v>0.85</v>
      </c>
      <c r="AH41" s="193">
        <v>0</v>
      </c>
      <c r="AI41" s="192"/>
      <c r="AJ41" s="183" t="s">
        <v>524</v>
      </c>
      <c r="AK41" s="99">
        <v>0</v>
      </c>
      <c r="AL41" s="100"/>
      <c r="AM41" s="183" t="s">
        <v>524</v>
      </c>
      <c r="AN41" s="99">
        <v>21</v>
      </c>
      <c r="AO41" s="100">
        <f>AN41/138</f>
        <v>0.15217391304347827</v>
      </c>
      <c r="AP41" s="183" t="s">
        <v>525</v>
      </c>
      <c r="AQ41" s="193">
        <v>21</v>
      </c>
      <c r="AR41" s="192">
        <f>AQ41/138</f>
        <v>0.15217391304347827</v>
      </c>
      <c r="AS41" s="188" t="s">
        <v>524</v>
      </c>
      <c r="AT41" s="99">
        <v>21</v>
      </c>
      <c r="AU41" s="192">
        <f>AT41/138</f>
        <v>0.15217391304347827</v>
      </c>
      <c r="AV41" s="188" t="s">
        <v>524</v>
      </c>
      <c r="AW41" s="188">
        <f>41/41</f>
        <v>1</v>
      </c>
      <c r="AX41" s="100">
        <f t="shared" ref="AX41" si="40">(AW41/$AG41)*(8.3%*6)</f>
        <v>0.58588235294117652</v>
      </c>
      <c r="AY41" s="188" t="s">
        <v>1211</v>
      </c>
      <c r="AZ41" s="13" t="s">
        <v>108</v>
      </c>
      <c r="BA41" s="13" t="s">
        <v>109</v>
      </c>
    </row>
    <row r="42" spans="1:138" s="5" customFormat="1" ht="45" customHeight="1" x14ac:dyDescent="0.2">
      <c r="A42" s="366"/>
      <c r="B42" s="366"/>
      <c r="C42" s="366"/>
      <c r="D42" s="366"/>
      <c r="E42" s="364"/>
      <c r="F42" s="366"/>
      <c r="G42" s="366"/>
      <c r="H42" s="372"/>
      <c r="I42" s="176">
        <v>439087717</v>
      </c>
      <c r="J42" s="171" t="s">
        <v>526</v>
      </c>
      <c r="K42" s="171" t="s">
        <v>527</v>
      </c>
      <c r="L42" s="177">
        <v>0.24</v>
      </c>
      <c r="M42" s="183"/>
      <c r="N42" s="83"/>
      <c r="O42" s="183" t="s">
        <v>528</v>
      </c>
      <c r="P42" s="183"/>
      <c r="Q42" s="83"/>
      <c r="R42" s="183" t="s">
        <v>528</v>
      </c>
      <c r="S42" s="183">
        <v>0.04</v>
      </c>
      <c r="T42" s="191">
        <f>(S42/$L42)</f>
        <v>0.16666666666666669</v>
      </c>
      <c r="U42" s="183" t="s">
        <v>529</v>
      </c>
      <c r="V42" s="83">
        <v>0.04</v>
      </c>
      <c r="W42" s="191">
        <f>(V42/$L42)</f>
        <v>0.16666666666666669</v>
      </c>
      <c r="X42" s="191" t="s">
        <v>528</v>
      </c>
      <c r="Y42" s="188">
        <v>0.04</v>
      </c>
      <c r="Z42" s="191">
        <f>(Y42/$L42)</f>
        <v>0.16666666666666669</v>
      </c>
      <c r="AA42" s="188" t="s">
        <v>528</v>
      </c>
      <c r="AB42" s="188">
        <v>0.08</v>
      </c>
      <c r="AC42" s="191">
        <f>(AB42/$L42)</f>
        <v>0.33333333333333337</v>
      </c>
      <c r="AD42" s="188" t="s">
        <v>1113</v>
      </c>
      <c r="AE42" s="351" t="s">
        <v>95</v>
      </c>
      <c r="AF42" s="351"/>
      <c r="AG42" s="351"/>
      <c r="AH42" s="89"/>
      <c r="AI42" s="101"/>
      <c r="AJ42" s="89"/>
      <c r="AK42" s="89"/>
      <c r="AL42" s="101"/>
      <c r="AM42" s="89"/>
      <c r="AN42" s="89"/>
      <c r="AO42" s="101"/>
      <c r="AP42" s="89"/>
      <c r="AQ42" s="89"/>
      <c r="AR42" s="101"/>
      <c r="AS42" s="89"/>
      <c r="AT42" s="89"/>
      <c r="AU42" s="101"/>
      <c r="AV42" s="89"/>
      <c r="AW42" s="89"/>
      <c r="AX42" s="101"/>
      <c r="AY42" s="89"/>
      <c r="AZ42" s="13" t="s">
        <v>108</v>
      </c>
      <c r="BA42" s="13" t="s">
        <v>109</v>
      </c>
    </row>
    <row r="43" spans="1:138" s="5" customFormat="1" ht="45" customHeight="1" x14ac:dyDescent="0.2">
      <c r="A43" s="366"/>
      <c r="B43" s="366"/>
      <c r="C43" s="366"/>
      <c r="D43" s="366"/>
      <c r="E43" s="364"/>
      <c r="F43" s="366"/>
      <c r="G43" s="366"/>
      <c r="H43" s="372"/>
      <c r="I43" s="176">
        <v>312349628</v>
      </c>
      <c r="J43" s="171" t="s">
        <v>530</v>
      </c>
      <c r="K43" s="171" t="s">
        <v>531</v>
      </c>
      <c r="L43" s="177">
        <v>0.95</v>
      </c>
      <c r="M43" s="183">
        <v>0.98</v>
      </c>
      <c r="N43" s="83">
        <f>(M43/$L43)*(8.3%*1)</f>
        <v>8.5621052631578959E-2</v>
      </c>
      <c r="O43" s="183" t="s">
        <v>532</v>
      </c>
      <c r="P43" s="183">
        <v>0.99</v>
      </c>
      <c r="Q43" s="83">
        <f t="shared" ref="Q43:Q51" si="41">(P43/$L43)*(8.3%*2)</f>
        <v>0.17298947368421055</v>
      </c>
      <c r="R43" s="183" t="s">
        <v>533</v>
      </c>
      <c r="S43" s="183">
        <f>93/94</f>
        <v>0.98936170212765961</v>
      </c>
      <c r="T43" s="83">
        <f t="shared" ref="T43:T51" si="42">(S43/$L43)*(8.3%*3)</f>
        <v>0.2593169092945129</v>
      </c>
      <c r="U43" s="183" t="s">
        <v>534</v>
      </c>
      <c r="V43" s="188">
        <f>124/126</f>
        <v>0.98412698412698407</v>
      </c>
      <c r="W43" s="83">
        <f>(V43/$L43)*(8.3%*4)</f>
        <v>0.3439264828738513</v>
      </c>
      <c r="X43" s="188" t="s">
        <v>1116</v>
      </c>
      <c r="Y43" s="188">
        <f>153/155</f>
        <v>0.98709677419354835</v>
      </c>
      <c r="Z43" s="83">
        <f>(Y43/$L43)*(8.3%*5)</f>
        <v>0.43120543293718172</v>
      </c>
      <c r="AA43" s="188" t="s">
        <v>1119</v>
      </c>
      <c r="AB43" s="188">
        <f>184/186</f>
        <v>0.989247311827957</v>
      </c>
      <c r="AC43" s="83">
        <f>(AB43/$L43)*(8.3%*6)</f>
        <v>0.51857385398981326</v>
      </c>
      <c r="AD43" s="188" t="s">
        <v>1124</v>
      </c>
      <c r="AE43" s="351" t="s">
        <v>95</v>
      </c>
      <c r="AF43" s="351"/>
      <c r="AG43" s="351"/>
      <c r="AH43" s="89"/>
      <c r="AI43" s="101"/>
      <c r="AJ43" s="89"/>
      <c r="AK43" s="89"/>
      <c r="AL43" s="101"/>
      <c r="AM43" s="89"/>
      <c r="AN43" s="89"/>
      <c r="AO43" s="101"/>
      <c r="AP43" s="89"/>
      <c r="AQ43" s="89"/>
      <c r="AR43" s="101"/>
      <c r="AS43" s="89"/>
      <c r="AT43" s="89"/>
      <c r="AU43" s="101"/>
      <c r="AV43" s="89"/>
      <c r="AW43" s="89"/>
      <c r="AX43" s="101"/>
      <c r="AY43" s="89"/>
      <c r="AZ43" s="13" t="s">
        <v>108</v>
      </c>
      <c r="BA43" s="13" t="s">
        <v>109</v>
      </c>
    </row>
    <row r="44" spans="1:138" s="5" customFormat="1" ht="45" customHeight="1" x14ac:dyDescent="0.2">
      <c r="A44" s="348"/>
      <c r="B44" s="348"/>
      <c r="C44" s="348"/>
      <c r="D44" s="348"/>
      <c r="E44" s="365"/>
      <c r="F44" s="348"/>
      <c r="G44" s="348"/>
      <c r="H44" s="372"/>
      <c r="I44" s="176">
        <v>308257208</v>
      </c>
      <c r="J44" s="171" t="s">
        <v>535</v>
      </c>
      <c r="K44" s="171" t="s">
        <v>536</v>
      </c>
      <c r="L44" s="177">
        <v>0.85</v>
      </c>
      <c r="M44" s="183">
        <v>0.09</v>
      </c>
      <c r="N44" s="83">
        <f>(M44/$L44)*(8.3%*1)</f>
        <v>8.788235294117647E-3</v>
      </c>
      <c r="O44" s="183" t="s">
        <v>537</v>
      </c>
      <c r="P44" s="183">
        <v>0.51</v>
      </c>
      <c r="Q44" s="83">
        <f t="shared" si="41"/>
        <v>9.9600000000000008E-2</v>
      </c>
      <c r="R44" s="183" t="s">
        <v>538</v>
      </c>
      <c r="S44" s="183">
        <f>82/111</f>
        <v>0.73873873873873874</v>
      </c>
      <c r="T44" s="83">
        <f t="shared" si="42"/>
        <v>0.21640699523052465</v>
      </c>
      <c r="U44" s="183" t="s">
        <v>539</v>
      </c>
      <c r="V44" s="188">
        <f>116/149</f>
        <v>0.77852348993288589</v>
      </c>
      <c r="W44" s="83">
        <f>(V44/$L44)*(8.3%*4)</f>
        <v>0.3040821160679037</v>
      </c>
      <c r="X44" s="188" t="s">
        <v>1117</v>
      </c>
      <c r="Y44" s="188">
        <f>150/182</f>
        <v>0.82417582417582413</v>
      </c>
      <c r="Z44" s="83">
        <f>(Y44/$L44)*(8.3%*5)</f>
        <v>0.4023917259211377</v>
      </c>
      <c r="AA44" s="188" t="s">
        <v>1120</v>
      </c>
      <c r="AB44" s="188">
        <f>175/209</f>
        <v>0.83732057416267947</v>
      </c>
      <c r="AC44" s="83">
        <f>(AB44/$L44)*(8.3%*6)</f>
        <v>0.49057134815648751</v>
      </c>
      <c r="AD44" s="188" t="s">
        <v>1125</v>
      </c>
      <c r="AE44" s="351" t="s">
        <v>95</v>
      </c>
      <c r="AF44" s="351"/>
      <c r="AG44" s="351"/>
      <c r="AH44" s="89"/>
      <c r="AI44" s="101"/>
      <c r="AJ44" s="89"/>
      <c r="AK44" s="89"/>
      <c r="AL44" s="101"/>
      <c r="AM44" s="89"/>
      <c r="AN44" s="89"/>
      <c r="AO44" s="101"/>
      <c r="AP44" s="89"/>
      <c r="AQ44" s="89"/>
      <c r="AR44" s="101"/>
      <c r="AS44" s="89"/>
      <c r="AT44" s="89"/>
      <c r="AU44" s="101"/>
      <c r="AV44" s="89"/>
      <c r="AW44" s="89"/>
      <c r="AX44" s="101"/>
      <c r="AY44" s="89"/>
      <c r="AZ44" s="13" t="s">
        <v>108</v>
      </c>
      <c r="BA44" s="13" t="s">
        <v>109</v>
      </c>
    </row>
    <row r="45" spans="1:138" ht="75" x14ac:dyDescent="0.25">
      <c r="H45" s="372"/>
      <c r="M45" s="71" t="s">
        <v>155</v>
      </c>
      <c r="N45" s="97">
        <f>AVERAGE(N38:N44)</f>
        <v>5.3815012414671778E-2</v>
      </c>
      <c r="P45" s="71" t="s">
        <v>155</v>
      </c>
      <c r="Q45" s="97">
        <f>AVERAGE(Q38:Q44)</f>
        <v>0.14924482515385129</v>
      </c>
      <c r="S45" s="71" t="s">
        <v>155</v>
      </c>
      <c r="T45" s="97">
        <f>AVERAGE(T38:T44)</f>
        <v>0.2208638357214765</v>
      </c>
      <c r="V45" s="71" t="s">
        <v>155</v>
      </c>
      <c r="W45" s="97">
        <f>AVERAGE(W38:W44)</f>
        <v>0.29169444527027022</v>
      </c>
      <c r="Y45" s="71" t="s">
        <v>155</v>
      </c>
      <c r="Z45" s="97">
        <f>AVERAGE(Z38:Z44)</f>
        <v>0.36004690234058651</v>
      </c>
      <c r="AB45" s="71" t="s">
        <v>155</v>
      </c>
      <c r="AC45" s="97">
        <f>AVERAGE(AC38:AC44)</f>
        <v>0.45705871647995772</v>
      </c>
      <c r="AH45" s="71" t="s">
        <v>156</v>
      </c>
      <c r="AI45" s="97">
        <f>AVERAGE(AI39:AI41)</f>
        <v>4.9975657769404991E-2</v>
      </c>
      <c r="AK45" s="71" t="s">
        <v>156</v>
      </c>
      <c r="AL45" s="97">
        <f>AVERAGE(AL38:AL44)</f>
        <v>0.14489977351141969</v>
      </c>
      <c r="AN45" s="71" t="s">
        <v>156</v>
      </c>
      <c r="AO45" s="97">
        <f>AVERAGE(AO38:AO44)</f>
        <v>0.21005688443376477</v>
      </c>
      <c r="AP45" s="9"/>
      <c r="AQ45" s="71" t="s">
        <v>156</v>
      </c>
      <c r="AR45" s="97">
        <f>AVERAGE(AR39:AR41)</f>
        <v>0.26577589747978919</v>
      </c>
      <c r="AT45" s="71" t="s">
        <v>156</v>
      </c>
      <c r="AU45" s="97">
        <f>AVERAGE(AU38:AU44)</f>
        <v>0.30357338423267671</v>
      </c>
      <c r="AW45" s="71" t="s">
        <v>156</v>
      </c>
      <c r="AX45" s="97">
        <f>AVERAGE(AX38:AX44)</f>
        <v>0.51870711004804948</v>
      </c>
      <c r="AY45" s="9"/>
      <c r="AZ45" s="9"/>
      <c r="BA45" s="9"/>
      <c r="EE45"/>
      <c r="EF45"/>
      <c r="EG45"/>
      <c r="EH45"/>
    </row>
    <row r="46" spans="1:138" s="5" customFormat="1" ht="216" x14ac:dyDescent="0.2">
      <c r="A46" s="345" t="s">
        <v>86</v>
      </c>
      <c r="B46" s="345" t="s">
        <v>291</v>
      </c>
      <c r="C46" s="345" t="s">
        <v>1629</v>
      </c>
      <c r="D46" s="345" t="s">
        <v>34</v>
      </c>
      <c r="E46" s="435" t="s">
        <v>540</v>
      </c>
      <c r="F46" s="345" t="s">
        <v>90</v>
      </c>
      <c r="G46" s="345" t="s">
        <v>293</v>
      </c>
      <c r="H46" s="372"/>
      <c r="I46" s="22">
        <v>70294322</v>
      </c>
      <c r="J46" s="171" t="s">
        <v>530</v>
      </c>
      <c r="K46" s="171" t="s">
        <v>531</v>
      </c>
      <c r="L46" s="183">
        <v>0.95</v>
      </c>
      <c r="M46" s="183">
        <f>2/2</f>
        <v>1</v>
      </c>
      <c r="N46" s="83">
        <f t="shared" ref="N46:N51" si="43">(M46/$L46)*(8.3%*1)</f>
        <v>8.7368421052631581E-2</v>
      </c>
      <c r="O46" s="183" t="s">
        <v>541</v>
      </c>
      <c r="P46" s="183">
        <f>7/7</f>
        <v>1</v>
      </c>
      <c r="Q46" s="83">
        <f t="shared" si="41"/>
        <v>0.17473684210526316</v>
      </c>
      <c r="R46" s="183" t="s">
        <v>542</v>
      </c>
      <c r="S46" s="183">
        <f>10/10</f>
        <v>1</v>
      </c>
      <c r="T46" s="83">
        <f t="shared" si="42"/>
        <v>0.26210526315789473</v>
      </c>
      <c r="U46" s="183" t="s">
        <v>543</v>
      </c>
      <c r="V46" s="188">
        <f>16/16</f>
        <v>1</v>
      </c>
      <c r="W46" s="83">
        <f>(V46/$L46)*(8.3%*4)</f>
        <v>0.34947368421052633</v>
      </c>
      <c r="X46" s="188" t="s">
        <v>1126</v>
      </c>
      <c r="Y46" s="188">
        <f>33/33</f>
        <v>1</v>
      </c>
      <c r="Z46" s="83">
        <f>(Y46/$L46)*(8.3%*5)</f>
        <v>0.43684210526315792</v>
      </c>
      <c r="AA46" s="188" t="s">
        <v>1132</v>
      </c>
      <c r="AB46" s="188">
        <f>46/46</f>
        <v>1</v>
      </c>
      <c r="AC46" s="83">
        <f>(AB46/$L46)*(8.3%*6)</f>
        <v>0.52421052631578946</v>
      </c>
      <c r="AD46" s="188" t="s">
        <v>1126</v>
      </c>
      <c r="AE46" s="351" t="s">
        <v>95</v>
      </c>
      <c r="AF46" s="351"/>
      <c r="AG46" s="351"/>
      <c r="AH46" s="89"/>
      <c r="AI46" s="101"/>
      <c r="AJ46" s="89"/>
      <c r="AK46" s="89"/>
      <c r="AL46" s="101"/>
      <c r="AM46" s="89"/>
      <c r="AN46" s="89"/>
      <c r="AO46" s="101"/>
      <c r="AP46" s="89"/>
      <c r="AQ46" s="89"/>
      <c r="AR46" s="101"/>
      <c r="AS46" s="89"/>
      <c r="AT46" s="89"/>
      <c r="AU46" s="101"/>
      <c r="AV46" s="89"/>
      <c r="AW46" s="89"/>
      <c r="AX46" s="101"/>
      <c r="AY46" s="89"/>
      <c r="AZ46" s="13" t="s">
        <v>108</v>
      </c>
      <c r="BA46" s="13" t="s">
        <v>109</v>
      </c>
    </row>
    <row r="47" spans="1:138" s="5" customFormat="1" ht="300" x14ac:dyDescent="0.2">
      <c r="A47" s="372"/>
      <c r="B47" s="372"/>
      <c r="C47" s="372"/>
      <c r="D47" s="372"/>
      <c r="E47" s="436"/>
      <c r="F47" s="372"/>
      <c r="G47" s="372"/>
      <c r="H47" s="372"/>
      <c r="I47" s="22">
        <v>191827420</v>
      </c>
      <c r="J47" s="171" t="s">
        <v>535</v>
      </c>
      <c r="K47" s="171" t="s">
        <v>536</v>
      </c>
      <c r="L47" s="183">
        <v>0.85</v>
      </c>
      <c r="M47" s="183">
        <f>4/24</f>
        <v>0.16666666666666666</v>
      </c>
      <c r="N47" s="83">
        <f t="shared" si="43"/>
        <v>1.6274509803921568E-2</v>
      </c>
      <c r="O47" s="183" t="s">
        <v>544</v>
      </c>
      <c r="P47" s="183">
        <f>51/51</f>
        <v>1</v>
      </c>
      <c r="Q47" s="83">
        <f t="shared" si="41"/>
        <v>0.19529411764705884</v>
      </c>
      <c r="R47" s="183" t="s">
        <v>545</v>
      </c>
      <c r="S47" s="183">
        <f>67/87</f>
        <v>0.77011494252873558</v>
      </c>
      <c r="T47" s="83">
        <f t="shared" si="42"/>
        <v>0.22559837728194723</v>
      </c>
      <c r="U47" s="183" t="s">
        <v>546</v>
      </c>
      <c r="V47" s="188">
        <f>99/119</f>
        <v>0.83193277310924374</v>
      </c>
      <c r="W47" s="83">
        <f t="shared" ref="W47:W51" si="44">(V47/$L47)*(8.3%*4)</f>
        <v>0.3249431537320811</v>
      </c>
      <c r="X47" s="188" t="s">
        <v>1127</v>
      </c>
      <c r="Y47" s="188">
        <f>118/138</f>
        <v>0.85507246376811596</v>
      </c>
      <c r="Z47" s="83">
        <f t="shared" ref="Z47:Z51" si="45">(Y47/$L47)*(8.3%*5)</f>
        <v>0.41747655583972726</v>
      </c>
      <c r="AA47" s="188" t="s">
        <v>1133</v>
      </c>
      <c r="AB47" s="188">
        <f>138/158</f>
        <v>0.87341772151898733</v>
      </c>
      <c r="AC47" s="83">
        <f t="shared" ref="AC47:AC51" si="46">(AB47/$L47)*(8.3%*6)</f>
        <v>0.5117200297840655</v>
      </c>
      <c r="AD47" s="188" t="s">
        <v>1127</v>
      </c>
      <c r="AE47" s="351" t="s">
        <v>95</v>
      </c>
      <c r="AF47" s="351"/>
      <c r="AG47" s="351"/>
      <c r="AH47" s="89"/>
      <c r="AI47" s="101"/>
      <c r="AJ47" s="89"/>
      <c r="AK47" s="89"/>
      <c r="AL47" s="101"/>
      <c r="AM47" s="89"/>
      <c r="AN47" s="89"/>
      <c r="AO47" s="101"/>
      <c r="AP47" s="89"/>
      <c r="AQ47" s="89"/>
      <c r="AR47" s="101"/>
      <c r="AS47" s="89"/>
      <c r="AT47" s="89"/>
      <c r="AU47" s="101"/>
      <c r="AV47" s="89"/>
      <c r="AW47" s="89"/>
      <c r="AX47" s="101"/>
      <c r="AY47" s="89"/>
      <c r="AZ47" s="13" t="s">
        <v>108</v>
      </c>
      <c r="BA47" s="13" t="s">
        <v>109</v>
      </c>
    </row>
    <row r="48" spans="1:138" s="5" customFormat="1" ht="228" x14ac:dyDescent="0.2">
      <c r="A48" s="372"/>
      <c r="B48" s="372"/>
      <c r="C48" s="372"/>
      <c r="D48" s="372"/>
      <c r="E48" s="436"/>
      <c r="F48" s="372"/>
      <c r="G48" s="372"/>
      <c r="H48" s="372"/>
      <c r="I48" s="22">
        <v>456376110</v>
      </c>
      <c r="J48" s="171" t="s">
        <v>547</v>
      </c>
      <c r="K48" s="171" t="s">
        <v>548</v>
      </c>
      <c r="L48" s="183">
        <v>0.95</v>
      </c>
      <c r="M48" s="183">
        <v>0</v>
      </c>
      <c r="N48" s="83">
        <f t="shared" si="43"/>
        <v>0</v>
      </c>
      <c r="O48" s="183" t="s">
        <v>549</v>
      </c>
      <c r="P48" s="183">
        <v>0.33</v>
      </c>
      <c r="Q48" s="83">
        <f t="shared" si="41"/>
        <v>5.7663157894736847E-2</v>
      </c>
      <c r="R48" s="183" t="s">
        <v>550</v>
      </c>
      <c r="S48" s="183">
        <f>6/14</f>
        <v>0.42857142857142855</v>
      </c>
      <c r="T48" s="83">
        <f t="shared" si="42"/>
        <v>0.11233082706766917</v>
      </c>
      <c r="U48" s="183" t="s">
        <v>551</v>
      </c>
      <c r="V48" s="188">
        <f>12/20</f>
        <v>0.6</v>
      </c>
      <c r="W48" s="83">
        <f t="shared" si="44"/>
        <v>0.20968421052631578</v>
      </c>
      <c r="X48" s="188" t="s">
        <v>1128</v>
      </c>
      <c r="Y48" s="188">
        <f>16/26</f>
        <v>0.61538461538461542</v>
      </c>
      <c r="Z48" s="83">
        <f t="shared" si="45"/>
        <v>0.26882591093117414</v>
      </c>
      <c r="AA48" s="188" t="s">
        <v>1134</v>
      </c>
      <c r="AB48" s="188">
        <f>23/33</f>
        <v>0.69696969696969702</v>
      </c>
      <c r="AC48" s="83">
        <f t="shared" si="46"/>
        <v>0.36535885167464122</v>
      </c>
      <c r="AD48" s="188" t="s">
        <v>1128</v>
      </c>
      <c r="AE48" s="351" t="s">
        <v>95</v>
      </c>
      <c r="AF48" s="351"/>
      <c r="AG48" s="351"/>
      <c r="AH48" s="89"/>
      <c r="AI48" s="101"/>
      <c r="AJ48" s="89"/>
      <c r="AK48" s="89"/>
      <c r="AL48" s="101"/>
      <c r="AM48" s="89"/>
      <c r="AN48" s="89"/>
      <c r="AO48" s="101"/>
      <c r="AP48" s="89"/>
      <c r="AQ48" s="89"/>
      <c r="AR48" s="101"/>
      <c r="AS48" s="89"/>
      <c r="AT48" s="89"/>
      <c r="AU48" s="101"/>
      <c r="AV48" s="89"/>
      <c r="AW48" s="89"/>
      <c r="AX48" s="101"/>
      <c r="AY48" s="89"/>
      <c r="AZ48" s="13" t="s">
        <v>108</v>
      </c>
      <c r="BA48" s="13" t="s">
        <v>109</v>
      </c>
    </row>
    <row r="49" spans="1:138" s="5" customFormat="1" ht="216" x14ac:dyDescent="0.2">
      <c r="A49" s="372"/>
      <c r="B49" s="372"/>
      <c r="C49" s="372"/>
      <c r="D49" s="372"/>
      <c r="E49" s="436"/>
      <c r="F49" s="372"/>
      <c r="G49" s="372"/>
      <c r="H49" s="372"/>
      <c r="I49" s="21">
        <v>266629092</v>
      </c>
      <c r="J49" s="171" t="s">
        <v>552</v>
      </c>
      <c r="K49" s="171" t="s">
        <v>553</v>
      </c>
      <c r="L49" s="183">
        <v>0.95</v>
      </c>
      <c r="M49" s="183">
        <v>0.55000000000000004</v>
      </c>
      <c r="N49" s="83">
        <f t="shared" si="43"/>
        <v>4.8052631578947375E-2</v>
      </c>
      <c r="O49" s="183" t="s">
        <v>554</v>
      </c>
      <c r="P49" s="183">
        <v>0.67</v>
      </c>
      <c r="Q49" s="83">
        <f t="shared" si="41"/>
        <v>0.11707368421052633</v>
      </c>
      <c r="R49" s="183" t="s">
        <v>555</v>
      </c>
      <c r="S49" s="183">
        <f>24/36</f>
        <v>0.66666666666666663</v>
      </c>
      <c r="T49" s="83">
        <f t="shared" si="42"/>
        <v>0.17473684210526313</v>
      </c>
      <c r="U49" s="183" t="s">
        <v>556</v>
      </c>
      <c r="V49" s="188">
        <f>35/40</f>
        <v>0.875</v>
      </c>
      <c r="W49" s="83">
        <f t="shared" si="44"/>
        <v>0.30578947368421056</v>
      </c>
      <c r="X49" s="188" t="s">
        <v>1129</v>
      </c>
      <c r="Y49" s="188">
        <f>47/52</f>
        <v>0.90384615384615385</v>
      </c>
      <c r="Z49" s="83">
        <f t="shared" si="45"/>
        <v>0.39483805668016203</v>
      </c>
      <c r="AA49" s="188" t="s">
        <v>1135</v>
      </c>
      <c r="AB49" s="188">
        <f>57/62</f>
        <v>0.91935483870967738</v>
      </c>
      <c r="AC49" s="83">
        <f t="shared" si="46"/>
        <v>0.48193548387096774</v>
      </c>
      <c r="AD49" s="188" t="s">
        <v>1129</v>
      </c>
      <c r="AE49" s="351" t="s">
        <v>95</v>
      </c>
      <c r="AF49" s="351"/>
      <c r="AG49" s="351"/>
      <c r="AH49" s="89"/>
      <c r="AI49" s="101"/>
      <c r="AJ49" s="89"/>
      <c r="AK49" s="89"/>
      <c r="AL49" s="101"/>
      <c r="AM49" s="89"/>
      <c r="AN49" s="89"/>
      <c r="AO49" s="101"/>
      <c r="AP49" s="89"/>
      <c r="AQ49" s="89"/>
      <c r="AR49" s="101"/>
      <c r="AS49" s="89"/>
      <c r="AT49" s="89"/>
      <c r="AU49" s="101"/>
      <c r="AV49" s="89"/>
      <c r="AW49" s="89"/>
      <c r="AX49" s="101"/>
      <c r="AY49" s="89"/>
      <c r="AZ49" s="13" t="s">
        <v>108</v>
      </c>
      <c r="BA49" s="13" t="s">
        <v>109</v>
      </c>
    </row>
    <row r="50" spans="1:138" s="5" customFormat="1" ht="45" customHeight="1" x14ac:dyDescent="0.2">
      <c r="A50" s="372"/>
      <c r="B50" s="372"/>
      <c r="C50" s="372"/>
      <c r="D50" s="372"/>
      <c r="E50" s="436"/>
      <c r="F50" s="372"/>
      <c r="G50" s="372"/>
      <c r="H50" s="372"/>
      <c r="I50" s="176">
        <v>352419242</v>
      </c>
      <c r="J50" s="171" t="s">
        <v>557</v>
      </c>
      <c r="K50" s="171" t="s">
        <v>558</v>
      </c>
      <c r="L50" s="183">
        <v>0.95</v>
      </c>
      <c r="M50" s="183">
        <v>0.83</v>
      </c>
      <c r="N50" s="83">
        <f t="shared" si="43"/>
        <v>7.2515789473684214E-2</v>
      </c>
      <c r="O50" s="183" t="s">
        <v>559</v>
      </c>
      <c r="P50" s="183">
        <v>0.79</v>
      </c>
      <c r="Q50" s="83">
        <f t="shared" si="41"/>
        <v>0.13804210526315791</v>
      </c>
      <c r="R50" s="183" t="s">
        <v>560</v>
      </c>
      <c r="S50" s="183">
        <f>19/22</f>
        <v>0.86363636363636365</v>
      </c>
      <c r="T50" s="83">
        <f t="shared" si="42"/>
        <v>0.22636363636363638</v>
      </c>
      <c r="U50" s="183" t="s">
        <v>561</v>
      </c>
      <c r="V50" s="188">
        <f>27/31</f>
        <v>0.87096774193548387</v>
      </c>
      <c r="W50" s="83">
        <f t="shared" si="44"/>
        <v>0.30438030560271651</v>
      </c>
      <c r="X50" s="188" t="s">
        <v>1130</v>
      </c>
      <c r="Y50" s="188">
        <f>35/39</f>
        <v>0.89743589743589747</v>
      </c>
      <c r="Z50" s="83">
        <f t="shared" si="45"/>
        <v>0.39203778677462892</v>
      </c>
      <c r="AA50" s="188" t="s">
        <v>1136</v>
      </c>
      <c r="AB50" s="188">
        <f>41/46</f>
        <v>0.89130434782608692</v>
      </c>
      <c r="AC50" s="83">
        <f t="shared" si="46"/>
        <v>0.46723112128146455</v>
      </c>
      <c r="AD50" s="188" t="s">
        <v>1130</v>
      </c>
      <c r="AE50" s="351" t="s">
        <v>95</v>
      </c>
      <c r="AF50" s="351"/>
      <c r="AG50" s="351"/>
      <c r="AH50" s="89"/>
      <c r="AI50" s="101"/>
      <c r="AJ50" s="89"/>
      <c r="AK50" s="89"/>
      <c r="AL50" s="101"/>
      <c r="AM50" s="89"/>
      <c r="AN50" s="89"/>
      <c r="AO50" s="101"/>
      <c r="AP50" s="89"/>
      <c r="AQ50" s="89"/>
      <c r="AR50" s="101"/>
      <c r="AS50" s="89"/>
      <c r="AT50" s="89"/>
      <c r="AU50" s="101"/>
      <c r="AV50" s="89"/>
      <c r="AW50" s="89"/>
      <c r="AX50" s="101"/>
      <c r="AY50" s="89"/>
      <c r="AZ50" s="13" t="s">
        <v>108</v>
      </c>
      <c r="BA50" s="13" t="s">
        <v>109</v>
      </c>
    </row>
    <row r="51" spans="1:138" s="5" customFormat="1" ht="45" customHeight="1" x14ac:dyDescent="0.2">
      <c r="A51" s="346"/>
      <c r="B51" s="346"/>
      <c r="C51" s="346"/>
      <c r="D51" s="346"/>
      <c r="E51" s="437"/>
      <c r="F51" s="346"/>
      <c r="G51" s="346"/>
      <c r="H51" s="346"/>
      <c r="I51" s="176">
        <v>224252777</v>
      </c>
      <c r="J51" s="171" t="s">
        <v>562</v>
      </c>
      <c r="K51" s="171" t="s">
        <v>563</v>
      </c>
      <c r="L51" s="183">
        <v>1</v>
      </c>
      <c r="M51" s="183">
        <f>9/9</f>
        <v>1</v>
      </c>
      <c r="N51" s="83">
        <f t="shared" si="43"/>
        <v>8.3000000000000004E-2</v>
      </c>
      <c r="O51" s="183" t="s">
        <v>564</v>
      </c>
      <c r="P51" s="183">
        <f>16/16</f>
        <v>1</v>
      </c>
      <c r="Q51" s="83">
        <f t="shared" si="41"/>
        <v>0.16600000000000001</v>
      </c>
      <c r="R51" s="183" t="s">
        <v>565</v>
      </c>
      <c r="S51" s="183">
        <f>23/23</f>
        <v>1</v>
      </c>
      <c r="T51" s="83">
        <f t="shared" si="42"/>
        <v>0.249</v>
      </c>
      <c r="U51" s="183" t="s">
        <v>566</v>
      </c>
      <c r="V51" s="188">
        <f>28/28</f>
        <v>1</v>
      </c>
      <c r="W51" s="83">
        <f t="shared" si="44"/>
        <v>0.33200000000000002</v>
      </c>
      <c r="X51" s="188" t="s">
        <v>1131</v>
      </c>
      <c r="Y51" s="188">
        <f>36/36</f>
        <v>1</v>
      </c>
      <c r="Z51" s="83">
        <f t="shared" si="45"/>
        <v>0.41500000000000004</v>
      </c>
      <c r="AA51" s="188" t="s">
        <v>1137</v>
      </c>
      <c r="AB51" s="188">
        <f>50/50</f>
        <v>1</v>
      </c>
      <c r="AC51" s="83">
        <f t="shared" si="46"/>
        <v>0.498</v>
      </c>
      <c r="AD51" s="188" t="s">
        <v>1131</v>
      </c>
      <c r="AE51" s="351" t="s">
        <v>95</v>
      </c>
      <c r="AF51" s="351"/>
      <c r="AG51" s="351"/>
      <c r="AH51" s="89"/>
      <c r="AI51" s="101"/>
      <c r="AJ51" s="89"/>
      <c r="AK51" s="89"/>
      <c r="AL51" s="101"/>
      <c r="AM51" s="89"/>
      <c r="AN51" s="89"/>
      <c r="AO51" s="101"/>
      <c r="AP51" s="89"/>
      <c r="AQ51" s="89"/>
      <c r="AR51" s="101"/>
      <c r="AS51" s="89"/>
      <c r="AT51" s="89"/>
      <c r="AU51" s="101"/>
      <c r="AV51" s="89"/>
      <c r="AW51" s="89"/>
      <c r="AX51" s="101"/>
      <c r="AY51" s="89"/>
      <c r="AZ51" s="13" t="s">
        <v>108</v>
      </c>
      <c r="BA51" s="13" t="s">
        <v>109</v>
      </c>
    </row>
    <row r="52" spans="1:138" ht="75" x14ac:dyDescent="0.25">
      <c r="M52" s="71" t="s">
        <v>164</v>
      </c>
      <c r="N52" s="97">
        <f>AVERAGE(N46:N51)</f>
        <v>5.1201891984864127E-2</v>
      </c>
      <c r="P52" s="71" t="s">
        <v>164</v>
      </c>
      <c r="Q52" s="97">
        <f>AVERAGE(Q46:Q51)</f>
        <v>0.1414683178534572</v>
      </c>
      <c r="S52" s="71" t="s">
        <v>164</v>
      </c>
      <c r="T52" s="97">
        <f>AVERAGE(T46:T51)</f>
        <v>0.20835582432940178</v>
      </c>
      <c r="V52" s="71" t="s">
        <v>164</v>
      </c>
      <c r="W52" s="97">
        <f>AVERAGE(W46:W51)</f>
        <v>0.30437847129264173</v>
      </c>
      <c r="Y52" s="71" t="s">
        <v>164</v>
      </c>
      <c r="Z52" s="97">
        <f>AVERAGE(Z46:Z51)</f>
        <v>0.38750340258147514</v>
      </c>
      <c r="AB52" s="71" t="s">
        <v>164</v>
      </c>
      <c r="AC52" s="97">
        <f>AVERAGE(AC46:AC51)</f>
        <v>0.47474266882115473</v>
      </c>
      <c r="AH52" s="71" t="s">
        <v>165</v>
      </c>
      <c r="AI52" s="97" t="s">
        <v>11</v>
      </c>
      <c r="AK52" s="71" t="s">
        <v>165</v>
      </c>
      <c r="AL52" s="97" t="s">
        <v>11</v>
      </c>
      <c r="AN52" s="71" t="s">
        <v>165</v>
      </c>
      <c r="AO52" s="97" t="s">
        <v>11</v>
      </c>
      <c r="AP52" s="9"/>
      <c r="AQ52" s="71" t="s">
        <v>165</v>
      </c>
      <c r="AR52" s="97" t="s">
        <v>11</v>
      </c>
      <c r="AT52" s="71" t="s">
        <v>165</v>
      </c>
      <c r="AU52" s="97" t="s">
        <v>11</v>
      </c>
      <c r="AW52" s="71" t="s">
        <v>165</v>
      </c>
      <c r="AX52" s="97" t="s">
        <v>11</v>
      </c>
      <c r="AY52" s="9"/>
      <c r="AZ52" s="9"/>
      <c r="BA52" s="9"/>
      <c r="EE52"/>
      <c r="EF52"/>
      <c r="EG52"/>
      <c r="EH52"/>
    </row>
    <row r="53" spans="1:138" s="5" customFormat="1" ht="33.75" customHeight="1" x14ac:dyDescent="0.2">
      <c r="A53" s="73"/>
      <c r="B53" s="73"/>
      <c r="C53" s="74"/>
      <c r="D53" s="73"/>
      <c r="E53" s="74"/>
      <c r="F53" s="73"/>
      <c r="G53" s="73"/>
      <c r="H53" s="75"/>
      <c r="I53" s="75"/>
      <c r="J53" s="76"/>
      <c r="K53" s="76"/>
      <c r="L53" s="77"/>
      <c r="M53" s="78"/>
      <c r="N53" s="98"/>
      <c r="O53" s="78"/>
      <c r="P53" s="78"/>
      <c r="Q53" s="98"/>
      <c r="R53" s="78"/>
      <c r="S53" s="78"/>
      <c r="T53" s="98"/>
      <c r="U53" s="78"/>
      <c r="V53" s="78"/>
      <c r="W53" s="98"/>
      <c r="X53" s="78"/>
      <c r="Y53" s="78"/>
      <c r="Z53" s="98"/>
      <c r="AA53" s="78"/>
      <c r="AB53" s="78"/>
      <c r="AC53" s="98"/>
      <c r="AD53" s="78"/>
      <c r="AE53" s="79"/>
      <c r="AF53" s="79"/>
      <c r="AG53" s="77"/>
      <c r="AH53" s="78"/>
      <c r="AI53" s="98"/>
      <c r="AJ53" s="78"/>
      <c r="AK53" s="78"/>
      <c r="AL53" s="98"/>
      <c r="AM53" s="78"/>
      <c r="AN53" s="78"/>
      <c r="AO53" s="98"/>
      <c r="AP53" s="78"/>
      <c r="AQ53" s="78"/>
      <c r="AR53" s="98"/>
      <c r="AS53" s="78"/>
      <c r="AT53" s="78"/>
      <c r="AU53" s="98"/>
      <c r="AV53" s="78"/>
      <c r="AW53" s="78"/>
      <c r="AX53" s="98"/>
      <c r="AY53" s="78"/>
      <c r="AZ53" s="79"/>
      <c r="BA53" s="79"/>
    </row>
    <row r="54" spans="1:138" ht="75" x14ac:dyDescent="0.25">
      <c r="M54" s="71" t="s">
        <v>155</v>
      </c>
      <c r="N54" s="97">
        <f>AVERAGE(N13,N19,N25,N31,N37,N45,N52)</f>
        <v>5.6206058936772385E-2</v>
      </c>
      <c r="P54" s="71" t="s">
        <v>155</v>
      </c>
      <c r="Q54" s="97">
        <f>AVERAGE(Q13,Q19,Q25,Q31,Q37,Q45,Q52)</f>
        <v>0.14896003609428993</v>
      </c>
      <c r="S54" s="71" t="s">
        <v>155</v>
      </c>
      <c r="T54" s="97">
        <f>AVERAGE(T13,T19,T25,T31,T37,T45,T52)</f>
        <v>0.22602992080313275</v>
      </c>
      <c r="V54" s="71" t="s">
        <v>155</v>
      </c>
      <c r="W54" s="97">
        <f>AVERAGE(W13,W19,W25,W31,W37,W45,W52)</f>
        <v>0.33385392290859933</v>
      </c>
      <c r="Y54" s="71" t="s">
        <v>155</v>
      </c>
      <c r="Z54" s="97">
        <f>AVERAGE(Z13,Z19,Z25,Z31,Z37,Z45,Z52)</f>
        <v>0.41173121209552371</v>
      </c>
      <c r="AB54" s="71" t="s">
        <v>155</v>
      </c>
      <c r="AC54" s="97">
        <f>AVERAGE(AC13,AC19,AC25,AC31,AC37,AC45,AC52)</f>
        <v>0.4852269211268001</v>
      </c>
      <c r="AH54" s="71" t="s">
        <v>156</v>
      </c>
      <c r="AI54" s="97">
        <f>AVERAGE(AI13,AI19,AI25,AI31,AI37,AI45)</f>
        <v>4.6038748218690889E-2</v>
      </c>
      <c r="AK54" s="71" t="s">
        <v>156</v>
      </c>
      <c r="AL54" s="97">
        <f>AVERAGE(AL13,AL19,AL25,AL31,AL37,AL45)</f>
        <v>0.17265326028919001</v>
      </c>
      <c r="AN54" s="71" t="s">
        <v>156</v>
      </c>
      <c r="AO54" s="97">
        <f>AVERAGE(AO13,AO19,AO25,AO31,AO37,AO45)</f>
        <v>0.2444239936213434</v>
      </c>
      <c r="AP54" s="9"/>
      <c r="AQ54" s="71" t="s">
        <v>156</v>
      </c>
      <c r="AR54" s="97">
        <f>AVERAGE(AR13,AR19,AR25,AR31,AR37,AR45)</f>
        <v>0.33018044627522974</v>
      </c>
      <c r="AT54" s="71" t="s">
        <v>156</v>
      </c>
      <c r="AU54" s="97">
        <f>AVERAGE(AU13,AU19,AU25,AU31,AU37,AU45)</f>
        <v>0.40063946456740168</v>
      </c>
      <c r="AW54" s="71" t="s">
        <v>156</v>
      </c>
      <c r="AX54" s="97">
        <f>AVERAGE(AX13,AX19,AX25,AX31,AX37,AX45)</f>
        <v>0.51480850291151803</v>
      </c>
      <c r="AY54" s="9"/>
      <c r="AZ54" s="9"/>
      <c r="BA54" s="9"/>
      <c r="EE54"/>
      <c r="EF54"/>
      <c r="EG54"/>
      <c r="EH54"/>
    </row>
    <row r="55" spans="1:138" s="5" customFormat="1" ht="38.25" customHeight="1" x14ac:dyDescent="0.25">
      <c r="A55"/>
      <c r="B55"/>
      <c r="C55" s="4"/>
      <c r="D55" s="4"/>
      <c r="E55" s="4"/>
      <c r="F55" s="4"/>
      <c r="G55" s="4"/>
      <c r="H55" s="1"/>
      <c r="I55" s="1"/>
      <c r="J55" s="4"/>
      <c r="K55" s="4"/>
      <c r="L55" s="6"/>
      <c r="M55" s="4"/>
      <c r="N55" s="94"/>
      <c r="O55" s="6"/>
      <c r="P55" s="4"/>
      <c r="Q55" s="94"/>
      <c r="R55" s="6"/>
      <c r="S55" s="4"/>
      <c r="T55" s="94"/>
      <c r="U55" s="6"/>
      <c r="V55" s="4"/>
      <c r="W55" s="94"/>
      <c r="X55" s="6"/>
      <c r="Y55" s="4"/>
      <c r="Z55" s="94"/>
      <c r="AA55" s="6"/>
      <c r="AB55" s="4"/>
      <c r="AC55" s="94"/>
      <c r="AD55" s="6"/>
      <c r="AE55" s="3"/>
      <c r="AF55" s="3"/>
      <c r="AG55" s="8"/>
      <c r="AH55" s="4"/>
      <c r="AI55" s="94"/>
      <c r="AJ55" s="6"/>
      <c r="AK55" s="4"/>
      <c r="AL55" s="94"/>
      <c r="AM55" s="6"/>
      <c r="AN55" s="4"/>
      <c r="AO55" s="94"/>
      <c r="AP55" s="6"/>
      <c r="AQ55" s="4"/>
      <c r="AR55" s="94"/>
      <c r="AS55" s="6"/>
      <c r="AT55" s="4"/>
      <c r="AU55" s="94"/>
      <c r="AV55" s="6"/>
      <c r="AW55" s="4"/>
      <c r="AX55" s="94"/>
      <c r="AY55" s="6"/>
      <c r="AZ55" s="12"/>
      <c r="BA55" s="12"/>
    </row>
    <row r="56" spans="1:138" ht="38.25" customHeight="1" x14ac:dyDescent="0.25"/>
    <row r="57" spans="1:138" ht="38.25" customHeight="1" x14ac:dyDescent="0.25">
      <c r="A57" t="s">
        <v>290</v>
      </c>
    </row>
  </sheetData>
  <autoFilter ref="A7:AZ57" xr:uid="{00000000-0009-0000-0000-000000000000}"/>
  <mergeCells count="319">
    <mergeCell ref="AQ6:AS6"/>
    <mergeCell ref="AT6:AV6"/>
    <mergeCell ref="AW6:AY6"/>
    <mergeCell ref="V32:V33"/>
    <mergeCell ref="W32:W33"/>
    <mergeCell ref="X32:X33"/>
    <mergeCell ref="Y32:Y33"/>
    <mergeCell ref="Z32:Z33"/>
    <mergeCell ref="AA32:AA33"/>
    <mergeCell ref="AB32:AB33"/>
    <mergeCell ref="AC32:AC33"/>
    <mergeCell ref="AD32:AD33"/>
    <mergeCell ref="V28:V30"/>
    <mergeCell ref="W28:W30"/>
    <mergeCell ref="X28:X30"/>
    <mergeCell ref="Y28:Y30"/>
    <mergeCell ref="Z28:Z30"/>
    <mergeCell ref="AA28:AA30"/>
    <mergeCell ref="AB28:AB30"/>
    <mergeCell ref="AC28:AC30"/>
    <mergeCell ref="AD28:AD30"/>
    <mergeCell ref="V26:V27"/>
    <mergeCell ref="W26:W27"/>
    <mergeCell ref="X26:X27"/>
    <mergeCell ref="Y26:Y27"/>
    <mergeCell ref="Z26:Z27"/>
    <mergeCell ref="AA26:AA27"/>
    <mergeCell ref="AB26:AB27"/>
    <mergeCell ref="AC26:AC27"/>
    <mergeCell ref="AD26:AD27"/>
    <mergeCell ref="V23:V24"/>
    <mergeCell ref="W23:W24"/>
    <mergeCell ref="X23:X24"/>
    <mergeCell ref="Y23:Y24"/>
    <mergeCell ref="Z23:Z24"/>
    <mergeCell ref="AA23:AA24"/>
    <mergeCell ref="AB23:AB24"/>
    <mergeCell ref="AC23:AC24"/>
    <mergeCell ref="AD23:AD24"/>
    <mergeCell ref="V20:V22"/>
    <mergeCell ref="W20:W22"/>
    <mergeCell ref="X20:X22"/>
    <mergeCell ref="Y20:Y22"/>
    <mergeCell ref="Z20:Z22"/>
    <mergeCell ref="AA20:AA22"/>
    <mergeCell ref="AB20:AB22"/>
    <mergeCell ref="AC20:AC22"/>
    <mergeCell ref="AD20:AD22"/>
    <mergeCell ref="V16:V18"/>
    <mergeCell ref="W16:W18"/>
    <mergeCell ref="X16:X18"/>
    <mergeCell ref="Y16:Y18"/>
    <mergeCell ref="Z16:Z18"/>
    <mergeCell ref="AA16:AA18"/>
    <mergeCell ref="AB16:AB18"/>
    <mergeCell ref="AC16:AC18"/>
    <mergeCell ref="AD16:AD18"/>
    <mergeCell ref="V14:V15"/>
    <mergeCell ref="W14:W15"/>
    <mergeCell ref="X14:X15"/>
    <mergeCell ref="Y14:Y15"/>
    <mergeCell ref="Z14:Z15"/>
    <mergeCell ref="AA14:AA15"/>
    <mergeCell ref="AB14:AB15"/>
    <mergeCell ref="AC14:AC15"/>
    <mergeCell ref="AD14:AD15"/>
    <mergeCell ref="V10:V12"/>
    <mergeCell ref="W10:W12"/>
    <mergeCell ref="X10:X12"/>
    <mergeCell ref="Y10:Y12"/>
    <mergeCell ref="Z10:Z12"/>
    <mergeCell ref="AA10:AA12"/>
    <mergeCell ref="AB10:AB12"/>
    <mergeCell ref="AC10:AC12"/>
    <mergeCell ref="AD10:AD12"/>
    <mergeCell ref="V6:X6"/>
    <mergeCell ref="Y6:AA6"/>
    <mergeCell ref="AB6:AD6"/>
    <mergeCell ref="V8:V9"/>
    <mergeCell ref="W8:W9"/>
    <mergeCell ref="X8:X9"/>
    <mergeCell ref="Y8:Y9"/>
    <mergeCell ref="Z8:Z9"/>
    <mergeCell ref="AA8:AA9"/>
    <mergeCell ref="AB8:AB9"/>
    <mergeCell ref="AC8:AC9"/>
    <mergeCell ref="AD8:AD9"/>
    <mergeCell ref="N39:N41"/>
    <mergeCell ref="O39:O41"/>
    <mergeCell ref="P39:P41"/>
    <mergeCell ref="Q39:Q41"/>
    <mergeCell ref="R39:R41"/>
    <mergeCell ref="S39:S41"/>
    <mergeCell ref="T39:T41"/>
    <mergeCell ref="U39:U41"/>
    <mergeCell ref="AE47:AG47"/>
    <mergeCell ref="AE44:AG44"/>
    <mergeCell ref="V39:V41"/>
    <mergeCell ref="W39:W41"/>
    <mergeCell ref="X39:X41"/>
    <mergeCell ref="Y39:Y41"/>
    <mergeCell ref="Z39:Z41"/>
    <mergeCell ref="AA39:AA41"/>
    <mergeCell ref="AB39:AB41"/>
    <mergeCell ref="AC39:AC41"/>
    <mergeCell ref="AD39:AD41"/>
    <mergeCell ref="AE38:AG38"/>
    <mergeCell ref="M34:M36"/>
    <mergeCell ref="N34:N36"/>
    <mergeCell ref="O34:O36"/>
    <mergeCell ref="P34:P36"/>
    <mergeCell ref="Q34:Q36"/>
    <mergeCell ref="R34:R36"/>
    <mergeCell ref="S34:S36"/>
    <mergeCell ref="T34:T36"/>
    <mergeCell ref="U34:U36"/>
    <mergeCell ref="V34:V36"/>
    <mergeCell ref="W34:W36"/>
    <mergeCell ref="X34:X36"/>
    <mergeCell ref="Y34:Y36"/>
    <mergeCell ref="Z34:Z36"/>
    <mergeCell ref="AA34:AA36"/>
    <mergeCell ref="AB34:AB36"/>
    <mergeCell ref="AC34:AC36"/>
    <mergeCell ref="AD34:AD36"/>
    <mergeCell ref="M32:M33"/>
    <mergeCell ref="N32:N33"/>
    <mergeCell ref="O32:O33"/>
    <mergeCell ref="P32:P33"/>
    <mergeCell ref="Q32:Q33"/>
    <mergeCell ref="R32:R33"/>
    <mergeCell ref="S32:S33"/>
    <mergeCell ref="T32:T33"/>
    <mergeCell ref="U32:U33"/>
    <mergeCell ref="U26:U27"/>
    <mergeCell ref="M28:M30"/>
    <mergeCell ref="N28:N30"/>
    <mergeCell ref="O28:O30"/>
    <mergeCell ref="P28:P30"/>
    <mergeCell ref="Q28:Q30"/>
    <mergeCell ref="R28:R30"/>
    <mergeCell ref="S28:S30"/>
    <mergeCell ref="T28:T30"/>
    <mergeCell ref="U28:U30"/>
    <mergeCell ref="M23:M24"/>
    <mergeCell ref="N23:N24"/>
    <mergeCell ref="O23:O24"/>
    <mergeCell ref="P23:P24"/>
    <mergeCell ref="Q23:Q24"/>
    <mergeCell ref="R23:R24"/>
    <mergeCell ref="S23:S24"/>
    <mergeCell ref="T23:T24"/>
    <mergeCell ref="U23:U24"/>
    <mergeCell ref="M20:M22"/>
    <mergeCell ref="N20:N22"/>
    <mergeCell ref="O20:O22"/>
    <mergeCell ref="P20:P22"/>
    <mergeCell ref="Q20:Q22"/>
    <mergeCell ref="R20:R22"/>
    <mergeCell ref="S20:S22"/>
    <mergeCell ref="T20:T22"/>
    <mergeCell ref="U20:U22"/>
    <mergeCell ref="N14:N15"/>
    <mergeCell ref="O14:O15"/>
    <mergeCell ref="P14:P15"/>
    <mergeCell ref="Q14:Q15"/>
    <mergeCell ref="R14:R15"/>
    <mergeCell ref="S14:S15"/>
    <mergeCell ref="T14:T15"/>
    <mergeCell ref="U14:U15"/>
    <mergeCell ref="M16:M18"/>
    <mergeCell ref="N16:N18"/>
    <mergeCell ref="O16:O18"/>
    <mergeCell ref="P16:P18"/>
    <mergeCell ref="Q16:Q18"/>
    <mergeCell ref="R16:R18"/>
    <mergeCell ref="S16:S18"/>
    <mergeCell ref="T16:T18"/>
    <mergeCell ref="U16:U18"/>
    <mergeCell ref="AE46:AG46"/>
    <mergeCell ref="AE51:AG51"/>
    <mergeCell ref="AE48:AG48"/>
    <mergeCell ref="AE49:AG49"/>
    <mergeCell ref="AE50:AG50"/>
    <mergeCell ref="M8:M9"/>
    <mergeCell ref="N8:N9"/>
    <mergeCell ref="O8:O9"/>
    <mergeCell ref="P8:P9"/>
    <mergeCell ref="Q8:Q9"/>
    <mergeCell ref="R8:R9"/>
    <mergeCell ref="S8:S9"/>
    <mergeCell ref="T8:T9"/>
    <mergeCell ref="U8:U9"/>
    <mergeCell ref="M10:M12"/>
    <mergeCell ref="N10:N12"/>
    <mergeCell ref="O10:O12"/>
    <mergeCell ref="P10:P12"/>
    <mergeCell ref="Q10:Q12"/>
    <mergeCell ref="R10:R12"/>
    <mergeCell ref="S10:S12"/>
    <mergeCell ref="T10:T12"/>
    <mergeCell ref="U10:U12"/>
    <mergeCell ref="M14:M15"/>
    <mergeCell ref="A38:A44"/>
    <mergeCell ref="B38:B44"/>
    <mergeCell ref="C38:C44"/>
    <mergeCell ref="D38:D44"/>
    <mergeCell ref="E38:E44"/>
    <mergeCell ref="F38:F44"/>
    <mergeCell ref="G38:G44"/>
    <mergeCell ref="I39:I41"/>
    <mergeCell ref="A46:A51"/>
    <mergeCell ref="B46:B51"/>
    <mergeCell ref="C46:C51"/>
    <mergeCell ref="D46:D51"/>
    <mergeCell ref="E46:E51"/>
    <mergeCell ref="F46:F51"/>
    <mergeCell ref="G46:G51"/>
    <mergeCell ref="M39:M41"/>
    <mergeCell ref="D26:D30"/>
    <mergeCell ref="E26:E30"/>
    <mergeCell ref="J39:J41"/>
    <mergeCell ref="K39:K41"/>
    <mergeCell ref="L39:L41"/>
    <mergeCell ref="AE42:AG42"/>
    <mergeCell ref="AE43:AG43"/>
    <mergeCell ref="F32:F36"/>
    <mergeCell ref="G32:G36"/>
    <mergeCell ref="I32:I33"/>
    <mergeCell ref="J32:J33"/>
    <mergeCell ref="K32:K33"/>
    <mergeCell ref="L32:L33"/>
    <mergeCell ref="I34:I36"/>
    <mergeCell ref="J34:J36"/>
    <mergeCell ref="M26:M27"/>
    <mergeCell ref="N26:N27"/>
    <mergeCell ref="O26:O27"/>
    <mergeCell ref="P26:P27"/>
    <mergeCell ref="Q26:Q27"/>
    <mergeCell ref="R26:R27"/>
    <mergeCell ref="S26:S27"/>
    <mergeCell ref="T26:T27"/>
    <mergeCell ref="K34:K36"/>
    <mergeCell ref="L34:L36"/>
    <mergeCell ref="A32:A36"/>
    <mergeCell ref="B32:B36"/>
    <mergeCell ref="C32:C36"/>
    <mergeCell ref="D32:D36"/>
    <mergeCell ref="E32:E36"/>
    <mergeCell ref="F26:F30"/>
    <mergeCell ref="G26:G30"/>
    <mergeCell ref="I26:I27"/>
    <mergeCell ref="J26:J27"/>
    <mergeCell ref="K26:K27"/>
    <mergeCell ref="L26:L27"/>
    <mergeCell ref="I28:I30"/>
    <mergeCell ref="J28:J30"/>
    <mergeCell ref="K28:K30"/>
    <mergeCell ref="L28:L30"/>
    <mergeCell ref="A26:A30"/>
    <mergeCell ref="B26:B30"/>
    <mergeCell ref="C26:C30"/>
    <mergeCell ref="A20:A24"/>
    <mergeCell ref="B20:B24"/>
    <mergeCell ref="C20:C24"/>
    <mergeCell ref="D20:D24"/>
    <mergeCell ref="E20:E24"/>
    <mergeCell ref="K14:K15"/>
    <mergeCell ref="L14:L15"/>
    <mergeCell ref="I16:I18"/>
    <mergeCell ref="J16:J18"/>
    <mergeCell ref="K16:K18"/>
    <mergeCell ref="L16:L18"/>
    <mergeCell ref="A14:A18"/>
    <mergeCell ref="B14:B18"/>
    <mergeCell ref="C14:C18"/>
    <mergeCell ref="D14:D18"/>
    <mergeCell ref="E14:E18"/>
    <mergeCell ref="F20:F24"/>
    <mergeCell ref="G20:G24"/>
    <mergeCell ref="I20:I22"/>
    <mergeCell ref="J20:J22"/>
    <mergeCell ref="K20:K22"/>
    <mergeCell ref="L20:L22"/>
    <mergeCell ref="K23:K24"/>
    <mergeCell ref="L23:L24"/>
    <mergeCell ref="H8:H51"/>
    <mergeCell ref="I8:I9"/>
    <mergeCell ref="J8:J9"/>
    <mergeCell ref="F14:F18"/>
    <mergeCell ref="G14:G18"/>
    <mergeCell ref="I14:I15"/>
    <mergeCell ref="J14:J15"/>
    <mergeCell ref="I23:I24"/>
    <mergeCell ref="J23:J24"/>
    <mergeCell ref="AN6:AP6"/>
    <mergeCell ref="AZ6:BA6"/>
    <mergeCell ref="D6:E6"/>
    <mergeCell ref="F6:I6"/>
    <mergeCell ref="J6:L6"/>
    <mergeCell ref="M6:O6"/>
    <mergeCell ref="P6:R6"/>
    <mergeCell ref="A8:A12"/>
    <mergeCell ref="B8:B12"/>
    <mergeCell ref="C8:C12"/>
    <mergeCell ref="D8:D12"/>
    <mergeCell ref="S6:U6"/>
    <mergeCell ref="AE6:AG6"/>
    <mergeCell ref="AH6:AJ6"/>
    <mergeCell ref="AK6:AM6"/>
    <mergeCell ref="K8:K9"/>
    <mergeCell ref="L8:L9"/>
    <mergeCell ref="I10:I12"/>
    <mergeCell ref="J10:J12"/>
    <mergeCell ref="K10:K12"/>
    <mergeCell ref="L10:L12"/>
    <mergeCell ref="E8:E12"/>
    <mergeCell ref="F8:F12"/>
    <mergeCell ref="G8:G12"/>
  </mergeCells>
  <pageMargins left="0.75" right="0.75" top="1" bottom="1" header="0.5" footer="0.5"/>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0FE92-AC19-415C-8C2E-BD0C3D74DC5D}">
  <sheetPr>
    <tabColor theme="9" tint="-0.249977111117893"/>
  </sheetPr>
  <dimension ref="A1:EH53"/>
  <sheetViews>
    <sheetView showGridLines="0" topLeftCell="B6" zoomScale="80" zoomScaleNormal="80" workbookViewId="0">
      <pane xSplit="4" ySplit="2" topLeftCell="F8" activePane="bottomRight" state="frozen"/>
      <selection activeCell="B6" sqref="B6"/>
      <selection pane="topRight" activeCell="G6" sqref="G6"/>
      <selection pane="bottomLeft" activeCell="B8" sqref="B8"/>
      <selection pane="bottomRight"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23.85546875" style="4"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26.140625" style="6"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2" width="15.28515625" style="4" customWidth="1"/>
    <col min="23" max="23" width="23.42578125" style="84" customWidth="1"/>
    <col min="24" max="24" width="26.140625" style="6" customWidth="1"/>
    <col min="25" max="25" width="15.28515625" style="4" customWidth="1"/>
    <col min="26" max="26" width="23.42578125" style="84" customWidth="1"/>
    <col min="27" max="27" width="17.7109375" style="6" bestFit="1" customWidth="1"/>
    <col min="28" max="28" width="15.28515625" style="4" customWidth="1"/>
    <col min="29" max="29" width="23.42578125" style="84" customWidth="1"/>
    <col min="30" max="30" width="17.7109375" style="6" bestFit="1" customWidth="1"/>
    <col min="31" max="32" width="45.7109375" style="3" bestFit="1" customWidth="1"/>
    <col min="33" max="33" width="15.28515625" style="8" bestFit="1" customWidth="1"/>
    <col min="34" max="34" width="15.28515625" style="4" customWidth="1"/>
    <col min="35" max="35" width="23.42578125" style="84" customWidth="1"/>
    <col min="36" max="36" width="32.28515625" style="6" customWidth="1"/>
    <col min="37" max="37" width="15.28515625" style="4" customWidth="1"/>
    <col min="38" max="38" width="23.42578125" style="84" customWidth="1"/>
    <col min="39" max="39" width="26.5703125" style="6" customWidth="1"/>
    <col min="40" max="40" width="15.28515625" style="4" customWidth="1"/>
    <col min="41" max="41" width="23.42578125" style="84" customWidth="1"/>
    <col min="42" max="42" width="30.28515625" style="6" customWidth="1"/>
    <col min="43" max="43" width="15.28515625" style="4" customWidth="1"/>
    <col min="44" max="44" width="23.42578125" style="84" customWidth="1"/>
    <col min="45" max="45" width="32.28515625" style="6" customWidth="1"/>
    <col min="46" max="46" width="15.28515625" style="4" customWidth="1"/>
    <col min="47" max="47" width="23.42578125" style="84" customWidth="1"/>
    <col min="48" max="48" width="26.5703125" style="6" customWidth="1"/>
    <col min="49" max="49" width="15.28515625" style="4" customWidth="1"/>
    <col min="50" max="50" width="23.42578125" style="84" customWidth="1"/>
    <col min="51" max="51" width="30.28515625" style="6" customWidth="1"/>
    <col min="52" max="52" width="30.140625" style="12" bestFit="1" customWidth="1"/>
    <col min="53" max="53" width="45.7109375" style="12" bestFit="1" customWidth="1"/>
    <col min="54" max="138" width="11.42578125" style="9"/>
  </cols>
  <sheetData>
    <row r="1" spans="1:138" x14ac:dyDescent="0.25">
      <c r="H1"/>
      <c r="I1"/>
      <c r="AG1" s="158"/>
    </row>
    <row r="2" spans="1:138" x14ac:dyDescent="0.25">
      <c r="H2"/>
      <c r="I2"/>
      <c r="AG2" s="158"/>
    </row>
    <row r="3" spans="1:138" x14ac:dyDescent="0.25">
      <c r="H3"/>
      <c r="I3"/>
      <c r="AG3" s="158"/>
    </row>
    <row r="4" spans="1:138" x14ac:dyDescent="0.25">
      <c r="H4"/>
      <c r="I4"/>
      <c r="AG4" s="158"/>
    </row>
    <row r="5" spans="1:138" x14ac:dyDescent="0.25">
      <c r="H5"/>
      <c r="I5"/>
      <c r="N5" s="85"/>
      <c r="Q5" s="85"/>
      <c r="T5" s="85"/>
      <c r="W5" s="85"/>
      <c r="Z5" s="85"/>
      <c r="AC5" s="85"/>
      <c r="AG5" s="158"/>
      <c r="AI5" s="85"/>
      <c r="AL5" s="85"/>
      <c r="AO5" s="85"/>
      <c r="AR5" s="85"/>
      <c r="AU5" s="85"/>
      <c r="AX5" s="85"/>
    </row>
    <row r="6" spans="1:138" s="11" customFormat="1" ht="30" x14ac:dyDescent="0.2">
      <c r="A6" s="170" t="s">
        <v>61</v>
      </c>
      <c r="B6" s="170" t="s">
        <v>62</v>
      </c>
      <c r="C6" s="305"/>
      <c r="D6" s="335" t="s">
        <v>63</v>
      </c>
      <c r="E6" s="336"/>
      <c r="F6" s="335" t="s">
        <v>64</v>
      </c>
      <c r="G6" s="337"/>
      <c r="H6" s="337"/>
      <c r="I6" s="336"/>
      <c r="J6" s="338" t="s">
        <v>65</v>
      </c>
      <c r="K6" s="338"/>
      <c r="L6" s="338"/>
      <c r="M6" s="339" t="s">
        <v>2</v>
      </c>
      <c r="N6" s="340"/>
      <c r="O6" s="341"/>
      <c r="P6" s="339" t="s">
        <v>3</v>
      </c>
      <c r="Q6" s="340"/>
      <c r="R6" s="341"/>
      <c r="S6" s="339" t="s">
        <v>4</v>
      </c>
      <c r="T6" s="340"/>
      <c r="U6" s="341"/>
      <c r="V6" s="339" t="s">
        <v>1081</v>
      </c>
      <c r="W6" s="340"/>
      <c r="X6" s="341"/>
      <c r="Y6" s="339" t="s">
        <v>1082</v>
      </c>
      <c r="Z6" s="340"/>
      <c r="AA6" s="341"/>
      <c r="AB6" s="339" t="s">
        <v>1083</v>
      </c>
      <c r="AC6" s="340"/>
      <c r="AD6" s="341"/>
      <c r="AE6" s="373" t="s">
        <v>66</v>
      </c>
      <c r="AF6" s="373"/>
      <c r="AG6" s="373"/>
      <c r="AH6" s="367" t="s">
        <v>2</v>
      </c>
      <c r="AI6" s="368"/>
      <c r="AJ6" s="369"/>
      <c r="AK6" s="367" t="s">
        <v>3</v>
      </c>
      <c r="AL6" s="368"/>
      <c r="AM6" s="369"/>
      <c r="AN6" s="367" t="s">
        <v>4</v>
      </c>
      <c r="AO6" s="368"/>
      <c r="AP6" s="369"/>
      <c r="AQ6" s="367" t="s">
        <v>1081</v>
      </c>
      <c r="AR6" s="368"/>
      <c r="AS6" s="369"/>
      <c r="AT6" s="367" t="s">
        <v>1082</v>
      </c>
      <c r="AU6" s="368"/>
      <c r="AV6" s="369"/>
      <c r="AW6" s="367" t="s">
        <v>1083</v>
      </c>
      <c r="AX6" s="368"/>
      <c r="AY6" s="369"/>
      <c r="AZ6" s="338" t="s">
        <v>67</v>
      </c>
      <c r="BA6" s="338"/>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row>
    <row r="7" spans="1:138" s="11" customFormat="1" ht="49.5" customHeight="1" x14ac:dyDescent="0.2">
      <c r="A7" s="170" t="s">
        <v>68</v>
      </c>
      <c r="B7" s="170" t="s">
        <v>69</v>
      </c>
      <c r="C7" s="170" t="s">
        <v>70</v>
      </c>
      <c r="D7" s="170" t="s">
        <v>71</v>
      </c>
      <c r="E7" s="170" t="s">
        <v>72</v>
      </c>
      <c r="F7" s="170" t="s">
        <v>73</v>
      </c>
      <c r="G7" s="170" t="s">
        <v>74</v>
      </c>
      <c r="H7" s="20" t="s">
        <v>75</v>
      </c>
      <c r="I7" s="20" t="s">
        <v>76</v>
      </c>
      <c r="J7" s="170" t="s">
        <v>65</v>
      </c>
      <c r="K7" s="170" t="s">
        <v>77</v>
      </c>
      <c r="L7" s="170" t="s">
        <v>78</v>
      </c>
      <c r="M7" s="170" t="s">
        <v>79</v>
      </c>
      <c r="N7" s="86" t="s">
        <v>80</v>
      </c>
      <c r="O7" s="170" t="s">
        <v>81</v>
      </c>
      <c r="P7" s="170" t="s">
        <v>79</v>
      </c>
      <c r="Q7" s="86" t="s">
        <v>80</v>
      </c>
      <c r="R7" s="170" t="s">
        <v>81</v>
      </c>
      <c r="S7" s="170" t="s">
        <v>79</v>
      </c>
      <c r="T7" s="86" t="s">
        <v>80</v>
      </c>
      <c r="U7" s="170" t="s">
        <v>81</v>
      </c>
      <c r="V7" s="221" t="s">
        <v>79</v>
      </c>
      <c r="W7" s="86" t="s">
        <v>80</v>
      </c>
      <c r="X7" s="221" t="s">
        <v>81</v>
      </c>
      <c r="Y7" s="221" t="s">
        <v>79</v>
      </c>
      <c r="Z7" s="86" t="s">
        <v>80</v>
      </c>
      <c r="AA7" s="221" t="s">
        <v>81</v>
      </c>
      <c r="AB7" s="221" t="s">
        <v>79</v>
      </c>
      <c r="AC7" s="86" t="s">
        <v>80</v>
      </c>
      <c r="AD7" s="221" t="s">
        <v>81</v>
      </c>
      <c r="AE7" s="308" t="s">
        <v>66</v>
      </c>
      <c r="AF7" s="308" t="s">
        <v>82</v>
      </c>
      <c r="AG7" s="308" t="s">
        <v>83</v>
      </c>
      <c r="AH7" s="308" t="s">
        <v>79</v>
      </c>
      <c r="AI7" s="309" t="s">
        <v>80</v>
      </c>
      <c r="AJ7" s="308" t="s">
        <v>81</v>
      </c>
      <c r="AK7" s="308" t="s">
        <v>79</v>
      </c>
      <c r="AL7" s="309" t="s">
        <v>80</v>
      </c>
      <c r="AM7" s="308" t="s">
        <v>81</v>
      </c>
      <c r="AN7" s="308" t="s">
        <v>79</v>
      </c>
      <c r="AO7" s="309" t="s">
        <v>80</v>
      </c>
      <c r="AP7" s="308" t="s">
        <v>81</v>
      </c>
      <c r="AQ7" s="308" t="s">
        <v>79</v>
      </c>
      <c r="AR7" s="309" t="s">
        <v>80</v>
      </c>
      <c r="AS7" s="308" t="s">
        <v>81</v>
      </c>
      <c r="AT7" s="308" t="s">
        <v>79</v>
      </c>
      <c r="AU7" s="309" t="s">
        <v>80</v>
      </c>
      <c r="AV7" s="308" t="s">
        <v>81</v>
      </c>
      <c r="AW7" s="308" t="s">
        <v>79</v>
      </c>
      <c r="AX7" s="309" t="s">
        <v>80</v>
      </c>
      <c r="AY7" s="308" t="s">
        <v>81</v>
      </c>
      <c r="AZ7" s="170" t="s">
        <v>84</v>
      </c>
      <c r="BA7" s="170" t="s">
        <v>85</v>
      </c>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row>
    <row r="8" spans="1:138" s="5" customFormat="1" ht="33.75" customHeight="1" x14ac:dyDescent="0.2">
      <c r="A8" s="351" t="s">
        <v>86</v>
      </c>
      <c r="B8" s="351" t="s">
        <v>291</v>
      </c>
      <c r="C8" s="371" t="s">
        <v>1639</v>
      </c>
      <c r="D8" s="351" t="s">
        <v>43</v>
      </c>
      <c r="E8" s="344" t="s">
        <v>567</v>
      </c>
      <c r="F8" s="351" t="s">
        <v>90</v>
      </c>
      <c r="G8" s="351" t="s">
        <v>293</v>
      </c>
      <c r="H8" s="345">
        <v>45235015981</v>
      </c>
      <c r="I8" s="395">
        <v>5454895880</v>
      </c>
      <c r="J8" s="351" t="s">
        <v>568</v>
      </c>
      <c r="K8" s="351" t="s">
        <v>569</v>
      </c>
      <c r="L8" s="371">
        <v>245</v>
      </c>
      <c r="M8" s="425">
        <v>8</v>
      </c>
      <c r="N8" s="342">
        <f>+M8/L8</f>
        <v>3.2653061224489799E-2</v>
      </c>
      <c r="O8" s="354" t="s">
        <v>570</v>
      </c>
      <c r="P8" s="438">
        <v>13</v>
      </c>
      <c r="Q8" s="342">
        <f>+P8/L8</f>
        <v>5.3061224489795916E-2</v>
      </c>
      <c r="R8" s="354" t="s">
        <v>571</v>
      </c>
      <c r="S8" s="438">
        <v>34</v>
      </c>
      <c r="T8" s="342">
        <f>+S8/L8</f>
        <v>0.13877551020408163</v>
      </c>
      <c r="U8" s="354" t="s">
        <v>572</v>
      </c>
      <c r="V8" s="425">
        <v>55</v>
      </c>
      <c r="W8" s="342">
        <v>0.22448979591836735</v>
      </c>
      <c r="X8" s="354" t="s">
        <v>1489</v>
      </c>
      <c r="Y8" s="438">
        <v>77</v>
      </c>
      <c r="Z8" s="342">
        <v>0.31428571428571428</v>
      </c>
      <c r="AA8" s="354" t="s">
        <v>1526</v>
      </c>
      <c r="AB8" s="438">
        <v>95</v>
      </c>
      <c r="AC8" s="342">
        <v>0.38775510204081631</v>
      </c>
      <c r="AD8" s="354" t="s">
        <v>1562</v>
      </c>
      <c r="AE8" s="13" t="s">
        <v>573</v>
      </c>
      <c r="AF8" s="13" t="s">
        <v>574</v>
      </c>
      <c r="AG8" s="172">
        <v>183</v>
      </c>
      <c r="AH8" s="168">
        <v>2</v>
      </c>
      <c r="AI8" s="183">
        <f>+AH8/AG8</f>
        <v>1.092896174863388E-2</v>
      </c>
      <c r="AJ8" s="80" t="s">
        <v>575</v>
      </c>
      <c r="AK8" s="168">
        <v>21</v>
      </c>
      <c r="AL8" s="183">
        <v>0.11475409836065574</v>
      </c>
      <c r="AM8" s="80" t="s">
        <v>576</v>
      </c>
      <c r="AN8" s="168">
        <v>38</v>
      </c>
      <c r="AO8" s="183">
        <v>0.20765027322404372</v>
      </c>
      <c r="AP8" s="80" t="s">
        <v>577</v>
      </c>
      <c r="AQ8" s="168">
        <v>51</v>
      </c>
      <c r="AR8" s="224">
        <v>0.27868852459016391</v>
      </c>
      <c r="AS8" s="80" t="s">
        <v>1501</v>
      </c>
      <c r="AT8" s="168">
        <v>64</v>
      </c>
      <c r="AU8" s="224">
        <v>0.34972677595628415</v>
      </c>
      <c r="AV8" s="80" t="s">
        <v>1538</v>
      </c>
      <c r="AW8" s="168">
        <v>79</v>
      </c>
      <c r="AX8" s="224">
        <v>0.43169398907103823</v>
      </c>
      <c r="AY8" s="80" t="s">
        <v>1580</v>
      </c>
      <c r="AZ8" s="13" t="s">
        <v>108</v>
      </c>
      <c r="BA8" s="13" t="s">
        <v>109</v>
      </c>
    </row>
    <row r="9" spans="1:138" s="5" customFormat="1" ht="33.75" customHeight="1" x14ac:dyDescent="0.2">
      <c r="A9" s="351"/>
      <c r="B9" s="351"/>
      <c r="C9" s="371"/>
      <c r="D9" s="351"/>
      <c r="E9" s="344"/>
      <c r="F9" s="351"/>
      <c r="G9" s="351"/>
      <c r="H9" s="372"/>
      <c r="I9" s="395"/>
      <c r="J9" s="351" t="s">
        <v>568</v>
      </c>
      <c r="K9" s="351" t="s">
        <v>569</v>
      </c>
      <c r="L9" s="371">
        <v>245</v>
      </c>
      <c r="M9" s="441"/>
      <c r="N9" s="374"/>
      <c r="O9" s="355"/>
      <c r="P9" s="439"/>
      <c r="Q9" s="374"/>
      <c r="R9" s="355"/>
      <c r="S9" s="439"/>
      <c r="T9" s="374"/>
      <c r="U9" s="355"/>
      <c r="V9" s="441"/>
      <c r="W9" s="374"/>
      <c r="X9" s="355"/>
      <c r="Y9" s="439"/>
      <c r="Z9" s="374"/>
      <c r="AA9" s="355"/>
      <c r="AB9" s="439"/>
      <c r="AC9" s="374"/>
      <c r="AD9" s="355"/>
      <c r="AE9" s="13" t="s">
        <v>578</v>
      </c>
      <c r="AF9" s="13" t="s">
        <v>579</v>
      </c>
      <c r="AG9" s="172">
        <v>183</v>
      </c>
      <c r="AH9" s="168">
        <v>0</v>
      </c>
      <c r="AI9" s="183">
        <f t="shared" ref="AI9:AI12" si="0">+AH9/AG9</f>
        <v>0</v>
      </c>
      <c r="AJ9" s="80" t="s">
        <v>580</v>
      </c>
      <c r="AK9" s="168">
        <v>10</v>
      </c>
      <c r="AL9" s="183">
        <v>5.4644808743169397E-2</v>
      </c>
      <c r="AM9" s="80" t="s">
        <v>581</v>
      </c>
      <c r="AN9" s="168">
        <v>26</v>
      </c>
      <c r="AO9" s="183">
        <v>0.14207650273224043</v>
      </c>
      <c r="AP9" s="80" t="s">
        <v>582</v>
      </c>
      <c r="AQ9" s="168">
        <v>35</v>
      </c>
      <c r="AR9" s="224">
        <v>0.19125683060109289</v>
      </c>
      <c r="AS9" s="80" t="s">
        <v>1502</v>
      </c>
      <c r="AT9" s="168">
        <v>51</v>
      </c>
      <c r="AU9" s="224">
        <v>0.27868852459016391</v>
      </c>
      <c r="AV9" s="80" t="s">
        <v>1539</v>
      </c>
      <c r="AW9" s="168">
        <v>64</v>
      </c>
      <c r="AX9" s="224">
        <v>0.34972677595628415</v>
      </c>
      <c r="AY9" s="80" t="s">
        <v>1581</v>
      </c>
      <c r="AZ9" s="13" t="s">
        <v>108</v>
      </c>
      <c r="BA9" s="13" t="s">
        <v>109</v>
      </c>
    </row>
    <row r="10" spans="1:138" s="5" customFormat="1" ht="33.75" customHeight="1" x14ac:dyDescent="0.2">
      <c r="A10" s="351"/>
      <c r="B10" s="351"/>
      <c r="C10" s="371"/>
      <c r="D10" s="351"/>
      <c r="E10" s="344"/>
      <c r="F10" s="351"/>
      <c r="G10" s="351"/>
      <c r="H10" s="372"/>
      <c r="I10" s="395"/>
      <c r="J10" s="351" t="s">
        <v>568</v>
      </c>
      <c r="K10" s="351" t="s">
        <v>569</v>
      </c>
      <c r="L10" s="371">
        <v>245</v>
      </c>
      <c r="M10" s="441"/>
      <c r="N10" s="374"/>
      <c r="O10" s="355"/>
      <c r="P10" s="439"/>
      <c r="Q10" s="374"/>
      <c r="R10" s="355"/>
      <c r="S10" s="439"/>
      <c r="T10" s="374"/>
      <c r="U10" s="355"/>
      <c r="V10" s="441"/>
      <c r="W10" s="374"/>
      <c r="X10" s="355"/>
      <c r="Y10" s="439"/>
      <c r="Z10" s="374"/>
      <c r="AA10" s="355"/>
      <c r="AB10" s="439"/>
      <c r="AC10" s="374"/>
      <c r="AD10" s="355"/>
      <c r="AE10" s="13" t="s">
        <v>583</v>
      </c>
      <c r="AF10" s="13" t="s">
        <v>584</v>
      </c>
      <c r="AG10" s="172">
        <v>62</v>
      </c>
      <c r="AH10" s="168">
        <v>2</v>
      </c>
      <c r="AI10" s="183">
        <f t="shared" si="0"/>
        <v>3.2258064516129031E-2</v>
      </c>
      <c r="AJ10" s="80" t="s">
        <v>585</v>
      </c>
      <c r="AK10" s="168">
        <v>5</v>
      </c>
      <c r="AL10" s="183">
        <v>8.0645161290322578E-2</v>
      </c>
      <c r="AM10" s="80" t="s">
        <v>586</v>
      </c>
      <c r="AN10" s="168">
        <v>12</v>
      </c>
      <c r="AO10" s="183">
        <v>0.19354838709677419</v>
      </c>
      <c r="AP10" s="80" t="s">
        <v>587</v>
      </c>
      <c r="AQ10" s="168">
        <v>21</v>
      </c>
      <c r="AR10" s="224">
        <v>0.33870967741935482</v>
      </c>
      <c r="AS10" s="80" t="s">
        <v>1503</v>
      </c>
      <c r="AT10" s="168">
        <v>26</v>
      </c>
      <c r="AU10" s="224">
        <v>0.41935483870967744</v>
      </c>
      <c r="AV10" s="80" t="s">
        <v>1540</v>
      </c>
      <c r="AW10" s="168">
        <v>34</v>
      </c>
      <c r="AX10" s="224">
        <v>0.54838709677419351</v>
      </c>
      <c r="AY10" s="80" t="s">
        <v>1582</v>
      </c>
      <c r="AZ10" s="13" t="s">
        <v>108</v>
      </c>
      <c r="BA10" s="13" t="s">
        <v>109</v>
      </c>
    </row>
    <row r="11" spans="1:138" s="5" customFormat="1" ht="45" customHeight="1" x14ac:dyDescent="0.2">
      <c r="A11" s="351"/>
      <c r="B11" s="351"/>
      <c r="C11" s="371"/>
      <c r="D11" s="351"/>
      <c r="E11" s="344"/>
      <c r="F11" s="351"/>
      <c r="G11" s="351"/>
      <c r="H11" s="372"/>
      <c r="I11" s="395"/>
      <c r="J11" s="351" t="s">
        <v>568</v>
      </c>
      <c r="K11" s="351" t="s">
        <v>569</v>
      </c>
      <c r="L11" s="371">
        <v>245</v>
      </c>
      <c r="M11" s="441"/>
      <c r="N11" s="374"/>
      <c r="O11" s="355"/>
      <c r="P11" s="439"/>
      <c r="Q11" s="374"/>
      <c r="R11" s="355"/>
      <c r="S11" s="439"/>
      <c r="T11" s="374"/>
      <c r="U11" s="355"/>
      <c r="V11" s="441"/>
      <c r="W11" s="374"/>
      <c r="X11" s="355"/>
      <c r="Y11" s="439"/>
      <c r="Z11" s="374"/>
      <c r="AA11" s="355"/>
      <c r="AB11" s="439"/>
      <c r="AC11" s="374"/>
      <c r="AD11" s="355"/>
      <c r="AE11" s="13" t="s">
        <v>588</v>
      </c>
      <c r="AF11" s="13" t="s">
        <v>589</v>
      </c>
      <c r="AG11" s="177">
        <v>0.54</v>
      </c>
      <c r="AH11" s="80">
        <v>0.125</v>
      </c>
      <c r="AI11" s="183">
        <f t="shared" si="0"/>
        <v>0.23148148148148145</v>
      </c>
      <c r="AJ11" s="80" t="s">
        <v>590</v>
      </c>
      <c r="AK11" s="80">
        <v>0.38461538461538464</v>
      </c>
      <c r="AL11" s="183">
        <v>0.71225071225071224</v>
      </c>
      <c r="AM11" s="80" t="s">
        <v>591</v>
      </c>
      <c r="AN11" s="168">
        <v>0.55882352941176472</v>
      </c>
      <c r="AO11" s="183">
        <v>1.0348583877995643</v>
      </c>
      <c r="AP11" s="80" t="s">
        <v>592</v>
      </c>
      <c r="AQ11" s="80">
        <v>0.5636363636363636</v>
      </c>
      <c r="AR11" s="224">
        <v>1.0437710437710437</v>
      </c>
      <c r="AS11" s="80" t="s">
        <v>1504</v>
      </c>
      <c r="AT11" s="80">
        <v>0.55844155844155841</v>
      </c>
      <c r="AU11" s="224">
        <v>1.034151034151034</v>
      </c>
      <c r="AV11" s="80" t="s">
        <v>1541</v>
      </c>
      <c r="AW11" s="168">
        <v>0.57894736842105265</v>
      </c>
      <c r="AX11" s="224">
        <v>1.0721247563352827</v>
      </c>
      <c r="AY11" s="80" t="s">
        <v>1583</v>
      </c>
      <c r="AZ11" s="13" t="s">
        <v>108</v>
      </c>
      <c r="BA11" s="13" t="s">
        <v>109</v>
      </c>
    </row>
    <row r="12" spans="1:138" s="5" customFormat="1" ht="45" customHeight="1" x14ac:dyDescent="0.2">
      <c r="A12" s="351"/>
      <c r="B12" s="351"/>
      <c r="C12" s="371"/>
      <c r="D12" s="351"/>
      <c r="E12" s="344"/>
      <c r="F12" s="351"/>
      <c r="G12" s="351"/>
      <c r="H12" s="372"/>
      <c r="I12" s="395"/>
      <c r="J12" s="351" t="s">
        <v>568</v>
      </c>
      <c r="K12" s="351" t="s">
        <v>569</v>
      </c>
      <c r="L12" s="371">
        <v>245</v>
      </c>
      <c r="M12" s="426"/>
      <c r="N12" s="343"/>
      <c r="O12" s="356"/>
      <c r="P12" s="440"/>
      <c r="Q12" s="343"/>
      <c r="R12" s="356"/>
      <c r="S12" s="440"/>
      <c r="T12" s="343"/>
      <c r="U12" s="356"/>
      <c r="V12" s="426"/>
      <c r="W12" s="343"/>
      <c r="X12" s="356"/>
      <c r="Y12" s="440"/>
      <c r="Z12" s="343"/>
      <c r="AA12" s="356"/>
      <c r="AB12" s="440"/>
      <c r="AC12" s="343"/>
      <c r="AD12" s="356"/>
      <c r="AE12" s="13" t="s">
        <v>593</v>
      </c>
      <c r="AF12" s="13" t="s">
        <v>594</v>
      </c>
      <c r="AG12" s="177">
        <v>0.2</v>
      </c>
      <c r="AH12" s="183"/>
      <c r="AI12" s="183">
        <f t="shared" si="0"/>
        <v>0</v>
      </c>
      <c r="AJ12" s="80" t="s">
        <v>595</v>
      </c>
      <c r="AK12" s="168"/>
      <c r="AL12" s="183">
        <v>0</v>
      </c>
      <c r="AM12" s="80" t="s">
        <v>595</v>
      </c>
      <c r="AN12" s="168">
        <v>0</v>
      </c>
      <c r="AO12" s="183">
        <v>0</v>
      </c>
      <c r="AP12" s="80" t="s">
        <v>596</v>
      </c>
      <c r="AQ12" s="224">
        <v>0</v>
      </c>
      <c r="AR12" s="224">
        <v>0</v>
      </c>
      <c r="AS12" s="80" t="s">
        <v>595</v>
      </c>
      <c r="AT12" s="168">
        <v>0</v>
      </c>
      <c r="AU12" s="224">
        <v>0</v>
      </c>
      <c r="AV12" s="80" t="s">
        <v>596</v>
      </c>
      <c r="AW12" s="168">
        <v>0</v>
      </c>
      <c r="AX12" s="224">
        <v>0</v>
      </c>
      <c r="AY12" s="80" t="s">
        <v>1584</v>
      </c>
      <c r="AZ12" s="13" t="s">
        <v>108</v>
      </c>
      <c r="BA12" s="13" t="s">
        <v>109</v>
      </c>
    </row>
    <row r="13" spans="1:138" ht="75" x14ac:dyDescent="0.25">
      <c r="H13" s="372"/>
      <c r="M13" s="71" t="s">
        <v>164</v>
      </c>
      <c r="N13" s="87">
        <f>AVERAGE(N8:N12)</f>
        <v>3.2653061224489799E-2</v>
      </c>
      <c r="P13" s="71" t="s">
        <v>164</v>
      </c>
      <c r="Q13" s="87">
        <f>AVERAGE(Q8:Q12)</f>
        <v>5.3061224489795916E-2</v>
      </c>
      <c r="S13" s="71" t="s">
        <v>164</v>
      </c>
      <c r="T13" s="97">
        <f>AVERAGE(T8:T12)</f>
        <v>0.13877551020408163</v>
      </c>
      <c r="V13" s="71" t="s">
        <v>164</v>
      </c>
      <c r="W13" s="87">
        <f>AVERAGE(W8:W12)</f>
        <v>0.22448979591836735</v>
      </c>
      <c r="Y13" s="71" t="s">
        <v>164</v>
      </c>
      <c r="Z13" s="87">
        <f>AVERAGE(Z8:Z12)</f>
        <v>0.31428571428571428</v>
      </c>
      <c r="AB13" s="71" t="s">
        <v>164</v>
      </c>
      <c r="AC13" s="97">
        <f>AVERAGE(AC8:AC12)</f>
        <v>0.38775510204081631</v>
      </c>
      <c r="AH13" s="71" t="s">
        <v>165</v>
      </c>
      <c r="AI13" s="97">
        <f>AVERAGE(AI8:AI11)</f>
        <v>6.8667126936561088E-2</v>
      </c>
      <c r="AK13" s="71" t="s">
        <v>165</v>
      </c>
      <c r="AL13" s="97">
        <f>AVERAGE(AL8:AL11)</f>
        <v>0.24057369516121499</v>
      </c>
      <c r="AN13" s="71" t="s">
        <v>165</v>
      </c>
      <c r="AO13" s="97">
        <f>AVERAGE(AO8:AO12)</f>
        <v>0.31562671017052452</v>
      </c>
      <c r="AP13" s="9"/>
      <c r="AQ13" s="71" t="s">
        <v>165</v>
      </c>
      <c r="AR13" s="97">
        <f>AVERAGE(AR8:AR12)</f>
        <v>0.37048521527633105</v>
      </c>
      <c r="AT13" s="71" t="s">
        <v>165</v>
      </c>
      <c r="AU13" s="97">
        <f>AVERAGE(AU8:AU12)</f>
        <v>0.41638423468143193</v>
      </c>
      <c r="AW13" s="71" t="s">
        <v>165</v>
      </c>
      <c r="AX13" s="97">
        <f>AVERAGE(AX8:AX12)</f>
        <v>0.48038652362735973</v>
      </c>
      <c r="AY13" s="9"/>
      <c r="AZ13" s="9"/>
      <c r="BA13" s="9"/>
      <c r="EE13"/>
      <c r="EF13"/>
      <c r="EG13"/>
      <c r="EH13"/>
    </row>
    <row r="14" spans="1:138" s="5" customFormat="1" ht="45" customHeight="1" x14ac:dyDescent="0.2">
      <c r="A14" s="351" t="s">
        <v>86</v>
      </c>
      <c r="B14" s="351" t="s">
        <v>291</v>
      </c>
      <c r="C14" s="371" t="s">
        <v>1639</v>
      </c>
      <c r="D14" s="351" t="s">
        <v>43</v>
      </c>
      <c r="E14" s="344" t="s">
        <v>597</v>
      </c>
      <c r="F14" s="351" t="s">
        <v>90</v>
      </c>
      <c r="G14" s="351" t="s">
        <v>293</v>
      </c>
      <c r="H14" s="372"/>
      <c r="I14" s="395">
        <v>9957403741</v>
      </c>
      <c r="J14" s="351" t="s">
        <v>568</v>
      </c>
      <c r="K14" s="351" t="s">
        <v>569</v>
      </c>
      <c r="L14" s="371">
        <v>412</v>
      </c>
      <c r="M14" s="425">
        <v>9</v>
      </c>
      <c r="N14" s="342">
        <f>+M14/L14</f>
        <v>2.1844660194174758E-2</v>
      </c>
      <c r="O14" s="354" t="s">
        <v>598</v>
      </c>
      <c r="P14" s="438">
        <v>20</v>
      </c>
      <c r="Q14" s="342">
        <f>+P14/L14</f>
        <v>4.8543689320388349E-2</v>
      </c>
      <c r="R14" s="354" t="s">
        <v>599</v>
      </c>
      <c r="S14" s="438">
        <v>48</v>
      </c>
      <c r="T14" s="342">
        <f>+S14/L14</f>
        <v>0.11650485436893204</v>
      </c>
      <c r="U14" s="354" t="s">
        <v>600</v>
      </c>
      <c r="V14" s="425">
        <v>85</v>
      </c>
      <c r="W14" s="342">
        <v>0.20631067961165048</v>
      </c>
      <c r="X14" s="354" t="s">
        <v>1490</v>
      </c>
      <c r="Y14" s="438">
        <v>121</v>
      </c>
      <c r="Z14" s="342">
        <v>0.2936893203883495</v>
      </c>
      <c r="AA14" s="354" t="s">
        <v>1527</v>
      </c>
      <c r="AB14" s="438">
        <v>152</v>
      </c>
      <c r="AC14" s="342">
        <v>0.36893203883495146</v>
      </c>
      <c r="AD14" s="354" t="s">
        <v>1563</v>
      </c>
      <c r="AE14" s="13" t="s">
        <v>601</v>
      </c>
      <c r="AF14" s="13" t="s">
        <v>574</v>
      </c>
      <c r="AG14" s="172">
        <v>364</v>
      </c>
      <c r="AH14" s="168">
        <v>2</v>
      </c>
      <c r="AI14" s="183">
        <v>5.4945054945054949E-3</v>
      </c>
      <c r="AJ14" s="80" t="s">
        <v>602</v>
      </c>
      <c r="AK14" s="168">
        <v>34</v>
      </c>
      <c r="AL14" s="183">
        <v>9.3406593406593408E-2</v>
      </c>
      <c r="AM14" s="80" t="s">
        <v>603</v>
      </c>
      <c r="AN14" s="168">
        <v>60</v>
      </c>
      <c r="AO14" s="183">
        <v>0.16483516483516483</v>
      </c>
      <c r="AP14" s="80" t="s">
        <v>604</v>
      </c>
      <c r="AQ14" s="168">
        <v>87</v>
      </c>
      <c r="AR14" s="224">
        <v>0.23901098901098902</v>
      </c>
      <c r="AS14" s="80" t="s">
        <v>1505</v>
      </c>
      <c r="AT14" s="168">
        <v>108</v>
      </c>
      <c r="AU14" s="224">
        <v>0.2967032967032967</v>
      </c>
      <c r="AV14" s="80" t="s">
        <v>1542</v>
      </c>
      <c r="AW14" s="168">
        <v>137</v>
      </c>
      <c r="AX14" s="224">
        <v>0.37637362637362637</v>
      </c>
      <c r="AY14" s="80" t="s">
        <v>1585</v>
      </c>
      <c r="AZ14" s="13" t="s">
        <v>108</v>
      </c>
      <c r="BA14" s="13" t="s">
        <v>109</v>
      </c>
    </row>
    <row r="15" spans="1:138" s="5" customFormat="1" ht="45" customHeight="1" x14ac:dyDescent="0.2">
      <c r="A15" s="351"/>
      <c r="B15" s="351"/>
      <c r="C15" s="371"/>
      <c r="D15" s="351"/>
      <c r="E15" s="344"/>
      <c r="F15" s="351"/>
      <c r="G15" s="351"/>
      <c r="H15" s="372"/>
      <c r="I15" s="395"/>
      <c r="J15" s="351"/>
      <c r="K15" s="351"/>
      <c r="L15" s="371"/>
      <c r="M15" s="441"/>
      <c r="N15" s="374"/>
      <c r="O15" s="355"/>
      <c r="P15" s="439"/>
      <c r="Q15" s="374"/>
      <c r="R15" s="355"/>
      <c r="S15" s="439"/>
      <c r="T15" s="374"/>
      <c r="U15" s="355"/>
      <c r="V15" s="441"/>
      <c r="W15" s="374"/>
      <c r="X15" s="355"/>
      <c r="Y15" s="439"/>
      <c r="Z15" s="374"/>
      <c r="AA15" s="355"/>
      <c r="AB15" s="439"/>
      <c r="AC15" s="374"/>
      <c r="AD15" s="355"/>
      <c r="AE15" s="13" t="s">
        <v>605</v>
      </c>
      <c r="AF15" s="13" t="s">
        <v>579</v>
      </c>
      <c r="AG15" s="172">
        <v>364</v>
      </c>
      <c r="AH15" s="168">
        <v>0</v>
      </c>
      <c r="AI15" s="183">
        <v>0</v>
      </c>
      <c r="AJ15" s="80" t="s">
        <v>580</v>
      </c>
      <c r="AK15" s="168">
        <v>6</v>
      </c>
      <c r="AL15" s="183">
        <v>1.6483516483516484E-2</v>
      </c>
      <c r="AM15" s="80" t="s">
        <v>606</v>
      </c>
      <c r="AN15" s="168">
        <v>31</v>
      </c>
      <c r="AO15" s="183">
        <v>8.5164835164835168E-2</v>
      </c>
      <c r="AP15" s="80" t="s">
        <v>607</v>
      </c>
      <c r="AQ15" s="168">
        <v>60</v>
      </c>
      <c r="AR15" s="224">
        <v>0.16483516483516483</v>
      </c>
      <c r="AS15" s="80" t="s">
        <v>1506</v>
      </c>
      <c r="AT15" s="168">
        <v>86</v>
      </c>
      <c r="AU15" s="224">
        <v>0.23626373626373626</v>
      </c>
      <c r="AV15" s="80" t="s">
        <v>1543</v>
      </c>
      <c r="AW15" s="168">
        <v>111</v>
      </c>
      <c r="AX15" s="224">
        <v>0.30494505494505497</v>
      </c>
      <c r="AY15" s="80" t="s">
        <v>1586</v>
      </c>
      <c r="AZ15" s="13" t="s">
        <v>108</v>
      </c>
      <c r="BA15" s="13" t="s">
        <v>109</v>
      </c>
    </row>
    <row r="16" spans="1:138" s="5" customFormat="1" ht="132" x14ac:dyDescent="0.2">
      <c r="A16" s="351"/>
      <c r="B16" s="351"/>
      <c r="C16" s="371"/>
      <c r="D16" s="351"/>
      <c r="E16" s="344"/>
      <c r="F16" s="351"/>
      <c r="G16" s="351"/>
      <c r="H16" s="372"/>
      <c r="I16" s="395"/>
      <c r="J16" s="351"/>
      <c r="K16" s="351"/>
      <c r="L16" s="371"/>
      <c r="M16" s="441"/>
      <c r="N16" s="374"/>
      <c r="O16" s="355"/>
      <c r="P16" s="439"/>
      <c r="Q16" s="374"/>
      <c r="R16" s="355"/>
      <c r="S16" s="439"/>
      <c r="T16" s="374"/>
      <c r="U16" s="355"/>
      <c r="V16" s="441"/>
      <c r="W16" s="374"/>
      <c r="X16" s="355"/>
      <c r="Y16" s="439"/>
      <c r="Z16" s="374"/>
      <c r="AA16" s="355"/>
      <c r="AB16" s="439"/>
      <c r="AC16" s="374"/>
      <c r="AD16" s="355"/>
      <c r="AE16" s="13" t="s">
        <v>608</v>
      </c>
      <c r="AF16" s="13" t="s">
        <v>584</v>
      </c>
      <c r="AG16" s="172">
        <v>48</v>
      </c>
      <c r="AH16" s="168">
        <v>9</v>
      </c>
      <c r="AI16" s="183">
        <v>0.1875</v>
      </c>
      <c r="AJ16" s="80" t="s">
        <v>609</v>
      </c>
      <c r="AK16" s="168">
        <v>24</v>
      </c>
      <c r="AL16" s="183">
        <v>0.5</v>
      </c>
      <c r="AM16" s="80" t="s">
        <v>610</v>
      </c>
      <c r="AN16" s="168">
        <v>28</v>
      </c>
      <c r="AO16" s="183">
        <v>0.58333333333333337</v>
      </c>
      <c r="AP16" s="80" t="s">
        <v>611</v>
      </c>
      <c r="AQ16" s="168">
        <v>34</v>
      </c>
      <c r="AR16" s="224">
        <v>0.70833333333333337</v>
      </c>
      <c r="AS16" s="80" t="s">
        <v>1507</v>
      </c>
      <c r="AT16" s="168">
        <v>41</v>
      </c>
      <c r="AU16" s="224">
        <v>0.85416666666666663</v>
      </c>
      <c r="AV16" s="80" t="s">
        <v>1544</v>
      </c>
      <c r="AW16" s="168">
        <v>48</v>
      </c>
      <c r="AX16" s="224">
        <v>1</v>
      </c>
      <c r="AY16" s="80" t="s">
        <v>1587</v>
      </c>
      <c r="AZ16" s="13" t="s">
        <v>108</v>
      </c>
      <c r="BA16" s="13" t="s">
        <v>109</v>
      </c>
    </row>
    <row r="17" spans="1:138" s="5" customFormat="1" ht="45" customHeight="1" x14ac:dyDescent="0.2">
      <c r="A17" s="351"/>
      <c r="B17" s="351"/>
      <c r="C17" s="371"/>
      <c r="D17" s="351"/>
      <c r="E17" s="344"/>
      <c r="F17" s="351"/>
      <c r="G17" s="351"/>
      <c r="H17" s="372"/>
      <c r="I17" s="395"/>
      <c r="J17" s="351"/>
      <c r="K17" s="351"/>
      <c r="L17" s="371"/>
      <c r="M17" s="441"/>
      <c r="N17" s="374"/>
      <c r="O17" s="355"/>
      <c r="P17" s="439"/>
      <c r="Q17" s="374"/>
      <c r="R17" s="355"/>
      <c r="S17" s="439"/>
      <c r="T17" s="374"/>
      <c r="U17" s="355"/>
      <c r="V17" s="441"/>
      <c r="W17" s="374"/>
      <c r="X17" s="355"/>
      <c r="Y17" s="439"/>
      <c r="Z17" s="374"/>
      <c r="AA17" s="355"/>
      <c r="AB17" s="439"/>
      <c r="AC17" s="374"/>
      <c r="AD17" s="355"/>
      <c r="AE17" s="13" t="s">
        <v>612</v>
      </c>
      <c r="AF17" s="13" t="s">
        <v>589</v>
      </c>
      <c r="AG17" s="177">
        <v>0.54</v>
      </c>
      <c r="AH17" s="80">
        <v>0.33333333333333331</v>
      </c>
      <c r="AI17" s="183">
        <v>0.61728395061728392</v>
      </c>
      <c r="AJ17" s="80" t="s">
        <v>613</v>
      </c>
      <c r="AK17" s="80">
        <v>0.6</v>
      </c>
      <c r="AL17" s="183">
        <v>1.1111111111111109</v>
      </c>
      <c r="AM17" s="80" t="s">
        <v>614</v>
      </c>
      <c r="AN17" s="80">
        <v>0.72916666666666663</v>
      </c>
      <c r="AO17" s="183">
        <v>1.3503086419753085</v>
      </c>
      <c r="AP17" s="80" t="s">
        <v>615</v>
      </c>
      <c r="AQ17" s="80">
        <v>0.70588235294117652</v>
      </c>
      <c r="AR17" s="224">
        <v>1.3071895424836601</v>
      </c>
      <c r="AS17" s="80" t="s">
        <v>1508</v>
      </c>
      <c r="AT17" s="80">
        <v>0.6776859504132231</v>
      </c>
      <c r="AU17" s="224">
        <v>1.2549739822467094</v>
      </c>
      <c r="AV17" s="80" t="s">
        <v>1545</v>
      </c>
      <c r="AW17" s="80">
        <v>0.70394736842105265</v>
      </c>
      <c r="AX17" s="224">
        <v>1.3036062378167641</v>
      </c>
      <c r="AY17" s="80" t="s">
        <v>1588</v>
      </c>
      <c r="AZ17" s="13" t="s">
        <v>108</v>
      </c>
      <c r="BA17" s="13" t="s">
        <v>109</v>
      </c>
    </row>
    <row r="18" spans="1:138" s="5" customFormat="1" ht="45" customHeight="1" x14ac:dyDescent="0.2">
      <c r="A18" s="351"/>
      <c r="B18" s="351"/>
      <c r="C18" s="371"/>
      <c r="D18" s="351"/>
      <c r="E18" s="344"/>
      <c r="F18" s="351"/>
      <c r="G18" s="351"/>
      <c r="H18" s="372"/>
      <c r="I18" s="395"/>
      <c r="J18" s="351"/>
      <c r="K18" s="351"/>
      <c r="L18" s="371"/>
      <c r="M18" s="426"/>
      <c r="N18" s="343"/>
      <c r="O18" s="356"/>
      <c r="P18" s="440"/>
      <c r="Q18" s="343"/>
      <c r="R18" s="356"/>
      <c r="S18" s="440"/>
      <c r="T18" s="343"/>
      <c r="U18" s="356"/>
      <c r="V18" s="426"/>
      <c r="W18" s="343"/>
      <c r="X18" s="356"/>
      <c r="Y18" s="440"/>
      <c r="Z18" s="343"/>
      <c r="AA18" s="356"/>
      <c r="AB18" s="440"/>
      <c r="AC18" s="343"/>
      <c r="AD18" s="356"/>
      <c r="AE18" s="13" t="s">
        <v>616</v>
      </c>
      <c r="AF18" s="13" t="s">
        <v>594</v>
      </c>
      <c r="AG18" s="177">
        <v>0.2</v>
      </c>
      <c r="AH18" s="183"/>
      <c r="AI18" s="183">
        <v>0</v>
      </c>
      <c r="AJ18" s="80" t="s">
        <v>595</v>
      </c>
      <c r="AK18" s="183"/>
      <c r="AL18" s="183">
        <v>0</v>
      </c>
      <c r="AM18" s="80" t="s">
        <v>595</v>
      </c>
      <c r="AN18" s="80">
        <v>0</v>
      </c>
      <c r="AO18" s="183">
        <v>0</v>
      </c>
      <c r="AP18" s="80" t="s">
        <v>617</v>
      </c>
      <c r="AQ18" s="224">
        <v>0</v>
      </c>
      <c r="AR18" s="224">
        <v>0</v>
      </c>
      <c r="AS18" s="80" t="s">
        <v>595</v>
      </c>
      <c r="AT18" s="224">
        <v>0</v>
      </c>
      <c r="AU18" s="224">
        <v>0</v>
      </c>
      <c r="AV18" s="80" t="s">
        <v>617</v>
      </c>
      <c r="AW18" s="80">
        <v>3.1446540880503145E-2</v>
      </c>
      <c r="AX18" s="224">
        <v>0.15723270440251572</v>
      </c>
      <c r="AY18" s="80" t="s">
        <v>1589</v>
      </c>
      <c r="AZ18" s="13" t="s">
        <v>108</v>
      </c>
      <c r="BA18" s="13" t="s">
        <v>109</v>
      </c>
    </row>
    <row r="19" spans="1:138" ht="75" x14ac:dyDescent="0.25">
      <c r="H19" s="372"/>
      <c r="M19" s="71" t="s">
        <v>164</v>
      </c>
      <c r="N19" s="87">
        <f>AVERAGE(N14:N18)</f>
        <v>2.1844660194174758E-2</v>
      </c>
      <c r="P19" s="71" t="s">
        <v>164</v>
      </c>
      <c r="Q19" s="87">
        <f>AVERAGE(Q14:Q18)</f>
        <v>4.8543689320388349E-2</v>
      </c>
      <c r="S19" s="71" t="s">
        <v>164</v>
      </c>
      <c r="T19" s="97">
        <f>AVERAGE(T14:T18)</f>
        <v>0.11650485436893204</v>
      </c>
      <c r="V19" s="71" t="s">
        <v>164</v>
      </c>
      <c r="W19" s="87">
        <f>AVERAGE(W14:W18)</f>
        <v>0.20631067961165048</v>
      </c>
      <c r="Y19" s="71" t="s">
        <v>164</v>
      </c>
      <c r="Z19" s="87">
        <f>AVERAGE(Z14:Z18)</f>
        <v>0.2936893203883495</v>
      </c>
      <c r="AB19" s="71" t="s">
        <v>164</v>
      </c>
      <c r="AC19" s="97">
        <f>AVERAGE(AC14:AC18)</f>
        <v>0.36893203883495146</v>
      </c>
      <c r="AH19" s="71" t="s">
        <v>165</v>
      </c>
      <c r="AI19" s="97">
        <f>AVERAGE(AI14:AI17)</f>
        <v>0.20256961402794735</v>
      </c>
      <c r="AK19" s="71" t="s">
        <v>165</v>
      </c>
      <c r="AL19" s="97">
        <f>AVERAGE(AL14:AL17)</f>
        <v>0.43025030525030522</v>
      </c>
      <c r="AN19" s="71" t="s">
        <v>165</v>
      </c>
      <c r="AO19" s="87">
        <f>AVERAGE(AO14:AO18)</f>
        <v>0.43672839506172839</v>
      </c>
      <c r="AP19" s="9"/>
      <c r="AQ19" s="71" t="s">
        <v>165</v>
      </c>
      <c r="AR19" s="97">
        <f>AVERAGE(AR14:AR18)</f>
        <v>0.48387380593262941</v>
      </c>
      <c r="AT19" s="71" t="s">
        <v>165</v>
      </c>
      <c r="AU19" s="97">
        <f>AVERAGE(AU14:AU18)</f>
        <v>0.5284215363760818</v>
      </c>
      <c r="AW19" s="71" t="s">
        <v>165</v>
      </c>
      <c r="AX19" s="87">
        <f>AVERAGE(AX14:AX18)</f>
        <v>0.62843152470759223</v>
      </c>
      <c r="AY19" s="9"/>
      <c r="AZ19" s="9"/>
      <c r="BA19" s="9"/>
      <c r="EE19"/>
      <c r="EF19"/>
      <c r="EG19"/>
      <c r="EH19"/>
    </row>
    <row r="20" spans="1:138" s="5" customFormat="1" ht="45" customHeight="1" x14ac:dyDescent="0.2">
      <c r="A20" s="351" t="s">
        <v>86</v>
      </c>
      <c r="B20" s="351" t="s">
        <v>291</v>
      </c>
      <c r="C20" s="371" t="s">
        <v>1639</v>
      </c>
      <c r="D20" s="351" t="s">
        <v>43</v>
      </c>
      <c r="E20" s="344" t="s">
        <v>618</v>
      </c>
      <c r="F20" s="351" t="s">
        <v>90</v>
      </c>
      <c r="G20" s="351" t="s">
        <v>293</v>
      </c>
      <c r="H20" s="372"/>
      <c r="I20" s="395">
        <v>7179070433</v>
      </c>
      <c r="J20" s="351" t="s">
        <v>568</v>
      </c>
      <c r="K20" s="351" t="s">
        <v>569</v>
      </c>
      <c r="L20" s="371">
        <v>298</v>
      </c>
      <c r="M20" s="425">
        <v>0</v>
      </c>
      <c r="N20" s="342">
        <f>+M20/L20</f>
        <v>0</v>
      </c>
      <c r="O20" s="354" t="s">
        <v>619</v>
      </c>
      <c r="P20" s="438">
        <v>1</v>
      </c>
      <c r="Q20" s="342">
        <f>+P20/L20</f>
        <v>3.3557046979865771E-3</v>
      </c>
      <c r="R20" s="354" t="s">
        <v>620</v>
      </c>
      <c r="S20" s="438">
        <v>18</v>
      </c>
      <c r="T20" s="342">
        <f>+S20/L20</f>
        <v>6.0402684563758392E-2</v>
      </c>
      <c r="U20" s="354" t="s">
        <v>621</v>
      </c>
      <c r="V20" s="425">
        <v>39</v>
      </c>
      <c r="W20" s="342">
        <v>0.13087248322147652</v>
      </c>
      <c r="X20" s="354" t="s">
        <v>1491</v>
      </c>
      <c r="Y20" s="438">
        <v>57</v>
      </c>
      <c r="Z20" s="342">
        <v>0.1912751677852349</v>
      </c>
      <c r="AA20" s="354" t="s">
        <v>1528</v>
      </c>
      <c r="AB20" s="438">
        <v>76</v>
      </c>
      <c r="AC20" s="342">
        <v>0.25503355704697989</v>
      </c>
      <c r="AD20" s="354" t="s">
        <v>1564</v>
      </c>
      <c r="AE20" s="13" t="s">
        <v>573</v>
      </c>
      <c r="AF20" s="13" t="s">
        <v>574</v>
      </c>
      <c r="AG20" s="172">
        <v>212</v>
      </c>
      <c r="AH20" s="168">
        <v>2</v>
      </c>
      <c r="AI20" s="183">
        <v>9.433962264150943E-3</v>
      </c>
      <c r="AJ20" s="80" t="s">
        <v>622</v>
      </c>
      <c r="AK20" s="168">
        <v>20</v>
      </c>
      <c r="AL20" s="183">
        <v>9.4339622641509441E-2</v>
      </c>
      <c r="AM20" s="80" t="s">
        <v>623</v>
      </c>
      <c r="AN20" s="168">
        <v>39</v>
      </c>
      <c r="AO20" s="183">
        <v>0.18396226415094338</v>
      </c>
      <c r="AP20" s="80" t="s">
        <v>624</v>
      </c>
      <c r="AQ20" s="168">
        <v>63</v>
      </c>
      <c r="AR20" s="224">
        <v>0.29716981132075471</v>
      </c>
      <c r="AS20" s="80" t="s">
        <v>1509</v>
      </c>
      <c r="AT20" s="168">
        <v>78</v>
      </c>
      <c r="AU20" s="224">
        <v>0.36792452830188677</v>
      </c>
      <c r="AV20" s="80" t="s">
        <v>1546</v>
      </c>
      <c r="AW20" s="168">
        <v>101</v>
      </c>
      <c r="AX20" s="224">
        <v>0.47641509433962265</v>
      </c>
      <c r="AY20" s="80" t="s">
        <v>1590</v>
      </c>
      <c r="AZ20" s="13" t="s">
        <v>108</v>
      </c>
      <c r="BA20" s="13" t="s">
        <v>109</v>
      </c>
    </row>
    <row r="21" spans="1:138" s="5" customFormat="1" ht="45" customHeight="1" x14ac:dyDescent="0.2">
      <c r="A21" s="351"/>
      <c r="B21" s="351"/>
      <c r="C21" s="371"/>
      <c r="D21" s="351" t="s">
        <v>43</v>
      </c>
      <c r="E21" s="351" t="s">
        <v>618</v>
      </c>
      <c r="F21" s="351"/>
      <c r="G21" s="351"/>
      <c r="H21" s="372"/>
      <c r="I21" s="395"/>
      <c r="J21" s="351" t="s">
        <v>568</v>
      </c>
      <c r="K21" s="351" t="s">
        <v>569</v>
      </c>
      <c r="L21" s="371">
        <v>298</v>
      </c>
      <c r="M21" s="441"/>
      <c r="N21" s="374"/>
      <c r="O21" s="355"/>
      <c r="P21" s="439"/>
      <c r="Q21" s="374"/>
      <c r="R21" s="355"/>
      <c r="S21" s="439"/>
      <c r="T21" s="374"/>
      <c r="U21" s="355"/>
      <c r="V21" s="441"/>
      <c r="W21" s="374"/>
      <c r="X21" s="355"/>
      <c r="Y21" s="439"/>
      <c r="Z21" s="374"/>
      <c r="AA21" s="355"/>
      <c r="AB21" s="439"/>
      <c r="AC21" s="374"/>
      <c r="AD21" s="355"/>
      <c r="AE21" s="13" t="s">
        <v>578</v>
      </c>
      <c r="AF21" s="13" t="s">
        <v>579</v>
      </c>
      <c r="AG21" s="172">
        <v>212</v>
      </c>
      <c r="AH21" s="168">
        <v>0</v>
      </c>
      <c r="AI21" s="183">
        <v>0</v>
      </c>
      <c r="AJ21" s="80" t="s">
        <v>625</v>
      </c>
      <c r="AK21" s="168">
        <v>1</v>
      </c>
      <c r="AL21" s="183">
        <v>4.7169811320754715E-3</v>
      </c>
      <c r="AM21" s="80" t="s">
        <v>626</v>
      </c>
      <c r="AN21" s="168">
        <v>18</v>
      </c>
      <c r="AO21" s="183">
        <v>8.4905660377358486E-2</v>
      </c>
      <c r="AP21" s="80" t="s">
        <v>627</v>
      </c>
      <c r="AQ21" s="168">
        <v>32</v>
      </c>
      <c r="AR21" s="224">
        <v>0.15094339622641509</v>
      </c>
      <c r="AS21" s="80" t="s">
        <v>1510</v>
      </c>
      <c r="AT21" s="168">
        <v>46</v>
      </c>
      <c r="AU21" s="224">
        <v>0.21698113207547171</v>
      </c>
      <c r="AV21" s="80" t="s">
        <v>1547</v>
      </c>
      <c r="AW21" s="168">
        <v>65</v>
      </c>
      <c r="AX21" s="224">
        <v>0.30660377358490565</v>
      </c>
      <c r="AY21" s="80" t="s">
        <v>1591</v>
      </c>
      <c r="AZ21" s="13" t="s">
        <v>108</v>
      </c>
      <c r="BA21" s="13" t="s">
        <v>109</v>
      </c>
    </row>
    <row r="22" spans="1:138" s="5" customFormat="1" ht="132" x14ac:dyDescent="0.2">
      <c r="A22" s="351"/>
      <c r="B22" s="351"/>
      <c r="C22" s="371"/>
      <c r="D22" s="351" t="s">
        <v>43</v>
      </c>
      <c r="E22" s="351" t="s">
        <v>618</v>
      </c>
      <c r="F22" s="351"/>
      <c r="G22" s="351"/>
      <c r="H22" s="372"/>
      <c r="I22" s="395"/>
      <c r="J22" s="351" t="s">
        <v>568</v>
      </c>
      <c r="K22" s="351" t="s">
        <v>569</v>
      </c>
      <c r="L22" s="371">
        <v>298</v>
      </c>
      <c r="M22" s="441"/>
      <c r="N22" s="374"/>
      <c r="O22" s="355"/>
      <c r="P22" s="439"/>
      <c r="Q22" s="374"/>
      <c r="R22" s="355"/>
      <c r="S22" s="439"/>
      <c r="T22" s="374"/>
      <c r="U22" s="355"/>
      <c r="V22" s="441"/>
      <c r="W22" s="374"/>
      <c r="X22" s="355"/>
      <c r="Y22" s="439"/>
      <c r="Z22" s="374"/>
      <c r="AA22" s="355"/>
      <c r="AB22" s="439"/>
      <c r="AC22" s="374"/>
      <c r="AD22" s="355"/>
      <c r="AE22" s="13" t="s">
        <v>583</v>
      </c>
      <c r="AF22" s="13" t="s">
        <v>584</v>
      </c>
      <c r="AG22" s="172">
        <v>86</v>
      </c>
      <c r="AH22" s="168">
        <v>0</v>
      </c>
      <c r="AI22" s="183">
        <v>0</v>
      </c>
      <c r="AJ22" s="80" t="s">
        <v>628</v>
      </c>
      <c r="AK22" s="168">
        <v>5</v>
      </c>
      <c r="AL22" s="183">
        <v>5.8139534883720929E-2</v>
      </c>
      <c r="AM22" s="80" t="s">
        <v>629</v>
      </c>
      <c r="AN22" s="168">
        <v>12</v>
      </c>
      <c r="AO22" s="183">
        <v>0.13953488372093023</v>
      </c>
      <c r="AP22" s="80" t="s">
        <v>630</v>
      </c>
      <c r="AQ22" s="168">
        <v>16</v>
      </c>
      <c r="AR22" s="224">
        <v>0.18604651162790697</v>
      </c>
      <c r="AS22" s="80" t="s">
        <v>1511</v>
      </c>
      <c r="AT22" s="168">
        <v>22</v>
      </c>
      <c r="AU22" s="224">
        <v>0.2558139534883721</v>
      </c>
      <c r="AV22" s="80" t="s">
        <v>1548</v>
      </c>
      <c r="AW22" s="168">
        <v>29</v>
      </c>
      <c r="AX22" s="224">
        <v>0.33720930232558138</v>
      </c>
      <c r="AY22" s="80" t="s">
        <v>1592</v>
      </c>
      <c r="AZ22" s="13" t="s">
        <v>108</v>
      </c>
      <c r="BA22" s="13" t="s">
        <v>109</v>
      </c>
    </row>
    <row r="23" spans="1:138" s="5" customFormat="1" ht="45" customHeight="1" x14ac:dyDescent="0.2">
      <c r="A23" s="351"/>
      <c r="B23" s="351"/>
      <c r="C23" s="371"/>
      <c r="D23" s="351" t="s">
        <v>43</v>
      </c>
      <c r="E23" s="351" t="s">
        <v>618</v>
      </c>
      <c r="F23" s="351"/>
      <c r="G23" s="351"/>
      <c r="H23" s="372"/>
      <c r="I23" s="395"/>
      <c r="J23" s="351" t="s">
        <v>568</v>
      </c>
      <c r="K23" s="351" t="s">
        <v>569</v>
      </c>
      <c r="L23" s="371">
        <v>298</v>
      </c>
      <c r="M23" s="441"/>
      <c r="N23" s="374"/>
      <c r="O23" s="355"/>
      <c r="P23" s="439"/>
      <c r="Q23" s="374"/>
      <c r="R23" s="355"/>
      <c r="S23" s="439"/>
      <c r="T23" s="374"/>
      <c r="U23" s="355"/>
      <c r="V23" s="441"/>
      <c r="W23" s="374"/>
      <c r="X23" s="355"/>
      <c r="Y23" s="439"/>
      <c r="Z23" s="374"/>
      <c r="AA23" s="355"/>
      <c r="AB23" s="439"/>
      <c r="AC23" s="374"/>
      <c r="AD23" s="355"/>
      <c r="AE23" s="13" t="s">
        <v>588</v>
      </c>
      <c r="AF23" s="13" t="s">
        <v>589</v>
      </c>
      <c r="AG23" s="177">
        <v>0.54</v>
      </c>
      <c r="AH23" s="80">
        <v>0</v>
      </c>
      <c r="AI23" s="183">
        <v>0</v>
      </c>
      <c r="AJ23" s="80" t="s">
        <v>631</v>
      </c>
      <c r="AK23" s="80">
        <v>1</v>
      </c>
      <c r="AL23" s="183">
        <v>1.8518518518518516</v>
      </c>
      <c r="AM23" s="80" t="s">
        <v>632</v>
      </c>
      <c r="AN23" s="80">
        <v>0.66666666666666663</v>
      </c>
      <c r="AO23" s="183">
        <v>1.2345679012345678</v>
      </c>
      <c r="AP23" s="80" t="s">
        <v>633</v>
      </c>
      <c r="AQ23" s="80">
        <v>0.64102564102564108</v>
      </c>
      <c r="AR23" s="224">
        <v>1.1870845204178537</v>
      </c>
      <c r="AS23" s="80" t="s">
        <v>1512</v>
      </c>
      <c r="AT23" s="80">
        <v>0.59649122807017541</v>
      </c>
      <c r="AU23" s="224">
        <v>1.1046133853151396</v>
      </c>
      <c r="AV23" s="80" t="s">
        <v>1549</v>
      </c>
      <c r="AW23" s="80">
        <v>0.64473684210526316</v>
      </c>
      <c r="AX23" s="224">
        <v>1.1939571150097466</v>
      </c>
      <c r="AY23" s="80" t="s">
        <v>1593</v>
      </c>
      <c r="AZ23" s="13" t="s">
        <v>108</v>
      </c>
      <c r="BA23" s="13" t="s">
        <v>109</v>
      </c>
    </row>
    <row r="24" spans="1:138" s="5" customFormat="1" ht="45" customHeight="1" x14ac:dyDescent="0.2">
      <c r="A24" s="351"/>
      <c r="B24" s="351"/>
      <c r="C24" s="371"/>
      <c r="D24" s="351" t="s">
        <v>43</v>
      </c>
      <c r="E24" s="351" t="s">
        <v>618</v>
      </c>
      <c r="F24" s="351"/>
      <c r="G24" s="351"/>
      <c r="H24" s="372"/>
      <c r="I24" s="395"/>
      <c r="J24" s="351" t="s">
        <v>568</v>
      </c>
      <c r="K24" s="351" t="s">
        <v>569</v>
      </c>
      <c r="L24" s="371">
        <v>298</v>
      </c>
      <c r="M24" s="426"/>
      <c r="N24" s="343"/>
      <c r="O24" s="356"/>
      <c r="P24" s="440"/>
      <c r="Q24" s="343"/>
      <c r="R24" s="356"/>
      <c r="S24" s="440"/>
      <c r="T24" s="343"/>
      <c r="U24" s="356"/>
      <c r="V24" s="426"/>
      <c r="W24" s="343"/>
      <c r="X24" s="356"/>
      <c r="Y24" s="440"/>
      <c r="Z24" s="343"/>
      <c r="AA24" s="356"/>
      <c r="AB24" s="440"/>
      <c r="AC24" s="343"/>
      <c r="AD24" s="356"/>
      <c r="AE24" s="13" t="s">
        <v>593</v>
      </c>
      <c r="AF24" s="13" t="s">
        <v>594</v>
      </c>
      <c r="AG24" s="177">
        <v>0.2</v>
      </c>
      <c r="AH24" s="80"/>
      <c r="AI24" s="183">
        <v>0</v>
      </c>
      <c r="AJ24" s="80" t="s">
        <v>595</v>
      </c>
      <c r="AK24" s="80"/>
      <c r="AL24" s="183">
        <v>0</v>
      </c>
      <c r="AM24" s="80" t="s">
        <v>595</v>
      </c>
      <c r="AN24" s="80">
        <v>0</v>
      </c>
      <c r="AO24" s="183">
        <v>0</v>
      </c>
      <c r="AP24" s="80" t="s">
        <v>634</v>
      </c>
      <c r="AQ24" s="80">
        <v>0</v>
      </c>
      <c r="AR24" s="224">
        <v>0</v>
      </c>
      <c r="AS24" s="80" t="s">
        <v>595</v>
      </c>
      <c r="AT24" s="80">
        <v>0</v>
      </c>
      <c r="AU24" s="224">
        <v>0</v>
      </c>
      <c r="AV24" s="80" t="s">
        <v>634</v>
      </c>
      <c r="AW24" s="80">
        <v>0</v>
      </c>
      <c r="AX24" s="224">
        <v>0</v>
      </c>
      <c r="AY24" s="80" t="s">
        <v>1594</v>
      </c>
      <c r="AZ24" s="13" t="s">
        <v>108</v>
      </c>
      <c r="BA24" s="13" t="s">
        <v>109</v>
      </c>
    </row>
    <row r="25" spans="1:138" ht="75" x14ac:dyDescent="0.25">
      <c r="H25" s="372"/>
      <c r="M25" s="71" t="s">
        <v>164</v>
      </c>
      <c r="N25" s="87">
        <f>AVERAGE(N20:N24)</f>
        <v>0</v>
      </c>
      <c r="P25" s="71" t="s">
        <v>164</v>
      </c>
      <c r="Q25" s="87">
        <f>AVERAGE(Q20:Q24)</f>
        <v>3.3557046979865771E-3</v>
      </c>
      <c r="S25" s="71" t="s">
        <v>164</v>
      </c>
      <c r="T25" s="97">
        <f>AVERAGE(T20:T24)</f>
        <v>6.0402684563758392E-2</v>
      </c>
      <c r="V25" s="71" t="s">
        <v>164</v>
      </c>
      <c r="W25" s="87">
        <f>AVERAGE(W20:W24)</f>
        <v>0.13087248322147652</v>
      </c>
      <c r="Y25" s="71" t="s">
        <v>164</v>
      </c>
      <c r="Z25" s="87">
        <f>AVERAGE(Z20:Z24)</f>
        <v>0.1912751677852349</v>
      </c>
      <c r="AB25" s="71" t="s">
        <v>164</v>
      </c>
      <c r="AC25" s="97">
        <f>AVERAGE(AC20:AC24)</f>
        <v>0.25503355704697989</v>
      </c>
      <c r="AH25" s="71" t="s">
        <v>165</v>
      </c>
      <c r="AI25" s="97">
        <f>AVERAGE(AI20:AI23)</f>
        <v>2.3584905660377358E-3</v>
      </c>
      <c r="AK25" s="71" t="s">
        <v>165</v>
      </c>
      <c r="AL25" s="97">
        <f>AVERAGE(AL20:AL23)</f>
        <v>0.5022619976272894</v>
      </c>
      <c r="AN25" s="71" t="s">
        <v>165</v>
      </c>
      <c r="AO25" s="97">
        <f>AVERAGE(AO20:AO24)</f>
        <v>0.32859414189676001</v>
      </c>
      <c r="AP25" s="9"/>
      <c r="AQ25" s="71" t="s">
        <v>165</v>
      </c>
      <c r="AR25" s="97">
        <f>AVERAGE(AR20:AR24)</f>
        <v>0.36424884791858608</v>
      </c>
      <c r="AT25" s="71" t="s">
        <v>165</v>
      </c>
      <c r="AU25" s="97">
        <f>AVERAGE(AU20:AU24)</f>
        <v>0.38906659983617403</v>
      </c>
      <c r="AW25" s="71" t="s">
        <v>165</v>
      </c>
      <c r="AX25" s="97">
        <f>AVERAGE(AX20:AX24)</f>
        <v>0.4628370570519712</v>
      </c>
      <c r="AY25" s="9"/>
      <c r="AZ25" s="9"/>
      <c r="BA25" s="9"/>
      <c r="EE25"/>
      <c r="EF25"/>
      <c r="EG25"/>
      <c r="EH25"/>
    </row>
    <row r="26" spans="1:138" s="5" customFormat="1" ht="45" customHeight="1" x14ac:dyDescent="0.2">
      <c r="A26" s="351" t="s">
        <v>86</v>
      </c>
      <c r="B26" s="351" t="s">
        <v>291</v>
      </c>
      <c r="C26" s="371" t="s">
        <v>1640</v>
      </c>
      <c r="D26" s="351" t="s">
        <v>43</v>
      </c>
      <c r="E26" s="371" t="s">
        <v>635</v>
      </c>
      <c r="F26" s="351" t="s">
        <v>90</v>
      </c>
      <c r="G26" s="351" t="s">
        <v>293</v>
      </c>
      <c r="H26" s="372"/>
      <c r="I26" s="395">
        <v>7233549764</v>
      </c>
      <c r="J26" s="351" t="s">
        <v>568</v>
      </c>
      <c r="K26" s="351" t="s">
        <v>569</v>
      </c>
      <c r="L26" s="371">
        <v>332</v>
      </c>
      <c r="M26" s="425">
        <v>17</v>
      </c>
      <c r="N26" s="342">
        <f>+M26/L26</f>
        <v>5.1204819277108432E-2</v>
      </c>
      <c r="O26" s="354" t="s">
        <v>636</v>
      </c>
      <c r="P26" s="425">
        <v>24</v>
      </c>
      <c r="Q26" s="342">
        <f>+P26/L26</f>
        <v>7.2289156626506021E-2</v>
      </c>
      <c r="R26" s="354" t="s">
        <v>637</v>
      </c>
      <c r="S26" s="438">
        <v>43</v>
      </c>
      <c r="T26" s="342">
        <f>+S26/L26</f>
        <v>0.12951807228915663</v>
      </c>
      <c r="U26" s="354" t="s">
        <v>638</v>
      </c>
      <c r="V26" s="425">
        <v>62</v>
      </c>
      <c r="W26" s="342">
        <v>0.18674698795180722</v>
      </c>
      <c r="X26" s="354" t="s">
        <v>1492</v>
      </c>
      <c r="Y26" s="438">
        <v>92</v>
      </c>
      <c r="Z26" s="342">
        <v>0.27710843373493976</v>
      </c>
      <c r="AA26" s="354" t="s">
        <v>1529</v>
      </c>
      <c r="AB26" s="438">
        <v>123</v>
      </c>
      <c r="AC26" s="342">
        <v>0.37048192771084337</v>
      </c>
      <c r="AD26" s="354" t="s">
        <v>1565</v>
      </c>
      <c r="AE26" s="13" t="s">
        <v>573</v>
      </c>
      <c r="AF26" s="13" t="s">
        <v>574</v>
      </c>
      <c r="AG26" s="172">
        <v>257</v>
      </c>
      <c r="AH26" s="171">
        <v>0</v>
      </c>
      <c r="AI26" s="183">
        <v>0</v>
      </c>
      <c r="AJ26" s="80" t="s">
        <v>639</v>
      </c>
      <c r="AK26" s="171">
        <v>22</v>
      </c>
      <c r="AL26" s="183">
        <v>8.5603112840466927E-2</v>
      </c>
      <c r="AM26" s="80" t="s">
        <v>640</v>
      </c>
      <c r="AN26" s="171">
        <v>43</v>
      </c>
      <c r="AO26" s="183">
        <v>0.16731517509727625</v>
      </c>
      <c r="AP26" s="80" t="s">
        <v>641</v>
      </c>
      <c r="AQ26" s="222">
        <v>65</v>
      </c>
      <c r="AR26" s="224">
        <v>0.25291828793774318</v>
      </c>
      <c r="AS26" s="80" t="s">
        <v>1513</v>
      </c>
      <c r="AT26" s="222">
        <v>81</v>
      </c>
      <c r="AU26" s="224">
        <v>0.31517509727626458</v>
      </c>
      <c r="AV26" s="80" t="s">
        <v>1550</v>
      </c>
      <c r="AW26" s="222">
        <v>96</v>
      </c>
      <c r="AX26" s="224">
        <v>0.37354085603112841</v>
      </c>
      <c r="AY26" s="80" t="s">
        <v>1595</v>
      </c>
      <c r="AZ26" s="13" t="s">
        <v>108</v>
      </c>
      <c r="BA26" s="13" t="s">
        <v>109</v>
      </c>
    </row>
    <row r="27" spans="1:138" s="5" customFormat="1" ht="45" customHeight="1" x14ac:dyDescent="0.2">
      <c r="A27" s="351"/>
      <c r="B27" s="351"/>
      <c r="C27" s="371"/>
      <c r="D27" s="351" t="s">
        <v>43</v>
      </c>
      <c r="E27" s="371" t="s">
        <v>635</v>
      </c>
      <c r="F27" s="351"/>
      <c r="G27" s="351"/>
      <c r="H27" s="372"/>
      <c r="I27" s="395"/>
      <c r="J27" s="351" t="s">
        <v>568</v>
      </c>
      <c r="K27" s="351" t="s">
        <v>569</v>
      </c>
      <c r="L27" s="371">
        <v>332</v>
      </c>
      <c r="M27" s="441"/>
      <c r="N27" s="374"/>
      <c r="O27" s="355"/>
      <c r="P27" s="441"/>
      <c r="Q27" s="374"/>
      <c r="R27" s="355"/>
      <c r="S27" s="439"/>
      <c r="T27" s="374"/>
      <c r="U27" s="355"/>
      <c r="V27" s="441"/>
      <c r="W27" s="374"/>
      <c r="X27" s="355"/>
      <c r="Y27" s="439"/>
      <c r="Z27" s="374"/>
      <c r="AA27" s="355"/>
      <c r="AB27" s="439"/>
      <c r="AC27" s="374"/>
      <c r="AD27" s="355"/>
      <c r="AE27" s="13" t="s">
        <v>578</v>
      </c>
      <c r="AF27" s="13" t="s">
        <v>579</v>
      </c>
      <c r="AG27" s="172">
        <v>257</v>
      </c>
      <c r="AH27" s="171">
        <v>0</v>
      </c>
      <c r="AI27" s="183">
        <v>0</v>
      </c>
      <c r="AJ27" s="80" t="s">
        <v>642</v>
      </c>
      <c r="AK27" s="171">
        <v>4</v>
      </c>
      <c r="AL27" s="183">
        <v>1.556420233463035E-2</v>
      </c>
      <c r="AM27" s="80" t="s">
        <v>643</v>
      </c>
      <c r="AN27" s="171">
        <v>17</v>
      </c>
      <c r="AO27" s="183">
        <v>6.6147859922178989E-2</v>
      </c>
      <c r="AP27" s="80" t="s">
        <v>644</v>
      </c>
      <c r="AQ27" s="222">
        <v>36</v>
      </c>
      <c r="AR27" s="224">
        <v>0.14007782101167315</v>
      </c>
      <c r="AS27" s="80" t="s">
        <v>1514</v>
      </c>
      <c r="AT27" s="222">
        <v>54</v>
      </c>
      <c r="AU27" s="224">
        <v>0.21011673151750973</v>
      </c>
      <c r="AV27" s="80" t="s">
        <v>1551</v>
      </c>
      <c r="AW27" s="222">
        <v>70</v>
      </c>
      <c r="AX27" s="224">
        <v>0.2723735408560311</v>
      </c>
      <c r="AY27" s="80" t="s">
        <v>1596</v>
      </c>
      <c r="AZ27" s="13" t="s">
        <v>108</v>
      </c>
      <c r="BA27" s="13" t="s">
        <v>109</v>
      </c>
    </row>
    <row r="28" spans="1:138" s="5" customFormat="1" ht="60" x14ac:dyDescent="0.2">
      <c r="A28" s="351"/>
      <c r="B28" s="351"/>
      <c r="C28" s="371"/>
      <c r="D28" s="351" t="s">
        <v>43</v>
      </c>
      <c r="E28" s="371" t="s">
        <v>635</v>
      </c>
      <c r="F28" s="351"/>
      <c r="G28" s="351"/>
      <c r="H28" s="372"/>
      <c r="I28" s="395"/>
      <c r="J28" s="351" t="s">
        <v>568</v>
      </c>
      <c r="K28" s="351" t="s">
        <v>569</v>
      </c>
      <c r="L28" s="371">
        <v>332</v>
      </c>
      <c r="M28" s="441"/>
      <c r="N28" s="374"/>
      <c r="O28" s="355"/>
      <c r="P28" s="441"/>
      <c r="Q28" s="374"/>
      <c r="R28" s="355"/>
      <c r="S28" s="439"/>
      <c r="T28" s="374"/>
      <c r="U28" s="355"/>
      <c r="V28" s="441"/>
      <c r="W28" s="374"/>
      <c r="X28" s="355"/>
      <c r="Y28" s="439"/>
      <c r="Z28" s="374"/>
      <c r="AA28" s="355"/>
      <c r="AB28" s="439"/>
      <c r="AC28" s="374"/>
      <c r="AD28" s="355"/>
      <c r="AE28" s="13" t="s">
        <v>583</v>
      </c>
      <c r="AF28" s="13" t="s">
        <v>584</v>
      </c>
      <c r="AG28" s="172">
        <v>75</v>
      </c>
      <c r="AH28" s="171">
        <v>0</v>
      </c>
      <c r="AI28" s="183">
        <v>0</v>
      </c>
      <c r="AJ28" s="80" t="s">
        <v>645</v>
      </c>
      <c r="AK28" s="171">
        <v>8</v>
      </c>
      <c r="AL28" s="183">
        <v>0.10810810810810811</v>
      </c>
      <c r="AM28" s="80" t="s">
        <v>646</v>
      </c>
      <c r="AN28" s="171">
        <v>19</v>
      </c>
      <c r="AO28" s="183">
        <v>0.25675675675675674</v>
      </c>
      <c r="AP28" s="80" t="s">
        <v>647</v>
      </c>
      <c r="AQ28" s="222">
        <v>27</v>
      </c>
      <c r="AR28" s="224">
        <v>0.36486486486486486</v>
      </c>
      <c r="AS28" s="80" t="s">
        <v>1515</v>
      </c>
      <c r="AT28" s="222">
        <v>37</v>
      </c>
      <c r="AU28" s="224">
        <v>0.5</v>
      </c>
      <c r="AV28" s="80" t="s">
        <v>1552</v>
      </c>
      <c r="AW28" s="222">
        <v>48</v>
      </c>
      <c r="AX28" s="224">
        <v>0.64864864864864868</v>
      </c>
      <c r="AY28" s="80" t="s">
        <v>1597</v>
      </c>
      <c r="AZ28" s="13" t="s">
        <v>108</v>
      </c>
      <c r="BA28" s="13" t="s">
        <v>109</v>
      </c>
    </row>
    <row r="29" spans="1:138" s="5" customFormat="1" ht="45" customHeight="1" x14ac:dyDescent="0.2">
      <c r="A29" s="351"/>
      <c r="B29" s="351"/>
      <c r="C29" s="371"/>
      <c r="D29" s="351" t="s">
        <v>43</v>
      </c>
      <c r="E29" s="371" t="s">
        <v>635</v>
      </c>
      <c r="F29" s="351"/>
      <c r="G29" s="351"/>
      <c r="H29" s="372"/>
      <c r="I29" s="395"/>
      <c r="J29" s="351" t="s">
        <v>568</v>
      </c>
      <c r="K29" s="351" t="s">
        <v>569</v>
      </c>
      <c r="L29" s="371">
        <v>332</v>
      </c>
      <c r="M29" s="441"/>
      <c r="N29" s="374"/>
      <c r="O29" s="355"/>
      <c r="P29" s="441"/>
      <c r="Q29" s="374"/>
      <c r="R29" s="355"/>
      <c r="S29" s="439"/>
      <c r="T29" s="374"/>
      <c r="U29" s="355"/>
      <c r="V29" s="441"/>
      <c r="W29" s="374"/>
      <c r="X29" s="355"/>
      <c r="Y29" s="439"/>
      <c r="Z29" s="374"/>
      <c r="AA29" s="355"/>
      <c r="AB29" s="439"/>
      <c r="AC29" s="374"/>
      <c r="AD29" s="355"/>
      <c r="AE29" s="13" t="s">
        <v>588</v>
      </c>
      <c r="AF29" s="13" t="s">
        <v>589</v>
      </c>
      <c r="AG29" s="177">
        <v>0.54</v>
      </c>
      <c r="AH29" s="108">
        <v>0.35294117647058826</v>
      </c>
      <c r="AI29" s="183">
        <v>0.65359477124183007</v>
      </c>
      <c r="AJ29" s="80" t="s">
        <v>648</v>
      </c>
      <c r="AK29" s="108">
        <v>0.45833333333333331</v>
      </c>
      <c r="AL29" s="183">
        <v>0.84876543209876532</v>
      </c>
      <c r="AM29" s="80" t="s">
        <v>649</v>
      </c>
      <c r="AN29" s="108">
        <v>0.65116279069767447</v>
      </c>
      <c r="AO29" s="183">
        <v>1.2058570198105081</v>
      </c>
      <c r="AP29" s="80" t="s">
        <v>650</v>
      </c>
      <c r="AQ29" s="108">
        <v>0.66129032258064513</v>
      </c>
      <c r="AR29" s="224">
        <v>1.224611708482676</v>
      </c>
      <c r="AS29" s="80" t="s">
        <v>1516</v>
      </c>
      <c r="AT29" s="108">
        <v>0.59782608695652173</v>
      </c>
      <c r="AU29" s="224">
        <v>1.1070853462157808</v>
      </c>
      <c r="AV29" s="80" t="s">
        <v>1553</v>
      </c>
      <c r="AW29" s="108">
        <v>0.56910569105691056</v>
      </c>
      <c r="AX29" s="224">
        <v>1.0538994278831677</v>
      </c>
      <c r="AY29" s="80" t="s">
        <v>1598</v>
      </c>
      <c r="AZ29" s="13" t="s">
        <v>108</v>
      </c>
      <c r="BA29" s="13" t="s">
        <v>109</v>
      </c>
    </row>
    <row r="30" spans="1:138" s="5" customFormat="1" ht="45" customHeight="1" x14ac:dyDescent="0.2">
      <c r="A30" s="351"/>
      <c r="B30" s="351"/>
      <c r="C30" s="371"/>
      <c r="D30" s="351" t="s">
        <v>43</v>
      </c>
      <c r="E30" s="371" t="s">
        <v>635</v>
      </c>
      <c r="F30" s="351"/>
      <c r="G30" s="351"/>
      <c r="H30" s="372"/>
      <c r="I30" s="395"/>
      <c r="J30" s="351" t="s">
        <v>568</v>
      </c>
      <c r="K30" s="351" t="s">
        <v>569</v>
      </c>
      <c r="L30" s="371">
        <v>332</v>
      </c>
      <c r="M30" s="426"/>
      <c r="N30" s="343"/>
      <c r="O30" s="356"/>
      <c r="P30" s="426"/>
      <c r="Q30" s="343"/>
      <c r="R30" s="356"/>
      <c r="S30" s="440"/>
      <c r="T30" s="343"/>
      <c r="U30" s="356"/>
      <c r="V30" s="426"/>
      <c r="W30" s="343"/>
      <c r="X30" s="356"/>
      <c r="Y30" s="440"/>
      <c r="Z30" s="343"/>
      <c r="AA30" s="356"/>
      <c r="AB30" s="440"/>
      <c r="AC30" s="343"/>
      <c r="AD30" s="356"/>
      <c r="AE30" s="13" t="s">
        <v>593</v>
      </c>
      <c r="AF30" s="13" t="s">
        <v>594</v>
      </c>
      <c r="AG30" s="177">
        <v>0.2</v>
      </c>
      <c r="AH30" s="108"/>
      <c r="AI30" s="183">
        <v>0</v>
      </c>
      <c r="AJ30" s="80" t="s">
        <v>595</v>
      </c>
      <c r="AK30" s="108"/>
      <c r="AL30" s="183">
        <v>0</v>
      </c>
      <c r="AM30" s="80" t="s">
        <v>595</v>
      </c>
      <c r="AN30" s="108">
        <v>0</v>
      </c>
      <c r="AO30" s="183">
        <v>0</v>
      </c>
      <c r="AP30" s="80" t="s">
        <v>651</v>
      </c>
      <c r="AQ30" s="108">
        <v>0</v>
      </c>
      <c r="AR30" s="224">
        <v>0</v>
      </c>
      <c r="AS30" s="80" t="s">
        <v>651</v>
      </c>
      <c r="AT30" s="108">
        <v>0</v>
      </c>
      <c r="AU30" s="224">
        <v>0</v>
      </c>
      <c r="AV30" s="80" t="s">
        <v>651</v>
      </c>
      <c r="AW30" s="108">
        <v>4.2372881355932202E-2</v>
      </c>
      <c r="AX30" s="224">
        <v>0.21186440677966101</v>
      </c>
      <c r="AY30" s="80" t="s">
        <v>1599</v>
      </c>
      <c r="AZ30" s="13" t="s">
        <v>108</v>
      </c>
      <c r="BA30" s="13" t="s">
        <v>109</v>
      </c>
    </row>
    <row r="31" spans="1:138" ht="75" x14ac:dyDescent="0.25">
      <c r="H31" s="372"/>
      <c r="M31" s="71" t="s">
        <v>164</v>
      </c>
      <c r="N31" s="87">
        <f>AVERAGE(N26:N30)</f>
        <v>5.1204819277108432E-2</v>
      </c>
      <c r="P31" s="71" t="s">
        <v>164</v>
      </c>
      <c r="Q31" s="97">
        <f>AVERAGE(Q26:Q30)</f>
        <v>7.2289156626506021E-2</v>
      </c>
      <c r="S31" s="71" t="s">
        <v>164</v>
      </c>
      <c r="T31" s="97">
        <f>AVERAGE(T26:T30)</f>
        <v>0.12951807228915663</v>
      </c>
      <c r="V31" s="71" t="s">
        <v>164</v>
      </c>
      <c r="W31" s="87">
        <f>AVERAGE(W26:W30)</f>
        <v>0.18674698795180722</v>
      </c>
      <c r="Y31" s="71" t="s">
        <v>164</v>
      </c>
      <c r="Z31" s="97">
        <f>AVERAGE(Z26:Z30)</f>
        <v>0.27710843373493976</v>
      </c>
      <c r="AB31" s="71" t="s">
        <v>164</v>
      </c>
      <c r="AC31" s="97">
        <f>AVERAGE(AC26:AC30)</f>
        <v>0.37048192771084337</v>
      </c>
      <c r="AH31" s="71" t="s">
        <v>165</v>
      </c>
      <c r="AI31" s="97">
        <f>AVERAGE(AI26:AI29)</f>
        <v>0.16339869281045752</v>
      </c>
      <c r="AK31" s="71" t="s">
        <v>165</v>
      </c>
      <c r="AL31" s="97">
        <f>AVERAGE(AL26:AL29)</f>
        <v>0.26451021384549267</v>
      </c>
      <c r="AN31" s="71" t="s">
        <v>165</v>
      </c>
      <c r="AO31" s="97">
        <f>AVERAGE(AO26:AO30)</f>
        <v>0.33921536231734406</v>
      </c>
      <c r="AP31" s="9"/>
      <c r="AQ31" s="71" t="s">
        <v>165</v>
      </c>
      <c r="AR31" s="97">
        <f>AVERAGE(AR26:AR30)</f>
        <v>0.39649453645939142</v>
      </c>
      <c r="AT31" s="71" t="s">
        <v>165</v>
      </c>
      <c r="AU31" s="97">
        <f>AVERAGE(AU26:AU30)</f>
        <v>0.42647543500191104</v>
      </c>
      <c r="AW31" s="71" t="s">
        <v>165</v>
      </c>
      <c r="AX31" s="97">
        <f>AVERAGE(AX26:AX30)</f>
        <v>0.51206537603972735</v>
      </c>
      <c r="AY31" s="9"/>
      <c r="AZ31" s="9"/>
      <c r="BA31" s="9"/>
      <c r="EE31"/>
      <c r="EF31"/>
      <c r="EG31"/>
      <c r="EH31"/>
    </row>
    <row r="32" spans="1:138" s="5" customFormat="1" ht="45" customHeight="1" x14ac:dyDescent="0.2">
      <c r="A32" s="351" t="s">
        <v>86</v>
      </c>
      <c r="B32" s="351" t="s">
        <v>291</v>
      </c>
      <c r="C32" s="351" t="s">
        <v>1639</v>
      </c>
      <c r="D32" s="351" t="s">
        <v>43</v>
      </c>
      <c r="E32" s="371" t="s">
        <v>652</v>
      </c>
      <c r="F32" s="351" t="s">
        <v>90</v>
      </c>
      <c r="G32" s="351" t="s">
        <v>293</v>
      </c>
      <c r="H32" s="372"/>
      <c r="I32" s="395">
        <v>2648615000</v>
      </c>
      <c r="J32" s="351" t="s">
        <v>568</v>
      </c>
      <c r="K32" s="351" t="s">
        <v>569</v>
      </c>
      <c r="L32" s="371">
        <v>1584</v>
      </c>
      <c r="M32" s="438">
        <v>34</v>
      </c>
      <c r="N32" s="342">
        <f>+M32/L32</f>
        <v>2.1464646464646464E-2</v>
      </c>
      <c r="O32" s="354" t="s">
        <v>653</v>
      </c>
      <c r="P32" s="438">
        <v>168</v>
      </c>
      <c r="Q32" s="342">
        <f>+P32/L32</f>
        <v>0.10606060606060606</v>
      </c>
      <c r="R32" s="354" t="s">
        <v>654</v>
      </c>
      <c r="S32" s="438">
        <v>319</v>
      </c>
      <c r="T32" s="342">
        <f>+S32/L32</f>
        <v>0.2013888888888889</v>
      </c>
      <c r="U32" s="354" t="s">
        <v>655</v>
      </c>
      <c r="V32" s="438">
        <v>503</v>
      </c>
      <c r="W32" s="342">
        <v>0.31755050505050503</v>
      </c>
      <c r="X32" s="354" t="s">
        <v>1493</v>
      </c>
      <c r="Y32" s="438">
        <v>649</v>
      </c>
      <c r="Z32" s="342">
        <v>0.40972222222222221</v>
      </c>
      <c r="AA32" s="354" t="s">
        <v>1530</v>
      </c>
      <c r="AB32" s="438">
        <v>789</v>
      </c>
      <c r="AC32" s="342">
        <v>0.49810606060606061</v>
      </c>
      <c r="AD32" s="354" t="s">
        <v>1566</v>
      </c>
      <c r="AE32" s="13" t="s">
        <v>583</v>
      </c>
      <c r="AF32" s="13" t="s">
        <v>584</v>
      </c>
      <c r="AG32" s="172">
        <v>1584</v>
      </c>
      <c r="AH32" s="168">
        <v>85</v>
      </c>
      <c r="AI32" s="183">
        <v>5.366161616161616E-2</v>
      </c>
      <c r="AJ32" s="80" t="s">
        <v>656</v>
      </c>
      <c r="AK32" s="168">
        <v>229</v>
      </c>
      <c r="AL32" s="183">
        <v>0.14457070707070707</v>
      </c>
      <c r="AM32" s="80" t="s">
        <v>657</v>
      </c>
      <c r="AN32" s="168">
        <v>390</v>
      </c>
      <c r="AO32" s="183">
        <v>0.24621212121212122</v>
      </c>
      <c r="AP32" s="80" t="s">
        <v>658</v>
      </c>
      <c r="AQ32" s="168">
        <v>539</v>
      </c>
      <c r="AR32" s="224">
        <v>0.34027777777777779</v>
      </c>
      <c r="AS32" s="80" t="s">
        <v>1517</v>
      </c>
      <c r="AT32" s="168">
        <v>677</v>
      </c>
      <c r="AU32" s="224">
        <v>0.42739898989898989</v>
      </c>
      <c r="AV32" s="80" t="s">
        <v>1554</v>
      </c>
      <c r="AW32" s="168">
        <v>822</v>
      </c>
      <c r="AX32" s="224">
        <v>0.51893939393939392</v>
      </c>
      <c r="AY32" s="80" t="s">
        <v>1600</v>
      </c>
      <c r="AZ32" s="13" t="s">
        <v>108</v>
      </c>
      <c r="BA32" s="13" t="s">
        <v>109</v>
      </c>
    </row>
    <row r="33" spans="1:138" s="5" customFormat="1" ht="45" customHeight="1" x14ac:dyDescent="0.2">
      <c r="A33" s="351"/>
      <c r="B33" s="351"/>
      <c r="C33" s="351"/>
      <c r="D33" s="351"/>
      <c r="E33" s="371"/>
      <c r="F33" s="351"/>
      <c r="G33" s="351"/>
      <c r="H33" s="372"/>
      <c r="I33" s="395"/>
      <c r="J33" s="351"/>
      <c r="K33" s="351"/>
      <c r="L33" s="371"/>
      <c r="M33" s="440"/>
      <c r="N33" s="343"/>
      <c r="O33" s="356"/>
      <c r="P33" s="440"/>
      <c r="Q33" s="343"/>
      <c r="R33" s="356"/>
      <c r="S33" s="440"/>
      <c r="T33" s="343"/>
      <c r="U33" s="356"/>
      <c r="V33" s="440"/>
      <c r="W33" s="343"/>
      <c r="X33" s="356"/>
      <c r="Y33" s="440"/>
      <c r="Z33" s="343"/>
      <c r="AA33" s="356"/>
      <c r="AB33" s="440"/>
      <c r="AC33" s="343"/>
      <c r="AD33" s="356"/>
      <c r="AE33" s="13" t="s">
        <v>593</v>
      </c>
      <c r="AF33" s="13" t="s">
        <v>594</v>
      </c>
      <c r="AG33" s="177">
        <v>0.2</v>
      </c>
      <c r="AH33" s="183"/>
      <c r="AI33" s="183">
        <v>0</v>
      </c>
      <c r="AJ33" s="80" t="s">
        <v>595</v>
      </c>
      <c r="AK33" s="183"/>
      <c r="AL33" s="183">
        <v>0</v>
      </c>
      <c r="AM33" s="80" t="s">
        <v>595</v>
      </c>
      <c r="AN33" s="80">
        <v>0</v>
      </c>
      <c r="AO33" s="183">
        <v>0</v>
      </c>
      <c r="AP33" s="80" t="s">
        <v>659</v>
      </c>
      <c r="AQ33" s="224">
        <v>0</v>
      </c>
      <c r="AR33" s="224">
        <v>0</v>
      </c>
      <c r="AS33" s="80" t="s">
        <v>1518</v>
      </c>
      <c r="AT33" s="224">
        <v>0</v>
      </c>
      <c r="AU33" s="224">
        <v>0</v>
      </c>
      <c r="AV33" s="80" t="s">
        <v>1518</v>
      </c>
      <c r="AW33" s="80">
        <v>0</v>
      </c>
      <c r="AX33" s="224">
        <v>0</v>
      </c>
      <c r="AY33" s="80" t="s">
        <v>1601</v>
      </c>
      <c r="AZ33" s="13" t="s">
        <v>108</v>
      </c>
      <c r="BA33" s="13" t="s">
        <v>109</v>
      </c>
    </row>
    <row r="34" spans="1:138" ht="75" x14ac:dyDescent="0.25">
      <c r="H34" s="372"/>
      <c r="M34" s="71" t="s">
        <v>164</v>
      </c>
      <c r="N34" s="97">
        <f>AVERAGE(N32:N33)</f>
        <v>2.1464646464646464E-2</v>
      </c>
      <c r="P34" s="71" t="s">
        <v>164</v>
      </c>
      <c r="Q34" s="87">
        <f>AVERAGE(Q32:Q33)</f>
        <v>0.10606060606060606</v>
      </c>
      <c r="S34" s="71" t="s">
        <v>164</v>
      </c>
      <c r="T34" s="87">
        <f>AVERAGE(T32:T33)</f>
        <v>0.2013888888888889</v>
      </c>
      <c r="V34" s="71" t="s">
        <v>164</v>
      </c>
      <c r="W34" s="97">
        <f>AVERAGE(W32:W33)</f>
        <v>0.31755050505050503</v>
      </c>
      <c r="Y34" s="71" t="s">
        <v>164</v>
      </c>
      <c r="Z34" s="87">
        <f>AVERAGE(Z32:Z33)</f>
        <v>0.40972222222222221</v>
      </c>
      <c r="AB34" s="71" t="s">
        <v>164</v>
      </c>
      <c r="AC34" s="87">
        <f>AVERAGE(AC32:AC33)</f>
        <v>0.49810606060606061</v>
      </c>
      <c r="AH34" s="71" t="s">
        <v>165</v>
      </c>
      <c r="AI34" s="97">
        <f>AVERAGE(AI32:AI32)</f>
        <v>5.366161616161616E-2</v>
      </c>
      <c r="AK34" s="71" t="s">
        <v>165</v>
      </c>
      <c r="AL34" s="87">
        <f>AVERAGE(AL32:AL32)</f>
        <v>0.14457070707070707</v>
      </c>
      <c r="AN34" s="71" t="s">
        <v>165</v>
      </c>
      <c r="AO34" s="87">
        <f>AVERAGE(AO32:AO32)</f>
        <v>0.24621212121212122</v>
      </c>
      <c r="AP34" s="9"/>
      <c r="AQ34" s="71" t="s">
        <v>165</v>
      </c>
      <c r="AR34" s="97">
        <f>AVERAGE(AR32:AR32)</f>
        <v>0.34027777777777779</v>
      </c>
      <c r="AT34" s="71" t="s">
        <v>165</v>
      </c>
      <c r="AU34" s="87">
        <f>AVERAGE(AU32:AU32)</f>
        <v>0.42739898989898989</v>
      </c>
      <c r="AW34" s="71" t="s">
        <v>165</v>
      </c>
      <c r="AX34" s="87">
        <f>AVERAGE(AX32:AX32)</f>
        <v>0.51893939393939392</v>
      </c>
      <c r="AY34" s="9"/>
      <c r="AZ34" s="9"/>
      <c r="BA34" s="9"/>
      <c r="EE34"/>
      <c r="EF34"/>
      <c r="EG34"/>
      <c r="EH34"/>
    </row>
    <row r="35" spans="1:138" s="5" customFormat="1" ht="48" x14ac:dyDescent="0.2">
      <c r="A35" s="351" t="s">
        <v>86</v>
      </c>
      <c r="B35" s="351" t="s">
        <v>291</v>
      </c>
      <c r="C35" s="351" t="s">
        <v>1639</v>
      </c>
      <c r="D35" s="351" t="s">
        <v>43</v>
      </c>
      <c r="E35" s="371" t="s">
        <v>660</v>
      </c>
      <c r="F35" s="351" t="s">
        <v>90</v>
      </c>
      <c r="G35" s="351" t="s">
        <v>293</v>
      </c>
      <c r="H35" s="372"/>
      <c r="I35" s="395">
        <v>879636333</v>
      </c>
      <c r="J35" s="351" t="s">
        <v>568</v>
      </c>
      <c r="K35" s="351" t="s">
        <v>569</v>
      </c>
      <c r="L35" s="371">
        <v>2871</v>
      </c>
      <c r="M35" s="438">
        <v>68</v>
      </c>
      <c r="N35" s="342">
        <f>+M35/L35</f>
        <v>2.3685127133402994E-2</v>
      </c>
      <c r="O35" s="354" t="s">
        <v>661</v>
      </c>
      <c r="P35" s="425">
        <v>226</v>
      </c>
      <c r="Q35" s="342">
        <f>+P35/L35</f>
        <v>7.8718216649251133E-2</v>
      </c>
      <c r="R35" s="354" t="s">
        <v>662</v>
      </c>
      <c r="S35" s="438">
        <v>462</v>
      </c>
      <c r="T35" s="342">
        <f>+S35/L35</f>
        <v>0.16091954022988506</v>
      </c>
      <c r="U35" s="354" t="s">
        <v>663</v>
      </c>
      <c r="V35" s="438">
        <v>744</v>
      </c>
      <c r="W35" s="342">
        <v>0.25914315569487983</v>
      </c>
      <c r="X35" s="354" t="s">
        <v>1494</v>
      </c>
      <c r="Y35" s="438">
        <v>996</v>
      </c>
      <c r="Z35" s="342">
        <v>0.34691745036572624</v>
      </c>
      <c r="AA35" s="354" t="s">
        <v>1531</v>
      </c>
      <c r="AB35" s="438">
        <v>1235</v>
      </c>
      <c r="AC35" s="342">
        <v>0.43016370602577497</v>
      </c>
      <c r="AD35" s="354" t="s">
        <v>1567</v>
      </c>
      <c r="AE35" s="13" t="s">
        <v>573</v>
      </c>
      <c r="AF35" s="13" t="s">
        <v>574</v>
      </c>
      <c r="AG35" s="172">
        <v>1016</v>
      </c>
      <c r="AH35" s="171">
        <v>6</v>
      </c>
      <c r="AI35" s="183">
        <v>5.905511811023622E-3</v>
      </c>
      <c r="AJ35" s="80" t="s">
        <v>664</v>
      </c>
      <c r="AK35" s="171">
        <v>97</v>
      </c>
      <c r="AL35" s="183">
        <v>9.5472440944881887E-2</v>
      </c>
      <c r="AM35" s="80" t="s">
        <v>665</v>
      </c>
      <c r="AN35" s="171">
        <v>180</v>
      </c>
      <c r="AO35" s="183">
        <v>0.17716535433070865</v>
      </c>
      <c r="AP35" s="80" t="s">
        <v>666</v>
      </c>
      <c r="AQ35" s="222">
        <v>266</v>
      </c>
      <c r="AR35" s="224">
        <v>0.26181102362204722</v>
      </c>
      <c r="AS35" s="80" t="s">
        <v>1519</v>
      </c>
      <c r="AT35" s="222">
        <v>331</v>
      </c>
      <c r="AU35" s="224">
        <v>0.32578740157480313</v>
      </c>
      <c r="AV35" s="80" t="s">
        <v>1555</v>
      </c>
      <c r="AW35" s="222">
        <v>413</v>
      </c>
      <c r="AX35" s="224">
        <v>0.40649606299212598</v>
      </c>
      <c r="AY35" s="80" t="s">
        <v>1574</v>
      </c>
      <c r="AZ35" s="13" t="s">
        <v>108</v>
      </c>
      <c r="BA35" s="13" t="s">
        <v>109</v>
      </c>
    </row>
    <row r="36" spans="1:138" s="5" customFormat="1" ht="45" customHeight="1" x14ac:dyDescent="0.2">
      <c r="A36" s="351"/>
      <c r="B36" s="351"/>
      <c r="C36" s="351"/>
      <c r="D36" s="351"/>
      <c r="E36" s="371"/>
      <c r="F36" s="351"/>
      <c r="G36" s="351"/>
      <c r="H36" s="372"/>
      <c r="I36" s="395"/>
      <c r="J36" s="351"/>
      <c r="K36" s="351"/>
      <c r="L36" s="371"/>
      <c r="M36" s="439"/>
      <c r="N36" s="374"/>
      <c r="O36" s="355"/>
      <c r="P36" s="441"/>
      <c r="Q36" s="374"/>
      <c r="R36" s="355"/>
      <c r="S36" s="439"/>
      <c r="T36" s="374"/>
      <c r="U36" s="355"/>
      <c r="V36" s="439"/>
      <c r="W36" s="374"/>
      <c r="X36" s="355"/>
      <c r="Y36" s="439"/>
      <c r="Z36" s="374"/>
      <c r="AA36" s="355"/>
      <c r="AB36" s="439"/>
      <c r="AC36" s="374"/>
      <c r="AD36" s="355"/>
      <c r="AE36" s="13" t="s">
        <v>519</v>
      </c>
      <c r="AF36" s="13" t="s">
        <v>520</v>
      </c>
      <c r="AG36" s="172">
        <v>2871</v>
      </c>
      <c r="AH36" s="171">
        <v>96</v>
      </c>
      <c r="AI36" s="183">
        <v>3.343782654127482E-2</v>
      </c>
      <c r="AJ36" s="80" t="s">
        <v>667</v>
      </c>
      <c r="AK36" s="171">
        <v>292</v>
      </c>
      <c r="AL36" s="183">
        <v>0.10170672239637757</v>
      </c>
      <c r="AM36" s="80" t="s">
        <v>668</v>
      </c>
      <c r="AN36" s="171">
        <v>553</v>
      </c>
      <c r="AO36" s="183">
        <v>0.19261581330546848</v>
      </c>
      <c r="AP36" s="80" t="s">
        <v>669</v>
      </c>
      <c r="AQ36" s="222">
        <v>800</v>
      </c>
      <c r="AR36" s="224">
        <v>0.27864855451062348</v>
      </c>
      <c r="AS36" s="80" t="s">
        <v>1520</v>
      </c>
      <c r="AT36" s="222">
        <v>1040</v>
      </c>
      <c r="AU36" s="224">
        <v>0.3622431208638105</v>
      </c>
      <c r="AV36" s="80" t="s">
        <v>1556</v>
      </c>
      <c r="AW36" s="222">
        <v>1291</v>
      </c>
      <c r="AX36" s="224">
        <v>0.44966910484151862</v>
      </c>
      <c r="AY36" s="80" t="s">
        <v>1575</v>
      </c>
      <c r="AZ36" s="13" t="s">
        <v>108</v>
      </c>
      <c r="BA36" s="13" t="s">
        <v>109</v>
      </c>
    </row>
    <row r="37" spans="1:138" s="5" customFormat="1" ht="120" x14ac:dyDescent="0.2">
      <c r="A37" s="351"/>
      <c r="B37" s="351"/>
      <c r="C37" s="351"/>
      <c r="D37" s="351"/>
      <c r="E37" s="371"/>
      <c r="F37" s="351"/>
      <c r="G37" s="351"/>
      <c r="H37" s="372"/>
      <c r="I37" s="395"/>
      <c r="J37" s="351"/>
      <c r="K37" s="351"/>
      <c r="L37" s="371"/>
      <c r="M37" s="439"/>
      <c r="N37" s="374"/>
      <c r="O37" s="355"/>
      <c r="P37" s="441"/>
      <c r="Q37" s="374"/>
      <c r="R37" s="355"/>
      <c r="S37" s="439"/>
      <c r="T37" s="374"/>
      <c r="U37" s="355"/>
      <c r="V37" s="439"/>
      <c r="W37" s="374"/>
      <c r="X37" s="355"/>
      <c r="Y37" s="439"/>
      <c r="Z37" s="374"/>
      <c r="AA37" s="355"/>
      <c r="AB37" s="439"/>
      <c r="AC37" s="374"/>
      <c r="AD37" s="355"/>
      <c r="AE37" s="13" t="s">
        <v>588</v>
      </c>
      <c r="AF37" s="13" t="s">
        <v>589</v>
      </c>
      <c r="AG37" s="177">
        <v>0.54</v>
      </c>
      <c r="AH37" s="108">
        <v>0.29411764705882354</v>
      </c>
      <c r="AI37" s="183">
        <v>0.54466230936819171</v>
      </c>
      <c r="AJ37" s="80" t="s">
        <v>670</v>
      </c>
      <c r="AK37" s="108">
        <v>0.5</v>
      </c>
      <c r="AL37" s="183">
        <v>0.92592592592592582</v>
      </c>
      <c r="AM37" s="80" t="s">
        <v>671</v>
      </c>
      <c r="AN37" s="108">
        <v>0.65734265734265729</v>
      </c>
      <c r="AO37" s="183">
        <v>1.2173012173012172</v>
      </c>
      <c r="AP37" s="80" t="s">
        <v>672</v>
      </c>
      <c r="AQ37" s="108">
        <v>0.65145228215767637</v>
      </c>
      <c r="AR37" s="224">
        <v>1.2063931151068079</v>
      </c>
      <c r="AS37" s="80" t="s">
        <v>1521</v>
      </c>
      <c r="AT37" s="108">
        <v>0.61671469740634011</v>
      </c>
      <c r="AU37" s="224">
        <v>1.1420642544561852</v>
      </c>
      <c r="AV37" s="80" t="s">
        <v>1557</v>
      </c>
      <c r="AW37" s="108">
        <v>0.6300448430493274</v>
      </c>
      <c r="AX37" s="224">
        <v>1.1667497093506063</v>
      </c>
      <c r="AY37" s="80" t="s">
        <v>1576</v>
      </c>
      <c r="AZ37" s="13" t="s">
        <v>108</v>
      </c>
      <c r="BA37" s="13" t="s">
        <v>109</v>
      </c>
    </row>
    <row r="38" spans="1:138" s="5" customFormat="1" ht="45" customHeight="1" x14ac:dyDescent="0.2">
      <c r="A38" s="351"/>
      <c r="B38" s="351"/>
      <c r="C38" s="351"/>
      <c r="D38" s="351"/>
      <c r="E38" s="371"/>
      <c r="F38" s="351"/>
      <c r="G38" s="351"/>
      <c r="H38" s="372"/>
      <c r="I38" s="395"/>
      <c r="J38" s="351"/>
      <c r="K38" s="351"/>
      <c r="L38" s="371"/>
      <c r="M38" s="439"/>
      <c r="N38" s="374"/>
      <c r="O38" s="355"/>
      <c r="P38" s="441"/>
      <c r="Q38" s="374"/>
      <c r="R38" s="355"/>
      <c r="S38" s="439"/>
      <c r="T38" s="374"/>
      <c r="U38" s="355"/>
      <c r="V38" s="439"/>
      <c r="W38" s="374"/>
      <c r="X38" s="355"/>
      <c r="Y38" s="439"/>
      <c r="Z38" s="374"/>
      <c r="AA38" s="355"/>
      <c r="AB38" s="439"/>
      <c r="AC38" s="374"/>
      <c r="AD38" s="355"/>
      <c r="AE38" s="13" t="s">
        <v>673</v>
      </c>
      <c r="AF38" s="13" t="s">
        <v>674</v>
      </c>
      <c r="AG38" s="177">
        <v>0.77</v>
      </c>
      <c r="AH38" s="108">
        <v>1E-3</v>
      </c>
      <c r="AI38" s="183">
        <v>1.2987012987012987E-3</v>
      </c>
      <c r="AJ38" s="80" t="s">
        <v>675</v>
      </c>
      <c r="AK38" s="108">
        <v>1.9E-2</v>
      </c>
      <c r="AL38" s="183">
        <v>2.4675324675324673E-2</v>
      </c>
      <c r="AM38" s="80" t="s">
        <v>676</v>
      </c>
      <c r="AN38" s="108">
        <v>8.0265095729013261E-2</v>
      </c>
      <c r="AO38" s="183">
        <v>0.10424038406365359</v>
      </c>
      <c r="AP38" s="80" t="s">
        <v>677</v>
      </c>
      <c r="AQ38" s="108">
        <v>0.13107511045655376</v>
      </c>
      <c r="AR38" s="224">
        <v>0.17022741617734255</v>
      </c>
      <c r="AS38" s="80" t="s">
        <v>1522</v>
      </c>
      <c r="AT38" s="108">
        <v>0.22164948453608246</v>
      </c>
      <c r="AU38" s="224">
        <v>0.28785647342348369</v>
      </c>
      <c r="AV38" s="80" t="s">
        <v>1558</v>
      </c>
      <c r="AW38" s="108">
        <v>0.2812960235640648</v>
      </c>
      <c r="AX38" s="224">
        <v>0.36531951112216204</v>
      </c>
      <c r="AY38" s="80" t="s">
        <v>1577</v>
      </c>
      <c r="AZ38" s="13" t="s">
        <v>108</v>
      </c>
      <c r="BA38" s="13" t="s">
        <v>109</v>
      </c>
    </row>
    <row r="39" spans="1:138" s="5" customFormat="1" ht="45" customHeight="1" x14ac:dyDescent="0.2">
      <c r="A39" s="351"/>
      <c r="B39" s="351"/>
      <c r="C39" s="351"/>
      <c r="D39" s="351"/>
      <c r="E39" s="371"/>
      <c r="F39" s="351"/>
      <c r="G39" s="351"/>
      <c r="H39" s="372"/>
      <c r="I39" s="395"/>
      <c r="J39" s="351"/>
      <c r="K39" s="351"/>
      <c r="L39" s="371"/>
      <c r="M39" s="439"/>
      <c r="N39" s="374"/>
      <c r="O39" s="355"/>
      <c r="P39" s="441"/>
      <c r="Q39" s="374"/>
      <c r="R39" s="355"/>
      <c r="S39" s="439"/>
      <c r="T39" s="374"/>
      <c r="U39" s="355"/>
      <c r="V39" s="439"/>
      <c r="W39" s="374"/>
      <c r="X39" s="355"/>
      <c r="Y39" s="439"/>
      <c r="Z39" s="374"/>
      <c r="AA39" s="355"/>
      <c r="AB39" s="439"/>
      <c r="AC39" s="374"/>
      <c r="AD39" s="355"/>
      <c r="AE39" s="13" t="s">
        <v>678</v>
      </c>
      <c r="AF39" s="13" t="s">
        <v>679</v>
      </c>
      <c r="AG39" s="177">
        <v>1</v>
      </c>
      <c r="AH39" s="108">
        <v>0</v>
      </c>
      <c r="AI39" s="183">
        <v>0</v>
      </c>
      <c r="AJ39" s="80" t="s">
        <v>680</v>
      </c>
      <c r="AK39" s="108">
        <v>1.5037593984962405E-2</v>
      </c>
      <c r="AL39" s="183">
        <v>1.5037593984962405E-2</v>
      </c>
      <c r="AM39" s="80" t="s">
        <v>681</v>
      </c>
      <c r="AN39" s="108">
        <v>9.7744360902255634E-2</v>
      </c>
      <c r="AO39" s="183">
        <v>9.7744360902255634E-2</v>
      </c>
      <c r="AP39" s="80" t="s">
        <v>682</v>
      </c>
      <c r="AQ39" s="108">
        <v>0.14893617021276595</v>
      </c>
      <c r="AR39" s="224">
        <v>0.14893617021276595</v>
      </c>
      <c r="AS39" s="80" t="s">
        <v>1523</v>
      </c>
      <c r="AT39" s="108">
        <v>0.19867549668874171</v>
      </c>
      <c r="AU39" s="224">
        <v>0.19867549668874171</v>
      </c>
      <c r="AV39" s="80" t="s">
        <v>1559</v>
      </c>
      <c r="AW39" s="108">
        <v>0.24836601307189543</v>
      </c>
      <c r="AX39" s="224">
        <v>0.24836601307189543</v>
      </c>
      <c r="AY39" s="80" t="s">
        <v>1578</v>
      </c>
      <c r="AZ39" s="13" t="s">
        <v>108</v>
      </c>
      <c r="BA39" s="13" t="s">
        <v>109</v>
      </c>
    </row>
    <row r="40" spans="1:138" s="5" customFormat="1" ht="45" customHeight="1" x14ac:dyDescent="0.2">
      <c r="A40" s="351"/>
      <c r="B40" s="351"/>
      <c r="C40" s="351"/>
      <c r="D40" s="351"/>
      <c r="E40" s="371"/>
      <c r="F40" s="351"/>
      <c r="G40" s="351"/>
      <c r="H40" s="372"/>
      <c r="I40" s="395"/>
      <c r="J40" s="351"/>
      <c r="K40" s="351"/>
      <c r="L40" s="371"/>
      <c r="M40" s="440"/>
      <c r="N40" s="343"/>
      <c r="O40" s="356"/>
      <c r="P40" s="426"/>
      <c r="Q40" s="343"/>
      <c r="R40" s="356"/>
      <c r="S40" s="440"/>
      <c r="T40" s="343"/>
      <c r="U40" s="356"/>
      <c r="V40" s="440"/>
      <c r="W40" s="343"/>
      <c r="X40" s="356"/>
      <c r="Y40" s="440"/>
      <c r="Z40" s="343"/>
      <c r="AA40" s="356"/>
      <c r="AB40" s="440"/>
      <c r="AC40" s="343"/>
      <c r="AD40" s="356"/>
      <c r="AE40" s="13" t="s">
        <v>593</v>
      </c>
      <c r="AF40" s="13" t="s">
        <v>594</v>
      </c>
      <c r="AG40" s="177">
        <v>0.2</v>
      </c>
      <c r="AH40" s="108"/>
      <c r="AI40" s="183">
        <v>0</v>
      </c>
      <c r="AJ40" s="80" t="s">
        <v>595</v>
      </c>
      <c r="AK40" s="108"/>
      <c r="AL40" s="80">
        <v>0</v>
      </c>
      <c r="AM40" s="80" t="s">
        <v>595</v>
      </c>
      <c r="AN40" s="108">
        <v>0</v>
      </c>
      <c r="AO40" s="183">
        <v>0</v>
      </c>
      <c r="AP40" s="80" t="s">
        <v>683</v>
      </c>
      <c r="AQ40" s="108">
        <v>0</v>
      </c>
      <c r="AR40" s="224">
        <v>0</v>
      </c>
      <c r="AS40" s="80" t="s">
        <v>683</v>
      </c>
      <c r="AT40" s="108">
        <v>0</v>
      </c>
      <c r="AU40" s="80">
        <v>0</v>
      </c>
      <c r="AV40" s="80" t="s">
        <v>683</v>
      </c>
      <c r="AW40" s="108">
        <v>7.7459333849728895E-3</v>
      </c>
      <c r="AX40" s="224">
        <v>3.8729666924864445E-2</v>
      </c>
      <c r="AY40" s="80" t="s">
        <v>1579</v>
      </c>
      <c r="AZ40" s="13" t="s">
        <v>108</v>
      </c>
      <c r="BA40" s="13" t="s">
        <v>109</v>
      </c>
    </row>
    <row r="41" spans="1:138" ht="75" x14ac:dyDescent="0.25">
      <c r="H41" s="372"/>
      <c r="M41" s="71" t="s">
        <v>164</v>
      </c>
      <c r="N41" s="97">
        <f>AVERAGE(N35:N40)</f>
        <v>2.3685127133402994E-2</v>
      </c>
      <c r="P41" s="71" t="s">
        <v>164</v>
      </c>
      <c r="Q41" s="97">
        <f>AVERAGE(Q35:Q40)</f>
        <v>7.8718216649251133E-2</v>
      </c>
      <c r="S41" s="71" t="s">
        <v>164</v>
      </c>
      <c r="T41" s="97">
        <f>AVERAGE(T35:T40)</f>
        <v>0.16091954022988506</v>
      </c>
      <c r="V41" s="71" t="s">
        <v>164</v>
      </c>
      <c r="W41" s="97">
        <f>AVERAGE(W35:W40)</f>
        <v>0.25914315569487983</v>
      </c>
      <c r="Y41" s="71" t="s">
        <v>164</v>
      </c>
      <c r="Z41" s="97">
        <f>AVERAGE(Z35:Z40)</f>
        <v>0.34691745036572624</v>
      </c>
      <c r="AB41" s="71" t="s">
        <v>164</v>
      </c>
      <c r="AC41" s="97">
        <f>AVERAGE(AC35:AC40)</f>
        <v>0.43016370602577497</v>
      </c>
      <c r="AH41" s="71" t="s">
        <v>165</v>
      </c>
      <c r="AI41" s="97">
        <f>AVERAGE(AI35:AI39)</f>
        <v>0.11706086980383827</v>
      </c>
      <c r="AK41" s="71" t="s">
        <v>165</v>
      </c>
      <c r="AL41" s="97">
        <f>AVERAGE(AL35:AL39)</f>
        <v>0.23256360158549444</v>
      </c>
      <c r="AN41" s="71" t="s">
        <v>165</v>
      </c>
      <c r="AO41" s="97">
        <f>AVERAGE(AO35:AO40)</f>
        <v>0.29817785498388394</v>
      </c>
      <c r="AP41" s="9"/>
      <c r="AQ41" s="71" t="s">
        <v>165</v>
      </c>
      <c r="AR41" s="97">
        <f>AVERAGE(AR35:AR40)</f>
        <v>0.34433604660493117</v>
      </c>
      <c r="AT41" s="71" t="s">
        <v>165</v>
      </c>
      <c r="AU41" s="97">
        <f>AVERAGE(AU35:AU40)</f>
        <v>0.38610445783450409</v>
      </c>
      <c r="AW41" s="71" t="s">
        <v>165</v>
      </c>
      <c r="AX41" s="97">
        <f>AVERAGE(AX35:AX40)</f>
        <v>0.44588834471719535</v>
      </c>
      <c r="AY41" s="9"/>
      <c r="AZ41" s="9"/>
      <c r="BA41" s="9"/>
      <c r="EE41"/>
      <c r="EF41"/>
      <c r="EG41"/>
      <c r="EH41"/>
    </row>
    <row r="42" spans="1:138" s="5" customFormat="1" ht="45" customHeight="1" x14ac:dyDescent="0.2">
      <c r="A42" s="347" t="s">
        <v>86</v>
      </c>
      <c r="B42" s="347" t="s">
        <v>291</v>
      </c>
      <c r="C42" s="347" t="s">
        <v>1639</v>
      </c>
      <c r="D42" s="347" t="s">
        <v>43</v>
      </c>
      <c r="E42" s="347" t="s">
        <v>684</v>
      </c>
      <c r="F42" s="347" t="s">
        <v>90</v>
      </c>
      <c r="G42" s="347" t="s">
        <v>293</v>
      </c>
      <c r="H42" s="372"/>
      <c r="I42" s="176">
        <v>455112324</v>
      </c>
      <c r="J42" s="171" t="s">
        <v>685</v>
      </c>
      <c r="K42" s="171" t="s">
        <v>686</v>
      </c>
      <c r="L42" s="169">
        <v>1256</v>
      </c>
      <c r="M42" s="169">
        <v>43</v>
      </c>
      <c r="N42" s="183">
        <v>3.4235668789808917E-2</v>
      </c>
      <c r="O42" s="80" t="s">
        <v>687</v>
      </c>
      <c r="P42" s="169">
        <v>43</v>
      </c>
      <c r="Q42" s="183">
        <v>3.4235668789808917E-2</v>
      </c>
      <c r="R42" s="80" t="s">
        <v>688</v>
      </c>
      <c r="S42" s="169">
        <v>254</v>
      </c>
      <c r="T42" s="183">
        <v>0.20222929936305734</v>
      </c>
      <c r="U42" s="80" t="s">
        <v>689</v>
      </c>
      <c r="V42" s="169">
        <v>349</v>
      </c>
      <c r="W42" s="224">
        <v>0.27786624203821658</v>
      </c>
      <c r="X42" s="80" t="s">
        <v>1495</v>
      </c>
      <c r="Y42" s="169">
        <v>454</v>
      </c>
      <c r="Z42" s="224">
        <v>0.36146496815286622</v>
      </c>
      <c r="AA42" s="80" t="s">
        <v>1532</v>
      </c>
      <c r="AB42" s="169">
        <v>564</v>
      </c>
      <c r="AC42" s="224">
        <v>0.44904458598726116</v>
      </c>
      <c r="AD42" s="80" t="s">
        <v>1568</v>
      </c>
      <c r="AE42" s="351" t="s">
        <v>95</v>
      </c>
      <c r="AF42" s="351"/>
      <c r="AG42" s="351"/>
      <c r="AH42" s="89"/>
      <c r="AI42" s="91"/>
      <c r="AJ42" s="89"/>
      <c r="AK42" s="89"/>
      <c r="AL42" s="91"/>
      <c r="AM42" s="89"/>
      <c r="AN42" s="89"/>
      <c r="AO42" s="91"/>
      <c r="AP42" s="89"/>
      <c r="AQ42" s="89"/>
      <c r="AR42" s="91"/>
      <c r="AS42" s="89"/>
      <c r="AT42" s="89"/>
      <c r="AU42" s="91"/>
      <c r="AV42" s="89"/>
      <c r="AW42" s="89"/>
      <c r="AX42" s="91"/>
      <c r="AY42" s="89"/>
      <c r="AZ42" s="13" t="s">
        <v>108</v>
      </c>
      <c r="BA42" s="13" t="s">
        <v>109</v>
      </c>
    </row>
    <row r="43" spans="1:138" s="5" customFormat="1" ht="45" customHeight="1" x14ac:dyDescent="0.2">
      <c r="A43" s="366"/>
      <c r="B43" s="366"/>
      <c r="C43" s="366"/>
      <c r="D43" s="366"/>
      <c r="E43" s="366"/>
      <c r="F43" s="366"/>
      <c r="G43" s="366"/>
      <c r="H43" s="372"/>
      <c r="I43" s="173">
        <v>4379224674</v>
      </c>
      <c r="J43" s="175" t="s">
        <v>690</v>
      </c>
      <c r="K43" s="175" t="s">
        <v>691</v>
      </c>
      <c r="L43" s="175">
        <v>1265</v>
      </c>
      <c r="M43" s="175">
        <v>43</v>
      </c>
      <c r="N43" s="183">
        <v>3.3992094861660077E-2</v>
      </c>
      <c r="O43" s="80" t="s">
        <v>692</v>
      </c>
      <c r="P43" s="175">
        <v>139</v>
      </c>
      <c r="Q43" s="183">
        <v>0.10988142292490119</v>
      </c>
      <c r="R43" s="80" t="s">
        <v>693</v>
      </c>
      <c r="S43" s="175">
        <v>254</v>
      </c>
      <c r="T43" s="183">
        <v>0.2007905138339921</v>
      </c>
      <c r="U43" s="80" t="s">
        <v>694</v>
      </c>
      <c r="V43" s="223">
        <v>349</v>
      </c>
      <c r="W43" s="224">
        <v>0.27588932806324112</v>
      </c>
      <c r="X43" s="80" t="s">
        <v>1496</v>
      </c>
      <c r="Y43" s="223">
        <v>454</v>
      </c>
      <c r="Z43" s="224">
        <v>0.35889328063241105</v>
      </c>
      <c r="AA43" s="80" t="s">
        <v>1533</v>
      </c>
      <c r="AB43" s="223">
        <v>564</v>
      </c>
      <c r="AC43" s="224">
        <v>0.44584980237154148</v>
      </c>
      <c r="AD43" s="80" t="s">
        <v>1569</v>
      </c>
      <c r="AE43" s="13" t="s">
        <v>695</v>
      </c>
      <c r="AF43" s="13" t="s">
        <v>696</v>
      </c>
      <c r="AG43" s="177">
        <v>1</v>
      </c>
      <c r="AH43" s="83">
        <v>0.46153846153846156</v>
      </c>
      <c r="AI43" s="100">
        <v>0.46153846153846156</v>
      </c>
      <c r="AJ43" s="80" t="s">
        <v>697</v>
      </c>
      <c r="AK43" s="80">
        <v>0.91</v>
      </c>
      <c r="AL43" s="183">
        <v>0.90625</v>
      </c>
      <c r="AM43" s="80" t="s">
        <v>698</v>
      </c>
      <c r="AN43" s="80">
        <v>0.92</v>
      </c>
      <c r="AO43" s="183">
        <v>0.92105263157894735</v>
      </c>
      <c r="AP43" s="80" t="s">
        <v>699</v>
      </c>
      <c r="AQ43" s="100">
        <v>0.91304347826086951</v>
      </c>
      <c r="AR43" s="83">
        <v>0.91304347826086951</v>
      </c>
      <c r="AS43" s="80" t="s">
        <v>1524</v>
      </c>
      <c r="AT43" s="80">
        <v>0.94968553459119498</v>
      </c>
      <c r="AU43" s="224">
        <v>0.94968553459119498</v>
      </c>
      <c r="AV43" s="80" t="s">
        <v>1560</v>
      </c>
      <c r="AW43" s="80">
        <v>0.95287958115183247</v>
      </c>
      <c r="AX43" s="224">
        <v>0.95287958115183247</v>
      </c>
      <c r="AY43" s="80" t="s">
        <v>1602</v>
      </c>
      <c r="AZ43" s="13" t="s">
        <v>108</v>
      </c>
      <c r="BA43" s="13" t="s">
        <v>109</v>
      </c>
    </row>
    <row r="44" spans="1:138" s="5" customFormat="1" ht="216" x14ac:dyDescent="0.2">
      <c r="A44" s="366"/>
      <c r="B44" s="366"/>
      <c r="C44" s="366"/>
      <c r="D44" s="366"/>
      <c r="E44" s="366"/>
      <c r="F44" s="366"/>
      <c r="G44" s="366"/>
      <c r="H44" s="372"/>
      <c r="I44" s="173">
        <v>502632731</v>
      </c>
      <c r="J44" s="175" t="s">
        <v>700</v>
      </c>
      <c r="K44" s="175" t="s">
        <v>701</v>
      </c>
      <c r="L44" s="174">
        <v>1</v>
      </c>
      <c r="M44" s="80">
        <v>0.27234927234927236</v>
      </c>
      <c r="N44" s="183">
        <v>0.27234927234927236</v>
      </c>
      <c r="O44" s="80" t="s">
        <v>702</v>
      </c>
      <c r="P44" s="80">
        <v>0.40262172284644199</v>
      </c>
      <c r="Q44" s="183">
        <v>0.40262172284644199</v>
      </c>
      <c r="R44" s="80" t="s">
        <v>703</v>
      </c>
      <c r="S44" s="80">
        <v>0.48</v>
      </c>
      <c r="T44" s="183">
        <v>0.48</v>
      </c>
      <c r="U44" s="80" t="s">
        <v>704</v>
      </c>
      <c r="V44" s="80">
        <v>0.89066442388561817</v>
      </c>
      <c r="W44" s="224">
        <v>0.89066442388561817</v>
      </c>
      <c r="X44" s="80" t="s">
        <v>1497</v>
      </c>
      <c r="Y44" s="80">
        <v>0.97341513292433535</v>
      </c>
      <c r="Z44" s="224">
        <v>0.97341513292433535</v>
      </c>
      <c r="AA44" s="80" t="s">
        <v>1534</v>
      </c>
      <c r="AB44" s="80">
        <v>0.95047923322683703</v>
      </c>
      <c r="AC44" s="224">
        <v>0.95047923322683703</v>
      </c>
      <c r="AD44" s="80" t="s">
        <v>1570</v>
      </c>
      <c r="AE44" s="351" t="s">
        <v>95</v>
      </c>
      <c r="AF44" s="351"/>
      <c r="AG44" s="351"/>
      <c r="AH44" s="89"/>
      <c r="AI44" s="91"/>
      <c r="AJ44" s="89"/>
      <c r="AK44" s="89"/>
      <c r="AL44" s="91"/>
      <c r="AM44" s="89"/>
      <c r="AN44" s="89"/>
      <c r="AO44" s="91"/>
      <c r="AP44" s="89"/>
      <c r="AQ44" s="89"/>
      <c r="AR44" s="91"/>
      <c r="AS44" s="89"/>
      <c r="AT44" s="89"/>
      <c r="AU44" s="91"/>
      <c r="AV44" s="89"/>
      <c r="AW44" s="89"/>
      <c r="AX44" s="91"/>
      <c r="AY44" s="89"/>
      <c r="AZ44" s="13" t="s">
        <v>108</v>
      </c>
      <c r="BA44" s="13" t="s">
        <v>109</v>
      </c>
    </row>
    <row r="45" spans="1:138" s="5" customFormat="1" ht="252" x14ac:dyDescent="0.2">
      <c r="A45" s="366"/>
      <c r="B45" s="366"/>
      <c r="C45" s="366"/>
      <c r="D45" s="366"/>
      <c r="E45" s="366"/>
      <c r="F45" s="366"/>
      <c r="G45" s="366"/>
      <c r="H45" s="372"/>
      <c r="I45" s="173">
        <v>1630109928</v>
      </c>
      <c r="J45" s="175" t="s">
        <v>705</v>
      </c>
      <c r="K45" s="175" t="s">
        <v>706</v>
      </c>
      <c r="L45" s="175">
        <v>6000</v>
      </c>
      <c r="M45" s="175">
        <v>1280.48</v>
      </c>
      <c r="N45" s="183">
        <v>0.21341333333333334</v>
      </c>
      <c r="O45" s="80" t="s">
        <v>707</v>
      </c>
      <c r="P45" s="175">
        <v>1425.35</v>
      </c>
      <c r="Q45" s="183">
        <v>0.23755833333333332</v>
      </c>
      <c r="R45" s="80" t="s">
        <v>708</v>
      </c>
      <c r="S45" s="175">
        <v>1450.35</v>
      </c>
      <c r="T45" s="183">
        <v>0.241725</v>
      </c>
      <c r="U45" s="80" t="s">
        <v>709</v>
      </c>
      <c r="V45" s="223">
        <v>2098.0500000000002</v>
      </c>
      <c r="W45" s="224">
        <v>0.34967500000000001</v>
      </c>
      <c r="X45" s="80" t="s">
        <v>1498</v>
      </c>
      <c r="Y45" s="223">
        <v>2872.08</v>
      </c>
      <c r="Z45" s="224">
        <v>0.47867999999999999</v>
      </c>
      <c r="AA45" s="80" t="s">
        <v>1535</v>
      </c>
      <c r="AB45" s="223">
        <v>3139.22</v>
      </c>
      <c r="AC45" s="224">
        <v>0.52320333333333335</v>
      </c>
      <c r="AD45" s="80" t="s">
        <v>1571</v>
      </c>
      <c r="AE45" s="13" t="s">
        <v>710</v>
      </c>
      <c r="AF45" s="13" t="s">
        <v>711</v>
      </c>
      <c r="AG45" s="177">
        <v>1</v>
      </c>
      <c r="AH45" s="80">
        <v>0.5</v>
      </c>
      <c r="AI45" s="183">
        <v>0.5</v>
      </c>
      <c r="AJ45" s="80" t="s">
        <v>712</v>
      </c>
      <c r="AK45" s="80">
        <v>0.43</v>
      </c>
      <c r="AL45" s="183">
        <v>0.42857142857142855</v>
      </c>
      <c r="AM45" s="80" t="s">
        <v>713</v>
      </c>
      <c r="AN45" s="80">
        <v>0.71</v>
      </c>
      <c r="AO45" s="183">
        <v>0.70930232558139539</v>
      </c>
      <c r="AP45" s="80" t="s">
        <v>714</v>
      </c>
      <c r="AQ45" s="80">
        <v>0.74637681159420288</v>
      </c>
      <c r="AR45" s="224">
        <v>0.74637681159420288</v>
      </c>
      <c r="AS45" s="80" t="s">
        <v>1525</v>
      </c>
      <c r="AT45" s="80">
        <v>0.89142857142857146</v>
      </c>
      <c r="AU45" s="224">
        <v>0.89142857142857146</v>
      </c>
      <c r="AV45" s="80" t="s">
        <v>1561</v>
      </c>
      <c r="AW45" s="80">
        <v>0.90783410138248843</v>
      </c>
      <c r="AX45" s="224">
        <v>0.90783410138248843</v>
      </c>
      <c r="AY45" s="80" t="s">
        <v>1603</v>
      </c>
      <c r="AZ45" s="13" t="s">
        <v>108</v>
      </c>
      <c r="BA45" s="13" t="s">
        <v>109</v>
      </c>
    </row>
    <row r="46" spans="1:138" s="5" customFormat="1" ht="33.75" customHeight="1" x14ac:dyDescent="0.2">
      <c r="A46" s="366"/>
      <c r="B46" s="366"/>
      <c r="C46" s="366"/>
      <c r="D46" s="366"/>
      <c r="E46" s="366"/>
      <c r="F46" s="366"/>
      <c r="G46" s="366"/>
      <c r="H46" s="372"/>
      <c r="I46" s="173">
        <v>487347385</v>
      </c>
      <c r="J46" s="175" t="s">
        <v>715</v>
      </c>
      <c r="K46" s="175" t="s">
        <v>716</v>
      </c>
      <c r="L46" s="174">
        <v>1</v>
      </c>
      <c r="M46" s="174">
        <v>1</v>
      </c>
      <c r="N46" s="183">
        <v>1</v>
      </c>
      <c r="O46" s="80" t="s">
        <v>717</v>
      </c>
      <c r="P46" s="174">
        <v>1</v>
      </c>
      <c r="Q46" s="183">
        <v>1</v>
      </c>
      <c r="R46" s="80" t="s">
        <v>718</v>
      </c>
      <c r="S46" s="174">
        <v>0.97</v>
      </c>
      <c r="T46" s="183">
        <v>0.97</v>
      </c>
      <c r="U46" s="80" t="s">
        <v>719</v>
      </c>
      <c r="V46" s="220">
        <v>0.9821428571428571</v>
      </c>
      <c r="W46" s="224">
        <v>0.9821428571428571</v>
      </c>
      <c r="X46" s="80" t="s">
        <v>1499</v>
      </c>
      <c r="Y46" s="220">
        <v>0.9882352941176471</v>
      </c>
      <c r="Z46" s="224">
        <v>0.9882352941176471</v>
      </c>
      <c r="AA46" s="80" t="s">
        <v>1536</v>
      </c>
      <c r="AB46" s="220">
        <v>0.98969072164948457</v>
      </c>
      <c r="AC46" s="224">
        <v>0.98969072164948457</v>
      </c>
      <c r="AD46" s="80" t="s">
        <v>1572</v>
      </c>
      <c r="AE46" s="351" t="s">
        <v>95</v>
      </c>
      <c r="AF46" s="351"/>
      <c r="AG46" s="351"/>
      <c r="AH46" s="89"/>
      <c r="AI46" s="91"/>
      <c r="AJ46" s="89"/>
      <c r="AK46" s="89"/>
      <c r="AL46" s="91"/>
      <c r="AM46" s="89"/>
      <c r="AN46" s="89"/>
      <c r="AO46" s="91"/>
      <c r="AP46" s="89"/>
      <c r="AQ46" s="89"/>
      <c r="AR46" s="91"/>
      <c r="AS46" s="89"/>
      <c r="AT46" s="89"/>
      <c r="AU46" s="91"/>
      <c r="AV46" s="89"/>
      <c r="AW46" s="89"/>
      <c r="AX46" s="91"/>
      <c r="AY46" s="89"/>
      <c r="AZ46" s="13" t="s">
        <v>108</v>
      </c>
      <c r="BA46" s="13" t="s">
        <v>109</v>
      </c>
    </row>
    <row r="47" spans="1:138" s="5" customFormat="1" ht="33.75" customHeight="1" x14ac:dyDescent="0.2">
      <c r="A47" s="348"/>
      <c r="B47" s="348"/>
      <c r="C47" s="348"/>
      <c r="D47" s="348"/>
      <c r="E47" s="348"/>
      <c r="F47" s="348"/>
      <c r="G47" s="348"/>
      <c r="H47" s="346"/>
      <c r="I47" s="173">
        <v>1072788969</v>
      </c>
      <c r="J47" s="175" t="s">
        <v>720</v>
      </c>
      <c r="K47" s="175" t="s">
        <v>721</v>
      </c>
      <c r="L47" s="175">
        <v>26</v>
      </c>
      <c r="M47" s="175">
        <v>0</v>
      </c>
      <c r="N47" s="183">
        <v>0</v>
      </c>
      <c r="O47" s="80" t="s">
        <v>722</v>
      </c>
      <c r="P47" s="175">
        <v>0</v>
      </c>
      <c r="Q47" s="183">
        <v>0</v>
      </c>
      <c r="R47" s="80" t="s">
        <v>723</v>
      </c>
      <c r="S47" s="175">
        <v>3</v>
      </c>
      <c r="T47" s="183">
        <v>0.11538461538461539</v>
      </c>
      <c r="U47" s="80" t="s">
        <v>724</v>
      </c>
      <c r="V47" s="223">
        <v>4</v>
      </c>
      <c r="W47" s="224">
        <v>0.15384615384615385</v>
      </c>
      <c r="X47" s="80" t="s">
        <v>1500</v>
      </c>
      <c r="Y47" s="223">
        <v>8</v>
      </c>
      <c r="Z47" s="224">
        <v>0.30769230769230771</v>
      </c>
      <c r="AA47" s="80" t="s">
        <v>1537</v>
      </c>
      <c r="AB47" s="223">
        <v>8</v>
      </c>
      <c r="AC47" s="224">
        <v>0.30769230769230771</v>
      </c>
      <c r="AD47" s="80" t="s">
        <v>1573</v>
      </c>
      <c r="AE47" s="351" t="s">
        <v>95</v>
      </c>
      <c r="AF47" s="351"/>
      <c r="AG47" s="351"/>
      <c r="AH47" s="89"/>
      <c r="AI47" s="91"/>
      <c r="AJ47" s="89"/>
      <c r="AK47" s="89"/>
      <c r="AL47" s="91"/>
      <c r="AM47" s="89"/>
      <c r="AN47" s="89"/>
      <c r="AO47" s="91"/>
      <c r="AP47" s="89"/>
      <c r="AQ47" s="89"/>
      <c r="AR47" s="91"/>
      <c r="AS47" s="89"/>
      <c r="AT47" s="89"/>
      <c r="AU47" s="91"/>
      <c r="AV47" s="89"/>
      <c r="AW47" s="89"/>
      <c r="AX47" s="91"/>
      <c r="AY47" s="89"/>
      <c r="AZ47" s="13" t="s">
        <v>108</v>
      </c>
      <c r="BA47" s="13" t="s">
        <v>109</v>
      </c>
    </row>
    <row r="48" spans="1:138" ht="75" x14ac:dyDescent="0.25">
      <c r="M48" s="71" t="s">
        <v>164</v>
      </c>
      <c r="N48" s="97">
        <f>AVERAGE(N42:N47)</f>
        <v>0.25899839488901244</v>
      </c>
      <c r="P48" s="71" t="s">
        <v>164</v>
      </c>
      <c r="Q48" s="97">
        <f>AVERAGE(Q42:Q47)</f>
        <v>0.29738285798241421</v>
      </c>
      <c r="S48" s="71" t="s">
        <v>164</v>
      </c>
      <c r="T48" s="97">
        <f>AVERAGE(T42:T47)</f>
        <v>0.36835490476361082</v>
      </c>
      <c r="V48" s="71" t="s">
        <v>164</v>
      </c>
      <c r="W48" s="97">
        <f>AVERAGE(W42:W47)</f>
        <v>0.48834733416268111</v>
      </c>
      <c r="Y48" s="71" t="s">
        <v>164</v>
      </c>
      <c r="Z48" s="97">
        <f>AVERAGE(Z42:Z47)</f>
        <v>0.57806349725326112</v>
      </c>
      <c r="AB48" s="71" t="s">
        <v>164</v>
      </c>
      <c r="AC48" s="97">
        <f>AVERAGE(AC42:AC47)</f>
        <v>0.61099333071012751</v>
      </c>
      <c r="AH48" s="71" t="s">
        <v>165</v>
      </c>
      <c r="AI48" s="97">
        <f>AVERAGE(AI43,AI45)</f>
        <v>0.48076923076923078</v>
      </c>
      <c r="AK48" s="71" t="s">
        <v>165</v>
      </c>
      <c r="AL48" s="97">
        <f>AVERAGE(AL43,AL45)</f>
        <v>0.6674107142857143</v>
      </c>
      <c r="AN48" s="71" t="s">
        <v>165</v>
      </c>
      <c r="AO48" s="97">
        <f>AVERAGE(AO43,AO45)</f>
        <v>0.81517747858017131</v>
      </c>
      <c r="AP48" s="9"/>
      <c r="AQ48" s="71" t="s">
        <v>165</v>
      </c>
      <c r="AR48" s="97">
        <f>AVERAGE(AR43,AR45)</f>
        <v>0.82971014492753614</v>
      </c>
      <c r="AT48" s="71" t="s">
        <v>165</v>
      </c>
      <c r="AU48" s="97">
        <f>AVERAGE(AU43,AU45)</f>
        <v>0.92055705300988322</v>
      </c>
      <c r="AW48" s="71" t="s">
        <v>165</v>
      </c>
      <c r="AX48" s="97">
        <f>AVERAGE(AX43,AX45)</f>
        <v>0.93035684126716045</v>
      </c>
      <c r="AY48" s="9"/>
      <c r="AZ48" s="9"/>
      <c r="BA48" s="9"/>
      <c r="EE48"/>
      <c r="EF48"/>
      <c r="EG48"/>
      <c r="EH48"/>
    </row>
    <row r="49" spans="1:138" s="5" customFormat="1" ht="33.75" customHeight="1" x14ac:dyDescent="0.25">
      <c r="A49" t="s">
        <v>290</v>
      </c>
      <c r="B49" s="163"/>
      <c r="C49" s="164"/>
      <c r="D49" s="163"/>
      <c r="E49" s="164"/>
      <c r="F49" s="163"/>
      <c r="G49" s="163"/>
      <c r="H49" s="75"/>
      <c r="I49" s="75"/>
      <c r="J49" s="165"/>
      <c r="K49" s="165"/>
      <c r="L49" s="166"/>
      <c r="M49" s="78"/>
      <c r="N49" s="98"/>
      <c r="O49" s="78"/>
      <c r="P49" s="78"/>
      <c r="Q49" s="88"/>
      <c r="R49" s="78"/>
      <c r="S49" s="78"/>
      <c r="T49" s="88"/>
      <c r="U49" s="78"/>
      <c r="V49" s="78"/>
      <c r="W49" s="98"/>
      <c r="X49" s="78"/>
      <c r="Y49" s="78"/>
      <c r="Z49" s="88"/>
      <c r="AA49" s="78"/>
      <c r="AB49" s="78"/>
      <c r="AC49" s="88"/>
      <c r="AD49" s="78"/>
      <c r="AE49" s="167"/>
      <c r="AF49" s="167"/>
      <c r="AG49" s="166"/>
      <c r="AH49" s="78"/>
      <c r="AI49" s="88"/>
      <c r="AJ49" s="78"/>
      <c r="AK49" s="78"/>
      <c r="AL49" s="88"/>
      <c r="AM49" s="78"/>
      <c r="AN49" s="78"/>
      <c r="AO49" s="88"/>
      <c r="AP49" s="78"/>
      <c r="AQ49" s="78"/>
      <c r="AR49" s="88"/>
      <c r="AS49" s="78"/>
      <c r="AT49" s="78"/>
      <c r="AU49" s="88"/>
      <c r="AV49" s="78"/>
      <c r="AW49" s="78"/>
      <c r="AX49" s="88"/>
      <c r="AY49" s="78"/>
      <c r="AZ49" s="167"/>
      <c r="BA49" s="167"/>
    </row>
    <row r="50" spans="1:138" ht="75" x14ac:dyDescent="0.25">
      <c r="M50" s="71" t="s">
        <v>155</v>
      </c>
      <c r="N50" s="97">
        <f>AVERAGE(N13,N19,N25,N31,N34,N41,N48)</f>
        <v>5.8550101311833559E-2</v>
      </c>
      <c r="P50" s="71" t="s">
        <v>155</v>
      </c>
      <c r="Q50" s="97">
        <f>AVERAGE(Q13,Q19,Q25,Q31,Q34,Q41,Q48)</f>
        <v>9.4201636546706907E-2</v>
      </c>
      <c r="S50" s="71" t="s">
        <v>155</v>
      </c>
      <c r="T50" s="97">
        <f>AVERAGE(T13,T19,T25,T31,T34,T41,T48)</f>
        <v>0.16798063647261621</v>
      </c>
      <c r="V50" s="71" t="s">
        <v>155</v>
      </c>
      <c r="W50" s="97">
        <f>AVERAGE(W13,W19,W25,W31,W34,W41,W48)</f>
        <v>0.25906584880162392</v>
      </c>
      <c r="Y50" s="71" t="s">
        <v>155</v>
      </c>
      <c r="Z50" s="97">
        <f>AVERAGE(Z13,Z19,Z25,Z31,Z34,Z41,Z48)</f>
        <v>0.34443740086220692</v>
      </c>
      <c r="AB50" s="71" t="s">
        <v>155</v>
      </c>
      <c r="AC50" s="97">
        <f>AVERAGE(AC13,AC19,AC25,AC31,AC34,AC41,AC48)</f>
        <v>0.41735224613936489</v>
      </c>
      <c r="AH50" s="71" t="s">
        <v>156</v>
      </c>
      <c r="AI50" s="97">
        <f>AVERAGE(AI13,AI19,AI25,AI31,AI34,AI41,AI48)</f>
        <v>0.15549794872509842</v>
      </c>
      <c r="AK50" s="71" t="s">
        <v>156</v>
      </c>
      <c r="AL50" s="97">
        <f>AVERAGE(AL13,AL19,AL25,AL31,AL34,AL41,AL48)</f>
        <v>0.354591604975174</v>
      </c>
      <c r="AN50" s="71" t="s">
        <v>156</v>
      </c>
      <c r="AO50" s="97">
        <f>AVERAGE(AO13,AO19,AO25,AO31,AO34,AO41,AO48)</f>
        <v>0.39710458060321907</v>
      </c>
      <c r="AP50" s="9"/>
      <c r="AQ50" s="71" t="s">
        <v>156</v>
      </c>
      <c r="AR50" s="97">
        <f>AVERAGE(AR13,AR19,AR25,AR31,AR34,AR41,AR48)</f>
        <v>0.44706091069959758</v>
      </c>
      <c r="AT50" s="71" t="s">
        <v>156</v>
      </c>
      <c r="AU50" s="97">
        <f>AVERAGE(AU13,AU19,AU25,AU31,AU34,AU41,AU48)</f>
        <v>0.49920118666271085</v>
      </c>
      <c r="AW50" s="71" t="s">
        <v>156</v>
      </c>
      <c r="AX50" s="97">
        <f>AVERAGE(AX13,AX19,AX25,AX31,AX34,AX41,AX48)</f>
        <v>0.56841500876434281</v>
      </c>
      <c r="AY50" s="9"/>
      <c r="AZ50" s="9"/>
      <c r="BA50" s="9"/>
      <c r="EE50"/>
      <c r="EF50"/>
      <c r="EG50"/>
      <c r="EH50"/>
    </row>
    <row r="51" spans="1:138" s="5" customFormat="1" ht="38.25" customHeight="1" x14ac:dyDescent="0.25">
      <c r="A51"/>
      <c r="B51"/>
      <c r="C51" s="4"/>
      <c r="D51" s="4"/>
      <c r="E51" s="4"/>
      <c r="F51" s="4"/>
      <c r="G51" s="4"/>
      <c r="H51" s="1"/>
      <c r="I51" s="1"/>
      <c r="J51" s="4"/>
      <c r="K51" s="4"/>
      <c r="L51" s="6"/>
      <c r="M51" s="4"/>
      <c r="N51" s="84"/>
      <c r="O51" s="6"/>
      <c r="P51" s="4"/>
      <c r="Q51" s="84"/>
      <c r="R51" s="6"/>
      <c r="S51" s="4"/>
      <c r="T51" s="84"/>
      <c r="U51" s="6"/>
      <c r="V51" s="4"/>
      <c r="W51" s="84"/>
      <c r="X51" s="6"/>
      <c r="Y51" s="4"/>
      <c r="Z51" s="84"/>
      <c r="AA51" s="6"/>
      <c r="AB51" s="4"/>
      <c r="AC51" s="84"/>
      <c r="AD51" s="6"/>
      <c r="AE51" s="3"/>
      <c r="AF51" s="3"/>
      <c r="AG51" s="8"/>
      <c r="AH51" s="4"/>
      <c r="AI51" s="84"/>
      <c r="AJ51" s="6"/>
      <c r="AK51" s="4"/>
      <c r="AL51" s="84"/>
      <c r="AM51" s="6"/>
      <c r="AN51" s="4"/>
      <c r="AO51" s="84"/>
      <c r="AP51" s="6"/>
      <c r="AQ51" s="4"/>
      <c r="AR51" s="84"/>
      <c r="AS51" s="6"/>
      <c r="AT51" s="4"/>
      <c r="AU51" s="84"/>
      <c r="AV51" s="6"/>
      <c r="AW51" s="4"/>
      <c r="AX51" s="84"/>
      <c r="AY51" s="6"/>
      <c r="AZ51" s="12"/>
      <c r="BA51" s="12"/>
    </row>
    <row r="52" spans="1:138" ht="38.25" customHeight="1" x14ac:dyDescent="0.25"/>
    <row r="53" spans="1:138" ht="38.25" customHeight="1" x14ac:dyDescent="0.25"/>
  </sheetData>
  <autoFilter ref="A7:AZ53" xr:uid="{00000000-0009-0000-0000-000000000000}"/>
  <mergeCells count="203">
    <mergeCell ref="AK6:AM6"/>
    <mergeCell ref="AN6:AP6"/>
    <mergeCell ref="AZ6:BA6"/>
    <mergeCell ref="D6:E6"/>
    <mergeCell ref="F6:I6"/>
    <mergeCell ref="J6:L6"/>
    <mergeCell ref="M6:O6"/>
    <mergeCell ref="P6:R6"/>
    <mergeCell ref="AQ6:AS6"/>
    <mergeCell ref="AT6:AV6"/>
    <mergeCell ref="AW6:AY6"/>
    <mergeCell ref="A8:A12"/>
    <mergeCell ref="B8:B12"/>
    <mergeCell ref="C8:C12"/>
    <mergeCell ref="D8:D12"/>
    <mergeCell ref="E8:E12"/>
    <mergeCell ref="S6:U6"/>
    <mergeCell ref="AE6:AG6"/>
    <mergeCell ref="AH6:AJ6"/>
    <mergeCell ref="R8:R12"/>
    <mergeCell ref="S8:S12"/>
    <mergeCell ref="T8:T12"/>
    <mergeCell ref="U8:U12"/>
    <mergeCell ref="O8:O12"/>
    <mergeCell ref="P8:P12"/>
    <mergeCell ref="Q8:Q12"/>
    <mergeCell ref="V6:X6"/>
    <mergeCell ref="Y6:AA6"/>
    <mergeCell ref="AB6:AD6"/>
    <mergeCell ref="V8:V12"/>
    <mergeCell ref="W8:W12"/>
    <mergeCell ref="X8:X12"/>
    <mergeCell ref="Y8:Y12"/>
    <mergeCell ref="Z8:Z12"/>
    <mergeCell ref="B14:B18"/>
    <mergeCell ref="C14:C18"/>
    <mergeCell ref="D14:D18"/>
    <mergeCell ref="E14:E18"/>
    <mergeCell ref="L8:L12"/>
    <mergeCell ref="M8:M12"/>
    <mergeCell ref="N8:N12"/>
    <mergeCell ref="F8:F12"/>
    <mergeCell ref="G8:G12"/>
    <mergeCell ref="H8:H47"/>
    <mergeCell ref="I8:I12"/>
    <mergeCell ref="J8:J12"/>
    <mergeCell ref="K8:K12"/>
    <mergeCell ref="F14:F18"/>
    <mergeCell ref="G14:G18"/>
    <mergeCell ref="B26:B30"/>
    <mergeCell ref="C26:C30"/>
    <mergeCell ref="D26:D30"/>
    <mergeCell ref="E26:E30"/>
    <mergeCell ref="N20:N24"/>
    <mergeCell ref="Q14:Q18"/>
    <mergeCell ref="R14:R18"/>
    <mergeCell ref="S14:S18"/>
    <mergeCell ref="T14:T18"/>
    <mergeCell ref="U14:U18"/>
    <mergeCell ref="A20:A24"/>
    <mergeCell ref="B20:B24"/>
    <mergeCell ref="C20:C24"/>
    <mergeCell ref="D20:D24"/>
    <mergeCell ref="K14:K18"/>
    <mergeCell ref="L14:L18"/>
    <mergeCell ref="M14:M18"/>
    <mergeCell ref="N14:N18"/>
    <mergeCell ref="O14:O18"/>
    <mergeCell ref="P14:P18"/>
    <mergeCell ref="I14:I18"/>
    <mergeCell ref="J14:J18"/>
    <mergeCell ref="R20:R24"/>
    <mergeCell ref="S20:S24"/>
    <mergeCell ref="T20:T24"/>
    <mergeCell ref="U20:U24"/>
    <mergeCell ref="L20:L24"/>
    <mergeCell ref="M20:M24"/>
    <mergeCell ref="A14:A18"/>
    <mergeCell ref="O20:O24"/>
    <mergeCell ref="P20:P24"/>
    <mergeCell ref="Q20:Q24"/>
    <mergeCell ref="E20:E24"/>
    <mergeCell ref="F20:F24"/>
    <mergeCell ref="G20:G24"/>
    <mergeCell ref="I20:I24"/>
    <mergeCell ref="J20:J24"/>
    <mergeCell ref="K20:K24"/>
    <mergeCell ref="S26:S30"/>
    <mergeCell ref="T26:T30"/>
    <mergeCell ref="U26:U30"/>
    <mergeCell ref="A32:A33"/>
    <mergeCell ref="B32:B33"/>
    <mergeCell ref="C32:C33"/>
    <mergeCell ref="D32:D33"/>
    <mergeCell ref="E32:E33"/>
    <mergeCell ref="F32:F33"/>
    <mergeCell ref="M26:M30"/>
    <mergeCell ref="N26:N30"/>
    <mergeCell ref="O26:O30"/>
    <mergeCell ref="P26:P30"/>
    <mergeCell ref="Q26:Q30"/>
    <mergeCell ref="R26:R30"/>
    <mergeCell ref="F26:F30"/>
    <mergeCell ref="G26:G30"/>
    <mergeCell ref="I26:I30"/>
    <mergeCell ref="J26:J30"/>
    <mergeCell ref="K26:K30"/>
    <mergeCell ref="L26:L30"/>
    <mergeCell ref="A26:A30"/>
    <mergeCell ref="T32:T33"/>
    <mergeCell ref="U32:U33"/>
    <mergeCell ref="A35:A40"/>
    <mergeCell ref="B35:B40"/>
    <mergeCell ref="C35:C40"/>
    <mergeCell ref="D35:D40"/>
    <mergeCell ref="E35:E40"/>
    <mergeCell ref="F35:F40"/>
    <mergeCell ref="G35:G40"/>
    <mergeCell ref="N32:N33"/>
    <mergeCell ref="O32:O33"/>
    <mergeCell ref="P32:P33"/>
    <mergeCell ref="Q32:Q33"/>
    <mergeCell ref="R32:R33"/>
    <mergeCell ref="S32:S33"/>
    <mergeCell ref="G32:G33"/>
    <mergeCell ref="I32:I33"/>
    <mergeCell ref="J32:J33"/>
    <mergeCell ref="K32:K33"/>
    <mergeCell ref="L32:L33"/>
    <mergeCell ref="M32:M33"/>
    <mergeCell ref="AE42:AG42"/>
    <mergeCell ref="AE44:AG44"/>
    <mergeCell ref="AE46:AG46"/>
    <mergeCell ref="AE47:AG47"/>
    <mergeCell ref="U35:U40"/>
    <mergeCell ref="A42:A47"/>
    <mergeCell ref="B42:B47"/>
    <mergeCell ref="C42:C47"/>
    <mergeCell ref="D42:D47"/>
    <mergeCell ref="E42:E47"/>
    <mergeCell ref="F42:F47"/>
    <mergeCell ref="G42:G47"/>
    <mergeCell ref="O35:O40"/>
    <mergeCell ref="P35:P40"/>
    <mergeCell ref="Q35:Q40"/>
    <mergeCell ref="R35:R40"/>
    <mergeCell ref="S35:S40"/>
    <mergeCell ref="T35:T40"/>
    <mergeCell ref="I35:I40"/>
    <mergeCell ref="J35:J40"/>
    <mergeCell ref="K35:K40"/>
    <mergeCell ref="L35:L40"/>
    <mergeCell ref="M35:M40"/>
    <mergeCell ref="N35:N40"/>
    <mergeCell ref="AA8:AA12"/>
    <mergeCell ref="AB8:AB12"/>
    <mergeCell ref="AC8:AC12"/>
    <mergeCell ref="AD8:AD12"/>
    <mergeCell ref="V14:V18"/>
    <mergeCell ref="W14:W18"/>
    <mergeCell ref="X14:X18"/>
    <mergeCell ref="Y14:Y18"/>
    <mergeCell ref="Z14:Z18"/>
    <mergeCell ref="AA14:AA18"/>
    <mergeCell ref="AB14:AB18"/>
    <mergeCell ref="AC14:AC18"/>
    <mergeCell ref="AD14:AD18"/>
    <mergeCell ref="V20:V24"/>
    <mergeCell ref="W20:W24"/>
    <mergeCell ref="X20:X24"/>
    <mergeCell ref="Y20:Y24"/>
    <mergeCell ref="Z20:Z24"/>
    <mergeCell ref="AA20:AA24"/>
    <mergeCell ref="AB20:AB24"/>
    <mergeCell ref="AC20:AC24"/>
    <mergeCell ref="AD20:AD24"/>
    <mergeCell ref="V26:V30"/>
    <mergeCell ref="W26:W30"/>
    <mergeCell ref="X26:X30"/>
    <mergeCell ref="Y26:Y30"/>
    <mergeCell ref="Z26:Z30"/>
    <mergeCell ref="AA26:AA30"/>
    <mergeCell ref="AB26:AB30"/>
    <mergeCell ref="AC26:AC30"/>
    <mergeCell ref="AD26:AD30"/>
    <mergeCell ref="V32:V33"/>
    <mergeCell ref="W32:W33"/>
    <mergeCell ref="X32:X33"/>
    <mergeCell ref="Y32:Y33"/>
    <mergeCell ref="Z32:Z33"/>
    <mergeCell ref="AA32:AA33"/>
    <mergeCell ref="AB32:AB33"/>
    <mergeCell ref="AC32:AC33"/>
    <mergeCell ref="AD32:AD33"/>
    <mergeCell ref="V35:V40"/>
    <mergeCell ref="W35:W40"/>
    <mergeCell ref="X35:X40"/>
    <mergeCell ref="Y35:Y40"/>
    <mergeCell ref="Z35:Z40"/>
    <mergeCell ref="AA35:AA40"/>
    <mergeCell ref="AB35:AB40"/>
    <mergeCell ref="AC35:AC40"/>
    <mergeCell ref="AD35:AD40"/>
  </mergeCells>
  <pageMargins left="0.75" right="0.75" top="1" bottom="1" header="0.5" footer="0.5"/>
  <pageSetup orientation="portrait" horizontalDpi="4294967292"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B403-508C-4FAC-A43B-86D71C59ED4D}">
  <sheetPr>
    <tabColor theme="9" tint="-0.249977111117893"/>
  </sheetPr>
  <dimension ref="A1:EH25"/>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17.7109375" style="6" bestFit="1"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2" width="15.28515625" style="4" customWidth="1"/>
    <col min="23" max="23" width="23.42578125" style="84" customWidth="1"/>
    <col min="24" max="24" width="17.7109375" style="6" bestFit="1" customWidth="1"/>
    <col min="25" max="25" width="15.28515625" style="4" customWidth="1"/>
    <col min="26" max="26" width="23.42578125" style="84" customWidth="1"/>
    <col min="27" max="27" width="17.7109375" style="6" bestFit="1" customWidth="1"/>
    <col min="28" max="28" width="15.28515625" style="4" customWidth="1"/>
    <col min="29" max="29" width="23.42578125" style="84" customWidth="1"/>
    <col min="30" max="30" width="17.7109375" style="6" bestFit="1" customWidth="1"/>
    <col min="31" max="32" width="45.7109375" style="3" bestFit="1" customWidth="1"/>
    <col min="33" max="33" width="15.28515625" style="8" bestFit="1" customWidth="1"/>
    <col min="34" max="34" width="15.28515625" style="4" customWidth="1"/>
    <col min="35" max="35" width="23.42578125" style="84" customWidth="1"/>
    <col min="36" max="36" width="17.7109375" style="6" bestFit="1" customWidth="1"/>
    <col min="37" max="37" width="15.28515625" style="4" customWidth="1"/>
    <col min="38" max="38" width="23.42578125" style="84" customWidth="1"/>
    <col min="39" max="39" width="17.7109375" style="6" bestFit="1" customWidth="1"/>
    <col min="40" max="40" width="15.28515625" style="4" customWidth="1"/>
    <col min="41" max="41" width="23.42578125" style="84" customWidth="1"/>
    <col min="42" max="42" width="17.7109375" style="6" bestFit="1" customWidth="1"/>
    <col min="43" max="43" width="15.28515625" style="4" customWidth="1"/>
    <col min="44" max="44" width="23.42578125" style="84" customWidth="1"/>
    <col min="45" max="45" width="17.7109375" style="6" bestFit="1" customWidth="1"/>
    <col min="46" max="46" width="15.28515625" style="4" customWidth="1"/>
    <col min="47" max="47" width="23.42578125" style="84" customWidth="1"/>
    <col min="48" max="48" width="17.7109375" style="6" bestFit="1" customWidth="1"/>
    <col min="49" max="49" width="15.28515625" style="4" customWidth="1"/>
    <col min="50" max="50" width="23.42578125" style="84" customWidth="1"/>
    <col min="51" max="51" width="17.7109375" style="6" bestFit="1" customWidth="1"/>
    <col min="52" max="52" width="30.140625" style="12" bestFit="1" customWidth="1"/>
    <col min="53" max="53" width="45.7109375" style="12" bestFit="1" customWidth="1"/>
    <col min="54" max="138" width="11.42578125" style="9"/>
  </cols>
  <sheetData>
    <row r="1" spans="1:138" x14ac:dyDescent="0.25">
      <c r="H1"/>
      <c r="I1"/>
      <c r="AG1" s="158"/>
    </row>
    <row r="2" spans="1:138" x14ac:dyDescent="0.25">
      <c r="H2"/>
      <c r="I2"/>
      <c r="AG2" s="158"/>
    </row>
    <row r="3" spans="1:138" x14ac:dyDescent="0.25">
      <c r="H3"/>
      <c r="I3"/>
      <c r="AG3" s="158"/>
    </row>
    <row r="4" spans="1:138" x14ac:dyDescent="0.25">
      <c r="H4"/>
      <c r="I4"/>
      <c r="AG4" s="158"/>
    </row>
    <row r="5" spans="1:138" x14ac:dyDescent="0.25">
      <c r="H5"/>
      <c r="I5"/>
      <c r="N5" s="85"/>
      <c r="Q5" s="85"/>
      <c r="T5" s="85"/>
      <c r="W5" s="85"/>
      <c r="Z5" s="85"/>
      <c r="AC5" s="85"/>
      <c r="AG5" s="158"/>
      <c r="AI5" s="85"/>
      <c r="AL5" s="85"/>
      <c r="AO5" s="85"/>
      <c r="AR5" s="85"/>
      <c r="AU5" s="85"/>
      <c r="AX5" s="85"/>
    </row>
    <row r="6" spans="1:138" s="11" customFormat="1" ht="30" x14ac:dyDescent="0.2">
      <c r="A6" s="210" t="s">
        <v>61</v>
      </c>
      <c r="B6" s="210" t="s">
        <v>62</v>
      </c>
      <c r="C6" s="305"/>
      <c r="D6" s="335" t="s">
        <v>63</v>
      </c>
      <c r="E6" s="336"/>
      <c r="F6" s="335" t="s">
        <v>64</v>
      </c>
      <c r="G6" s="337"/>
      <c r="H6" s="337"/>
      <c r="I6" s="336"/>
      <c r="J6" s="338" t="s">
        <v>65</v>
      </c>
      <c r="K6" s="338"/>
      <c r="L6" s="338"/>
      <c r="M6" s="339" t="s">
        <v>2</v>
      </c>
      <c r="N6" s="340"/>
      <c r="O6" s="341"/>
      <c r="P6" s="339" t="s">
        <v>3</v>
      </c>
      <c r="Q6" s="340"/>
      <c r="R6" s="341"/>
      <c r="S6" s="339" t="s">
        <v>4</v>
      </c>
      <c r="T6" s="340"/>
      <c r="U6" s="341"/>
      <c r="V6" s="339" t="s">
        <v>1081</v>
      </c>
      <c r="W6" s="340"/>
      <c r="X6" s="341"/>
      <c r="Y6" s="339" t="s">
        <v>1082</v>
      </c>
      <c r="Z6" s="340"/>
      <c r="AA6" s="341"/>
      <c r="AB6" s="339" t="s">
        <v>1083</v>
      </c>
      <c r="AC6" s="340"/>
      <c r="AD6" s="341"/>
      <c r="AE6" s="373" t="s">
        <v>66</v>
      </c>
      <c r="AF6" s="373"/>
      <c r="AG6" s="373"/>
      <c r="AH6" s="367" t="s">
        <v>2</v>
      </c>
      <c r="AI6" s="368"/>
      <c r="AJ6" s="369"/>
      <c r="AK6" s="367" t="s">
        <v>3</v>
      </c>
      <c r="AL6" s="368"/>
      <c r="AM6" s="369"/>
      <c r="AN6" s="367" t="s">
        <v>4</v>
      </c>
      <c r="AO6" s="368"/>
      <c r="AP6" s="369"/>
      <c r="AQ6" s="367" t="s">
        <v>1081</v>
      </c>
      <c r="AR6" s="368"/>
      <c r="AS6" s="369"/>
      <c r="AT6" s="367" t="s">
        <v>1082</v>
      </c>
      <c r="AU6" s="368"/>
      <c r="AV6" s="369"/>
      <c r="AW6" s="367" t="s">
        <v>1083</v>
      </c>
      <c r="AX6" s="368"/>
      <c r="AY6" s="369"/>
      <c r="AZ6" s="338" t="s">
        <v>67</v>
      </c>
      <c r="BA6" s="338"/>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row>
    <row r="7" spans="1:138" s="11" customFormat="1" ht="49.5" customHeight="1" x14ac:dyDescent="0.2">
      <c r="A7" s="210" t="s">
        <v>68</v>
      </c>
      <c r="B7" s="210" t="s">
        <v>69</v>
      </c>
      <c r="C7" s="210" t="s">
        <v>70</v>
      </c>
      <c r="D7" s="210" t="s">
        <v>71</v>
      </c>
      <c r="E7" s="210" t="s">
        <v>72</v>
      </c>
      <c r="F7" s="210" t="s">
        <v>73</v>
      </c>
      <c r="G7" s="210" t="s">
        <v>74</v>
      </c>
      <c r="H7" s="20" t="s">
        <v>75</v>
      </c>
      <c r="I7" s="20" t="s">
        <v>76</v>
      </c>
      <c r="J7" s="210" t="s">
        <v>65</v>
      </c>
      <c r="K7" s="210" t="s">
        <v>77</v>
      </c>
      <c r="L7" s="210" t="s">
        <v>78</v>
      </c>
      <c r="M7" s="210" t="s">
        <v>79</v>
      </c>
      <c r="N7" s="86" t="s">
        <v>80</v>
      </c>
      <c r="O7" s="210" t="s">
        <v>81</v>
      </c>
      <c r="P7" s="210" t="s">
        <v>79</v>
      </c>
      <c r="Q7" s="86" t="s">
        <v>80</v>
      </c>
      <c r="R7" s="210" t="s">
        <v>81</v>
      </c>
      <c r="S7" s="210" t="s">
        <v>79</v>
      </c>
      <c r="T7" s="86" t="s">
        <v>80</v>
      </c>
      <c r="U7" s="210" t="s">
        <v>81</v>
      </c>
      <c r="V7" s="210" t="s">
        <v>79</v>
      </c>
      <c r="W7" s="86" t="s">
        <v>80</v>
      </c>
      <c r="X7" s="210" t="s">
        <v>81</v>
      </c>
      <c r="Y7" s="210" t="s">
        <v>79</v>
      </c>
      <c r="Z7" s="86" t="s">
        <v>80</v>
      </c>
      <c r="AA7" s="210" t="s">
        <v>81</v>
      </c>
      <c r="AB7" s="210" t="s">
        <v>79</v>
      </c>
      <c r="AC7" s="86" t="s">
        <v>80</v>
      </c>
      <c r="AD7" s="210" t="s">
        <v>81</v>
      </c>
      <c r="AE7" s="308" t="s">
        <v>66</v>
      </c>
      <c r="AF7" s="308" t="s">
        <v>82</v>
      </c>
      <c r="AG7" s="308" t="s">
        <v>83</v>
      </c>
      <c r="AH7" s="308" t="s">
        <v>79</v>
      </c>
      <c r="AI7" s="309" t="s">
        <v>80</v>
      </c>
      <c r="AJ7" s="308" t="s">
        <v>81</v>
      </c>
      <c r="AK7" s="308" t="s">
        <v>79</v>
      </c>
      <c r="AL7" s="309" t="s">
        <v>80</v>
      </c>
      <c r="AM7" s="308" t="s">
        <v>81</v>
      </c>
      <c r="AN7" s="308" t="s">
        <v>79</v>
      </c>
      <c r="AO7" s="309" t="s">
        <v>80</v>
      </c>
      <c r="AP7" s="308" t="s">
        <v>81</v>
      </c>
      <c r="AQ7" s="308" t="s">
        <v>79</v>
      </c>
      <c r="AR7" s="309" t="s">
        <v>80</v>
      </c>
      <c r="AS7" s="308" t="s">
        <v>81</v>
      </c>
      <c r="AT7" s="308" t="s">
        <v>79</v>
      </c>
      <c r="AU7" s="309" t="s">
        <v>80</v>
      </c>
      <c r="AV7" s="308" t="s">
        <v>81</v>
      </c>
      <c r="AW7" s="308" t="s">
        <v>79</v>
      </c>
      <c r="AX7" s="309" t="s">
        <v>80</v>
      </c>
      <c r="AY7" s="308" t="s">
        <v>81</v>
      </c>
      <c r="AZ7" s="210" t="s">
        <v>84</v>
      </c>
      <c r="BA7" s="210" t="s">
        <v>85</v>
      </c>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row>
    <row r="8" spans="1:138" s="5" customFormat="1" ht="45" customHeight="1" x14ac:dyDescent="0.2">
      <c r="A8" s="351" t="s">
        <v>86</v>
      </c>
      <c r="B8" s="351" t="s">
        <v>291</v>
      </c>
      <c r="C8" s="371" t="s">
        <v>1630</v>
      </c>
      <c r="D8" s="351" t="s">
        <v>8</v>
      </c>
      <c r="E8" s="344" t="s">
        <v>725</v>
      </c>
      <c r="F8" s="351" t="s">
        <v>90</v>
      </c>
      <c r="G8" s="351" t="s">
        <v>293</v>
      </c>
      <c r="H8" s="345">
        <v>6989741347</v>
      </c>
      <c r="I8" s="345">
        <v>2114749944</v>
      </c>
      <c r="J8" s="347" t="s">
        <v>726</v>
      </c>
      <c r="K8" s="347" t="s">
        <v>727</v>
      </c>
      <c r="L8" s="363">
        <v>685</v>
      </c>
      <c r="M8" s="422">
        <v>58</v>
      </c>
      <c r="N8" s="342">
        <v>0.08</v>
      </c>
      <c r="O8" s="342" t="s">
        <v>728</v>
      </c>
      <c r="P8" s="422">
        <v>136</v>
      </c>
      <c r="Q8" s="342">
        <v>0.2</v>
      </c>
      <c r="R8" s="342" t="s">
        <v>729</v>
      </c>
      <c r="S8" s="422">
        <v>193</v>
      </c>
      <c r="T8" s="342">
        <v>0.28000000000000003</v>
      </c>
      <c r="U8" s="342" t="s">
        <v>1366</v>
      </c>
      <c r="V8" s="422">
        <v>290</v>
      </c>
      <c r="W8" s="342">
        <v>0.42335766423357662</v>
      </c>
      <c r="X8" s="342" t="s">
        <v>1367</v>
      </c>
      <c r="Y8" s="422">
        <v>385</v>
      </c>
      <c r="Z8" s="342">
        <v>0.56204379562043794</v>
      </c>
      <c r="AA8" s="342" t="s">
        <v>1368</v>
      </c>
      <c r="AB8" s="422">
        <v>486</v>
      </c>
      <c r="AC8" s="342">
        <v>0.71</v>
      </c>
      <c r="AD8" s="342" t="s">
        <v>1369</v>
      </c>
      <c r="AE8" s="13" t="s">
        <v>730</v>
      </c>
      <c r="AF8" s="13" t="s">
        <v>731</v>
      </c>
      <c r="AG8" s="213">
        <v>300</v>
      </c>
      <c r="AH8" s="103">
        <v>25</v>
      </c>
      <c r="AI8" s="218">
        <v>8.3299999999999999E-2</v>
      </c>
      <c r="AJ8" s="218" t="s">
        <v>732</v>
      </c>
      <c r="AK8" s="103">
        <v>50</v>
      </c>
      <c r="AL8" s="218">
        <v>0.17</v>
      </c>
      <c r="AM8" s="218" t="s">
        <v>733</v>
      </c>
      <c r="AN8" s="103">
        <v>64</v>
      </c>
      <c r="AO8" s="218">
        <v>0.21</v>
      </c>
      <c r="AP8" s="218" t="s">
        <v>734</v>
      </c>
      <c r="AQ8" s="103">
        <v>92</v>
      </c>
      <c r="AR8" s="218">
        <v>0.31</v>
      </c>
      <c r="AS8" s="218" t="s">
        <v>1370</v>
      </c>
      <c r="AT8" s="103">
        <v>117</v>
      </c>
      <c r="AU8" s="218">
        <v>0.39</v>
      </c>
      <c r="AV8" s="218" t="s">
        <v>1371</v>
      </c>
      <c r="AW8" s="103">
        <v>132</v>
      </c>
      <c r="AX8" s="218">
        <v>0.44</v>
      </c>
      <c r="AY8" s="218" t="s">
        <v>1372</v>
      </c>
      <c r="AZ8" s="13" t="s">
        <v>108</v>
      </c>
      <c r="BA8" s="13" t="s">
        <v>109</v>
      </c>
    </row>
    <row r="9" spans="1:138" s="5" customFormat="1" ht="45" customHeight="1" x14ac:dyDescent="0.2">
      <c r="A9" s="351"/>
      <c r="B9" s="351"/>
      <c r="C9" s="371"/>
      <c r="D9" s="351"/>
      <c r="E9" s="344"/>
      <c r="F9" s="351"/>
      <c r="G9" s="351"/>
      <c r="H9" s="372"/>
      <c r="I9" s="372"/>
      <c r="J9" s="366"/>
      <c r="K9" s="366"/>
      <c r="L9" s="364"/>
      <c r="M9" s="423"/>
      <c r="N9" s="374"/>
      <c r="O9" s="374"/>
      <c r="P9" s="423"/>
      <c r="Q9" s="374"/>
      <c r="R9" s="374"/>
      <c r="S9" s="423"/>
      <c r="T9" s="374"/>
      <c r="U9" s="374"/>
      <c r="V9" s="423"/>
      <c r="W9" s="374"/>
      <c r="X9" s="374"/>
      <c r="Y9" s="423"/>
      <c r="Z9" s="374"/>
      <c r="AA9" s="374"/>
      <c r="AB9" s="423"/>
      <c r="AC9" s="374"/>
      <c r="AD9" s="374"/>
      <c r="AE9" s="13" t="s">
        <v>735</v>
      </c>
      <c r="AF9" s="13" t="s">
        <v>736</v>
      </c>
      <c r="AG9" s="213">
        <v>70</v>
      </c>
      <c r="AH9" s="103">
        <v>7</v>
      </c>
      <c r="AI9" s="218">
        <v>0.1</v>
      </c>
      <c r="AJ9" s="218" t="s">
        <v>737</v>
      </c>
      <c r="AK9" s="103">
        <v>11</v>
      </c>
      <c r="AL9" s="218">
        <v>0.16</v>
      </c>
      <c r="AM9" s="218" t="s">
        <v>738</v>
      </c>
      <c r="AN9" s="103">
        <v>16</v>
      </c>
      <c r="AO9" s="218">
        <v>0.23</v>
      </c>
      <c r="AP9" s="218" t="s">
        <v>739</v>
      </c>
      <c r="AQ9" s="103">
        <v>23</v>
      </c>
      <c r="AR9" s="218">
        <v>0.33</v>
      </c>
      <c r="AS9" s="218" t="s">
        <v>1373</v>
      </c>
      <c r="AT9" s="103">
        <v>32</v>
      </c>
      <c r="AU9" s="218">
        <v>0.46</v>
      </c>
      <c r="AV9" s="218" t="s">
        <v>1374</v>
      </c>
      <c r="AW9" s="103">
        <v>46</v>
      </c>
      <c r="AX9" s="218">
        <v>0.66</v>
      </c>
      <c r="AY9" s="218" t="s">
        <v>1375</v>
      </c>
      <c r="AZ9" s="13" t="s">
        <v>162</v>
      </c>
      <c r="BA9" s="13" t="s">
        <v>740</v>
      </c>
    </row>
    <row r="10" spans="1:138" s="5" customFormat="1" ht="45" customHeight="1" x14ac:dyDescent="0.2">
      <c r="A10" s="351"/>
      <c r="B10" s="351"/>
      <c r="C10" s="371"/>
      <c r="D10" s="351"/>
      <c r="E10" s="344"/>
      <c r="F10" s="351"/>
      <c r="G10" s="351"/>
      <c r="H10" s="372"/>
      <c r="I10" s="346"/>
      <c r="J10" s="348"/>
      <c r="K10" s="348"/>
      <c r="L10" s="365"/>
      <c r="M10" s="424"/>
      <c r="N10" s="343"/>
      <c r="O10" s="343"/>
      <c r="P10" s="424"/>
      <c r="Q10" s="343"/>
      <c r="R10" s="343"/>
      <c r="S10" s="424"/>
      <c r="T10" s="343"/>
      <c r="U10" s="343"/>
      <c r="V10" s="424"/>
      <c r="W10" s="343"/>
      <c r="X10" s="343"/>
      <c r="Y10" s="424"/>
      <c r="Z10" s="343"/>
      <c r="AA10" s="343"/>
      <c r="AB10" s="424"/>
      <c r="AC10" s="343"/>
      <c r="AD10" s="343"/>
      <c r="AE10" s="13" t="s">
        <v>741</v>
      </c>
      <c r="AF10" s="13" t="s">
        <v>742</v>
      </c>
      <c r="AG10" s="213">
        <v>315</v>
      </c>
      <c r="AH10" s="103">
        <v>26</v>
      </c>
      <c r="AI10" s="218">
        <v>8.2500000000000004E-2</v>
      </c>
      <c r="AJ10" s="218" t="s">
        <v>743</v>
      </c>
      <c r="AK10" s="103">
        <v>75</v>
      </c>
      <c r="AL10" s="218">
        <v>0.24</v>
      </c>
      <c r="AM10" s="218" t="s">
        <v>744</v>
      </c>
      <c r="AN10" s="103">
        <v>113</v>
      </c>
      <c r="AO10" s="218">
        <v>0.36</v>
      </c>
      <c r="AP10" s="218" t="s">
        <v>745</v>
      </c>
      <c r="AQ10" s="103">
        <v>175</v>
      </c>
      <c r="AR10" s="218">
        <v>0.56000000000000005</v>
      </c>
      <c r="AS10" s="218" t="s">
        <v>1376</v>
      </c>
      <c r="AT10" s="103">
        <v>236</v>
      </c>
      <c r="AU10" s="218">
        <v>0.75</v>
      </c>
      <c r="AV10" s="218" t="s">
        <v>1377</v>
      </c>
      <c r="AW10" s="103">
        <v>308</v>
      </c>
      <c r="AX10" s="218">
        <v>0.98</v>
      </c>
      <c r="AY10" s="218" t="s">
        <v>1378</v>
      </c>
      <c r="AZ10" s="13" t="s">
        <v>162</v>
      </c>
      <c r="BA10" s="13" t="s">
        <v>740</v>
      </c>
    </row>
    <row r="11" spans="1:138" s="5" customFormat="1" ht="168" customHeight="1" x14ac:dyDescent="0.2">
      <c r="A11" s="351"/>
      <c r="B11" s="351"/>
      <c r="C11" s="371"/>
      <c r="D11" s="351"/>
      <c r="E11" s="344"/>
      <c r="F11" s="351"/>
      <c r="G11" s="351"/>
      <c r="H11" s="372"/>
      <c r="I11" s="22">
        <v>1998091461</v>
      </c>
      <c r="J11" s="211" t="s">
        <v>746</v>
      </c>
      <c r="K11" s="211" t="s">
        <v>747</v>
      </c>
      <c r="L11" s="218">
        <v>1</v>
      </c>
      <c r="M11" s="218">
        <v>1</v>
      </c>
      <c r="N11" s="218">
        <v>1</v>
      </c>
      <c r="O11" s="218" t="s">
        <v>748</v>
      </c>
      <c r="P11" s="218">
        <v>1</v>
      </c>
      <c r="Q11" s="218">
        <v>1</v>
      </c>
      <c r="R11" s="218" t="s">
        <v>749</v>
      </c>
      <c r="S11" s="218">
        <v>1</v>
      </c>
      <c r="T11" s="218">
        <v>1</v>
      </c>
      <c r="U11" s="218" t="s">
        <v>1379</v>
      </c>
      <c r="V11" s="218">
        <v>1</v>
      </c>
      <c r="W11" s="218">
        <v>1</v>
      </c>
      <c r="X11" s="218" t="s">
        <v>1380</v>
      </c>
      <c r="Y11" s="218">
        <v>1</v>
      </c>
      <c r="Z11" s="218">
        <v>1</v>
      </c>
      <c r="AA11" s="218" t="s">
        <v>1381</v>
      </c>
      <c r="AB11" s="218">
        <v>1</v>
      </c>
      <c r="AC11" s="218">
        <v>1</v>
      </c>
      <c r="AD11" s="218" t="s">
        <v>1382</v>
      </c>
      <c r="AE11" s="351" t="s">
        <v>95</v>
      </c>
      <c r="AF11" s="351"/>
      <c r="AG11" s="351"/>
      <c r="AH11" s="89"/>
      <c r="AI11" s="91"/>
      <c r="AJ11" s="89"/>
      <c r="AK11" s="89"/>
      <c r="AL11" s="91"/>
      <c r="AM11" s="89"/>
      <c r="AN11" s="89"/>
      <c r="AO11" s="91"/>
      <c r="AP11" s="89"/>
      <c r="AQ11" s="89"/>
      <c r="AR11" s="91"/>
      <c r="AS11" s="89"/>
      <c r="AT11" s="89"/>
      <c r="AU11" s="91"/>
      <c r="AV11" s="89"/>
      <c r="AW11" s="89"/>
      <c r="AX11" s="91"/>
      <c r="AY11" s="89"/>
      <c r="AZ11" s="13" t="s">
        <v>162</v>
      </c>
      <c r="BA11" s="13" t="s">
        <v>740</v>
      </c>
    </row>
    <row r="12" spans="1:138" ht="75" x14ac:dyDescent="0.25">
      <c r="H12" s="372"/>
      <c r="M12" s="71" t="s">
        <v>164</v>
      </c>
      <c r="N12" s="87">
        <f>AVERAGE(N8:N11)</f>
        <v>0.54</v>
      </c>
      <c r="P12" s="71" t="s">
        <v>164</v>
      </c>
      <c r="Q12" s="87">
        <f>AVERAGE(Q8:Q11)</f>
        <v>0.6</v>
      </c>
      <c r="S12" s="71" t="s">
        <v>164</v>
      </c>
      <c r="T12" s="87">
        <f>AVERAGE(T8:T11)</f>
        <v>0.64</v>
      </c>
      <c r="V12" s="71" t="s">
        <v>164</v>
      </c>
      <c r="W12" s="87">
        <f>AVERAGE(W8:W11)</f>
        <v>0.71167883211678828</v>
      </c>
      <c r="Y12" s="71" t="s">
        <v>164</v>
      </c>
      <c r="Z12" s="87">
        <f>AVERAGE(Z8:Z11)</f>
        <v>0.78102189781021902</v>
      </c>
      <c r="AB12" s="71" t="s">
        <v>164</v>
      </c>
      <c r="AC12" s="87">
        <f>AVERAGE(AC8:AC11)</f>
        <v>0.85499999999999998</v>
      </c>
      <c r="AH12" s="71" t="s">
        <v>165</v>
      </c>
      <c r="AI12" s="87">
        <f>AVERAGE(AI8:AI11)</f>
        <v>8.8600000000000012E-2</v>
      </c>
      <c r="AK12" s="71" t="s">
        <v>165</v>
      </c>
      <c r="AL12" s="87">
        <f>AVERAGE(AL8:AL11)</f>
        <v>0.19000000000000003</v>
      </c>
      <c r="AN12" s="71" t="s">
        <v>165</v>
      </c>
      <c r="AO12" s="87">
        <f>AVERAGE(AO8:AO11)</f>
        <v>0.26666666666666666</v>
      </c>
      <c r="AP12" s="9"/>
      <c r="AQ12" s="71" t="s">
        <v>165</v>
      </c>
      <c r="AR12" s="87">
        <f>AVERAGE(AR8:AR11)</f>
        <v>0.40000000000000008</v>
      </c>
      <c r="AT12" s="71" t="s">
        <v>165</v>
      </c>
      <c r="AU12" s="87">
        <f>AVERAGE(AU8:AU11)</f>
        <v>0.53333333333333333</v>
      </c>
      <c r="AW12" s="71" t="s">
        <v>165</v>
      </c>
      <c r="AX12" s="87">
        <f>AVERAGE(AX8:AX11)</f>
        <v>0.69333333333333336</v>
      </c>
      <c r="AY12" s="9"/>
      <c r="AZ12" s="9"/>
      <c r="BA12" s="9"/>
      <c r="EE12"/>
      <c r="EF12"/>
      <c r="EG12"/>
      <c r="EH12"/>
    </row>
    <row r="13" spans="1:138" s="5" customFormat="1" ht="45" customHeight="1" x14ac:dyDescent="0.2">
      <c r="A13" s="351" t="s">
        <v>86</v>
      </c>
      <c r="B13" s="351" t="s">
        <v>87</v>
      </c>
      <c r="C13" s="371" t="s">
        <v>750</v>
      </c>
      <c r="D13" s="351" t="s">
        <v>8</v>
      </c>
      <c r="E13" s="344" t="s">
        <v>751</v>
      </c>
      <c r="F13" s="351" t="s">
        <v>90</v>
      </c>
      <c r="G13" s="351" t="s">
        <v>91</v>
      </c>
      <c r="H13" s="372"/>
      <c r="I13" s="395">
        <v>169931305</v>
      </c>
      <c r="J13" s="351" t="s">
        <v>752</v>
      </c>
      <c r="K13" s="351" t="s">
        <v>753</v>
      </c>
      <c r="L13" s="396">
        <v>1</v>
      </c>
      <c r="M13" s="342">
        <v>0.05</v>
      </c>
      <c r="N13" s="342">
        <v>0.05</v>
      </c>
      <c r="O13" s="342" t="s">
        <v>754</v>
      </c>
      <c r="P13" s="342">
        <v>0.13</v>
      </c>
      <c r="Q13" s="342">
        <v>0.13</v>
      </c>
      <c r="R13" s="342" t="s">
        <v>755</v>
      </c>
      <c r="S13" s="342">
        <v>0.19</v>
      </c>
      <c r="T13" s="342">
        <v>0.19</v>
      </c>
      <c r="U13" s="342" t="s">
        <v>756</v>
      </c>
      <c r="V13" s="342">
        <v>0.22</v>
      </c>
      <c r="W13" s="342">
        <v>0.22</v>
      </c>
      <c r="X13" s="342" t="s">
        <v>1383</v>
      </c>
      <c r="Y13" s="342">
        <v>0.33</v>
      </c>
      <c r="Z13" s="342">
        <v>0.33</v>
      </c>
      <c r="AA13" s="342" t="s">
        <v>1384</v>
      </c>
      <c r="AB13" s="342">
        <v>0.42</v>
      </c>
      <c r="AC13" s="342">
        <v>0.42</v>
      </c>
      <c r="AD13" s="342" t="s">
        <v>1385</v>
      </c>
      <c r="AE13" s="13" t="s">
        <v>757</v>
      </c>
      <c r="AF13" s="13" t="s">
        <v>758</v>
      </c>
      <c r="AG13" s="215">
        <v>1</v>
      </c>
      <c r="AH13" s="218">
        <v>0.04</v>
      </c>
      <c r="AI13" s="218">
        <v>0.04</v>
      </c>
      <c r="AJ13" s="218" t="s">
        <v>759</v>
      </c>
      <c r="AK13" s="218">
        <v>0.08</v>
      </c>
      <c r="AL13" s="218">
        <v>0.08</v>
      </c>
      <c r="AM13" s="218" t="s">
        <v>760</v>
      </c>
      <c r="AN13" s="218">
        <v>0.1</v>
      </c>
      <c r="AO13" s="218">
        <v>0.1</v>
      </c>
      <c r="AP13" s="218" t="s">
        <v>761</v>
      </c>
      <c r="AQ13" s="218">
        <v>0.12</v>
      </c>
      <c r="AR13" s="218">
        <v>0.12</v>
      </c>
      <c r="AS13" s="218" t="s">
        <v>1386</v>
      </c>
      <c r="AT13" s="218">
        <v>0.16</v>
      </c>
      <c r="AU13" s="218">
        <v>0.16</v>
      </c>
      <c r="AV13" s="218" t="s">
        <v>1387</v>
      </c>
      <c r="AW13" s="218">
        <v>0.17</v>
      </c>
      <c r="AX13" s="218">
        <v>0.17</v>
      </c>
      <c r="AY13" s="218" t="s">
        <v>1388</v>
      </c>
      <c r="AZ13" s="13" t="s">
        <v>262</v>
      </c>
      <c r="BA13" s="13" t="s">
        <v>762</v>
      </c>
    </row>
    <row r="14" spans="1:138" s="5" customFormat="1" ht="45" customHeight="1" x14ac:dyDescent="0.2">
      <c r="A14" s="351"/>
      <c r="B14" s="351"/>
      <c r="C14" s="371" t="s">
        <v>750</v>
      </c>
      <c r="D14" s="351" t="s">
        <v>8</v>
      </c>
      <c r="E14" s="344" t="s">
        <v>751</v>
      </c>
      <c r="F14" s="351"/>
      <c r="G14" s="351"/>
      <c r="H14" s="372"/>
      <c r="I14" s="395"/>
      <c r="J14" s="351" t="s">
        <v>752</v>
      </c>
      <c r="K14" s="351" t="s">
        <v>753</v>
      </c>
      <c r="L14" s="396"/>
      <c r="M14" s="343"/>
      <c r="N14" s="343"/>
      <c r="O14" s="343"/>
      <c r="P14" s="343"/>
      <c r="Q14" s="343"/>
      <c r="R14" s="343"/>
      <c r="S14" s="343"/>
      <c r="T14" s="343"/>
      <c r="U14" s="343"/>
      <c r="V14" s="343"/>
      <c r="W14" s="343"/>
      <c r="X14" s="343"/>
      <c r="Y14" s="343"/>
      <c r="Z14" s="343"/>
      <c r="AA14" s="343"/>
      <c r="AB14" s="343"/>
      <c r="AC14" s="343"/>
      <c r="AD14" s="343"/>
      <c r="AE14" s="13" t="s">
        <v>763</v>
      </c>
      <c r="AF14" s="13" t="s">
        <v>764</v>
      </c>
      <c r="AG14" s="215">
        <v>1</v>
      </c>
      <c r="AH14" s="218">
        <v>0.12</v>
      </c>
      <c r="AI14" s="218">
        <v>0.12</v>
      </c>
      <c r="AJ14" s="218" t="s">
        <v>765</v>
      </c>
      <c r="AK14" s="218">
        <v>0.23</v>
      </c>
      <c r="AL14" s="218">
        <v>0.23</v>
      </c>
      <c r="AM14" s="218" t="s">
        <v>766</v>
      </c>
      <c r="AN14" s="218">
        <v>0.35</v>
      </c>
      <c r="AO14" s="218">
        <v>0.35</v>
      </c>
      <c r="AP14" s="218" t="s">
        <v>767</v>
      </c>
      <c r="AQ14" s="218">
        <v>0.55000000000000004</v>
      </c>
      <c r="AR14" s="218">
        <v>0.55000000000000004</v>
      </c>
      <c r="AS14" s="218" t="s">
        <v>1389</v>
      </c>
      <c r="AT14" s="218">
        <v>0.98</v>
      </c>
      <c r="AU14" s="218">
        <v>0.98</v>
      </c>
      <c r="AV14" s="218" t="s">
        <v>1390</v>
      </c>
      <c r="AW14" s="218">
        <v>1.57</v>
      </c>
      <c r="AX14" s="218">
        <v>1.57</v>
      </c>
      <c r="AY14" s="218" t="s">
        <v>1391</v>
      </c>
      <c r="AZ14" s="13" t="s">
        <v>262</v>
      </c>
      <c r="BA14" s="13" t="s">
        <v>762</v>
      </c>
    </row>
    <row r="15" spans="1:138" ht="75" x14ac:dyDescent="0.25">
      <c r="H15" s="372"/>
      <c r="M15" s="71" t="s">
        <v>164</v>
      </c>
      <c r="N15" s="87">
        <f>AVERAGE(N13:N14)</f>
        <v>0.05</v>
      </c>
      <c r="P15" s="71" t="s">
        <v>164</v>
      </c>
      <c r="Q15" s="87">
        <f>AVERAGE(Q13:Q14)</f>
        <v>0.13</v>
      </c>
      <c r="S15" s="71" t="s">
        <v>164</v>
      </c>
      <c r="T15" s="87">
        <f>AVERAGE(T13:T14)</f>
        <v>0.19</v>
      </c>
      <c r="V15" s="71" t="s">
        <v>164</v>
      </c>
      <c r="W15" s="87">
        <f>AVERAGE(W13:W14)</f>
        <v>0.22</v>
      </c>
      <c r="Y15" s="71" t="s">
        <v>164</v>
      </c>
      <c r="Z15" s="87">
        <f>AVERAGE(Z13:Z14)</f>
        <v>0.33</v>
      </c>
      <c r="AB15" s="71" t="s">
        <v>164</v>
      </c>
      <c r="AC15" s="87">
        <f>AVERAGE(AC13:AC14)</f>
        <v>0.42</v>
      </c>
      <c r="AH15" s="71" t="s">
        <v>165</v>
      </c>
      <c r="AI15" s="87">
        <f>AVERAGE(AI13:AI14)</f>
        <v>0.08</v>
      </c>
      <c r="AK15" s="71" t="s">
        <v>165</v>
      </c>
      <c r="AL15" s="87">
        <f>AVERAGE(AL13:AL14)</f>
        <v>0.155</v>
      </c>
      <c r="AN15" s="71" t="s">
        <v>165</v>
      </c>
      <c r="AO15" s="87">
        <f>AVERAGE(AO13:AO14)</f>
        <v>0.22499999999999998</v>
      </c>
      <c r="AP15" s="9"/>
      <c r="AQ15" s="71" t="s">
        <v>165</v>
      </c>
      <c r="AR15" s="87">
        <f>AVERAGE(AR13:AR14)</f>
        <v>0.33500000000000002</v>
      </c>
      <c r="AT15" s="71" t="s">
        <v>165</v>
      </c>
      <c r="AU15" s="87">
        <f>AVERAGE(AU13:AU14)</f>
        <v>0.56999999999999995</v>
      </c>
      <c r="AW15" s="71" t="s">
        <v>165</v>
      </c>
      <c r="AX15" s="87">
        <f>AVERAGE(AX13:AX14)</f>
        <v>0.87</v>
      </c>
      <c r="AY15" s="9"/>
      <c r="AZ15" s="9"/>
      <c r="BA15" s="9"/>
      <c r="EE15"/>
      <c r="EF15"/>
      <c r="EG15"/>
      <c r="EH15"/>
    </row>
    <row r="16" spans="1:138" s="5" customFormat="1" ht="45" customHeight="1" x14ac:dyDescent="0.2">
      <c r="A16" s="211" t="s">
        <v>86</v>
      </c>
      <c r="B16" s="211" t="s">
        <v>87</v>
      </c>
      <c r="C16" s="213" t="s">
        <v>750</v>
      </c>
      <c r="D16" s="211" t="s">
        <v>8</v>
      </c>
      <c r="E16" s="216" t="s">
        <v>768</v>
      </c>
      <c r="F16" s="211" t="s">
        <v>90</v>
      </c>
      <c r="G16" s="211" t="s">
        <v>91</v>
      </c>
      <c r="H16" s="372"/>
      <c r="I16" s="214">
        <v>1620468881</v>
      </c>
      <c r="J16" s="211" t="s">
        <v>769</v>
      </c>
      <c r="K16" s="211" t="s">
        <v>770</v>
      </c>
      <c r="L16" s="215">
        <v>0.85</v>
      </c>
      <c r="M16" s="218">
        <v>1</v>
      </c>
      <c r="N16" s="80">
        <v>1.18</v>
      </c>
      <c r="O16" s="218" t="s">
        <v>771</v>
      </c>
      <c r="P16" s="218">
        <v>1</v>
      </c>
      <c r="Q16" s="80">
        <v>1.18</v>
      </c>
      <c r="R16" s="218" t="s">
        <v>772</v>
      </c>
      <c r="S16" s="218">
        <v>1</v>
      </c>
      <c r="T16" s="80">
        <v>1.18</v>
      </c>
      <c r="U16" s="218" t="s">
        <v>773</v>
      </c>
      <c r="V16" s="218">
        <v>1</v>
      </c>
      <c r="W16" s="80">
        <v>1.18</v>
      </c>
      <c r="X16" s="218" t="s">
        <v>1392</v>
      </c>
      <c r="Y16" s="218">
        <v>1</v>
      </c>
      <c r="Z16" s="80">
        <v>1.18</v>
      </c>
      <c r="AA16" s="218" t="s">
        <v>1393</v>
      </c>
      <c r="AB16" s="218">
        <v>1</v>
      </c>
      <c r="AC16" s="80">
        <v>1.18</v>
      </c>
      <c r="AD16" s="218" t="s">
        <v>1394</v>
      </c>
      <c r="AE16" s="351" t="s">
        <v>95</v>
      </c>
      <c r="AF16" s="351"/>
      <c r="AG16" s="351"/>
      <c r="AH16" s="89"/>
      <c r="AI16" s="91"/>
      <c r="AJ16" s="89"/>
      <c r="AK16" s="89"/>
      <c r="AL16" s="91"/>
      <c r="AM16" s="89"/>
      <c r="AN16" s="89"/>
      <c r="AO16" s="91"/>
      <c r="AP16" s="89"/>
      <c r="AQ16" s="89"/>
      <c r="AR16" s="91"/>
      <c r="AS16" s="89"/>
      <c r="AT16" s="89"/>
      <c r="AU16" s="91"/>
      <c r="AV16" s="89"/>
      <c r="AW16" s="89"/>
      <c r="AX16" s="91"/>
      <c r="AY16" s="89"/>
      <c r="AZ16" s="13" t="s">
        <v>162</v>
      </c>
      <c r="BA16" s="13" t="s">
        <v>740</v>
      </c>
    </row>
    <row r="17" spans="1:138" ht="75" x14ac:dyDescent="0.25">
      <c r="H17" s="372"/>
      <c r="M17" s="71" t="s">
        <v>164</v>
      </c>
      <c r="N17" s="87">
        <f>AVERAGE(N16)</f>
        <v>1.18</v>
      </c>
      <c r="P17" s="71" t="s">
        <v>164</v>
      </c>
      <c r="Q17" s="87">
        <f>AVERAGE(Q16)</f>
        <v>1.18</v>
      </c>
      <c r="S17" s="71" t="s">
        <v>164</v>
      </c>
      <c r="T17" s="87">
        <f>AVERAGE(T16)</f>
        <v>1.18</v>
      </c>
      <c r="V17" s="71" t="s">
        <v>164</v>
      </c>
      <c r="W17" s="87">
        <f>AVERAGE(W16)</f>
        <v>1.18</v>
      </c>
      <c r="Y17" s="71" t="s">
        <v>164</v>
      </c>
      <c r="Z17" s="87">
        <f>AVERAGE(Z16)</f>
        <v>1.18</v>
      </c>
      <c r="AB17" s="71" t="s">
        <v>164</v>
      </c>
      <c r="AC17" s="87">
        <f>AVERAGE(AC16)</f>
        <v>1.18</v>
      </c>
      <c r="AH17" s="71" t="s">
        <v>165</v>
      </c>
      <c r="AI17" s="87" t="s">
        <v>11</v>
      </c>
      <c r="AK17" s="71" t="s">
        <v>165</v>
      </c>
      <c r="AL17" s="87" t="s">
        <v>11</v>
      </c>
      <c r="AN17" s="71" t="s">
        <v>165</v>
      </c>
      <c r="AO17" s="87" t="s">
        <v>11</v>
      </c>
      <c r="AP17" s="9"/>
      <c r="AQ17" s="71" t="s">
        <v>165</v>
      </c>
      <c r="AR17" s="87" t="s">
        <v>11</v>
      </c>
      <c r="AT17" s="71" t="s">
        <v>165</v>
      </c>
      <c r="AU17" s="87" t="s">
        <v>11</v>
      </c>
      <c r="AW17" s="71" t="s">
        <v>165</v>
      </c>
      <c r="AX17" s="87" t="s">
        <v>11</v>
      </c>
      <c r="AY17" s="9"/>
      <c r="AZ17" s="9"/>
      <c r="BA17" s="9"/>
      <c r="EE17"/>
      <c r="EF17"/>
      <c r="EG17"/>
      <c r="EH17"/>
    </row>
    <row r="18" spans="1:138" s="5" customFormat="1" ht="33.75" customHeight="1" x14ac:dyDescent="0.2">
      <c r="A18" s="351" t="s">
        <v>86</v>
      </c>
      <c r="B18" s="351" t="s">
        <v>87</v>
      </c>
      <c r="C18" s="371" t="s">
        <v>750</v>
      </c>
      <c r="D18" s="351" t="s">
        <v>8</v>
      </c>
      <c r="E18" s="344" t="s">
        <v>774</v>
      </c>
      <c r="F18" s="351" t="s">
        <v>90</v>
      </c>
      <c r="G18" s="351" t="s">
        <v>91</v>
      </c>
      <c r="H18" s="372"/>
      <c r="I18" s="22">
        <v>137448037</v>
      </c>
      <c r="J18" s="211" t="s">
        <v>775</v>
      </c>
      <c r="K18" s="23" t="s">
        <v>776</v>
      </c>
      <c r="L18" s="24">
        <v>2</v>
      </c>
      <c r="M18" s="218"/>
      <c r="N18" s="80"/>
      <c r="O18" s="218"/>
      <c r="P18" s="218"/>
      <c r="Q18" s="80"/>
      <c r="R18" s="218"/>
      <c r="S18" s="218"/>
      <c r="T18" s="80"/>
      <c r="U18" s="218"/>
      <c r="V18" s="218"/>
      <c r="W18" s="80"/>
      <c r="X18" s="218"/>
      <c r="Y18" s="218"/>
      <c r="Z18" s="80"/>
      <c r="AA18" s="218"/>
      <c r="AB18" s="103">
        <v>1</v>
      </c>
      <c r="AC18" s="80">
        <v>0.5</v>
      </c>
      <c r="AD18" s="218" t="s">
        <v>1395</v>
      </c>
      <c r="AE18" s="351" t="s">
        <v>95</v>
      </c>
      <c r="AF18" s="351"/>
      <c r="AG18" s="351"/>
      <c r="AH18" s="89"/>
      <c r="AI18" s="91"/>
      <c r="AJ18" s="89"/>
      <c r="AK18" s="89"/>
      <c r="AL18" s="91"/>
      <c r="AM18" s="89"/>
      <c r="AN18" s="89"/>
      <c r="AO18" s="91"/>
      <c r="AP18" s="89"/>
      <c r="AQ18" s="89"/>
      <c r="AR18" s="91"/>
      <c r="AS18" s="89"/>
      <c r="AT18" s="89"/>
      <c r="AU18" s="91"/>
      <c r="AV18" s="89"/>
      <c r="AW18" s="89"/>
      <c r="AX18" s="91"/>
      <c r="AY18" s="89"/>
      <c r="AZ18" s="13" t="s">
        <v>162</v>
      </c>
      <c r="BA18" s="13" t="s">
        <v>740</v>
      </c>
    </row>
    <row r="19" spans="1:138" s="5" customFormat="1" ht="33.75" customHeight="1" x14ac:dyDescent="0.2">
      <c r="A19" s="351"/>
      <c r="B19" s="351"/>
      <c r="C19" s="371" t="s">
        <v>750</v>
      </c>
      <c r="D19" s="351" t="s">
        <v>8</v>
      </c>
      <c r="E19" s="344" t="s">
        <v>751</v>
      </c>
      <c r="F19" s="351"/>
      <c r="G19" s="351"/>
      <c r="H19" s="346"/>
      <c r="I19" s="22">
        <v>122865919</v>
      </c>
      <c r="J19" s="211" t="s">
        <v>777</v>
      </c>
      <c r="K19" s="23" t="s">
        <v>778</v>
      </c>
      <c r="L19" s="215">
        <v>1</v>
      </c>
      <c r="M19" s="218">
        <v>0.87</v>
      </c>
      <c r="N19" s="80">
        <v>0.87</v>
      </c>
      <c r="O19" s="218" t="s">
        <v>779</v>
      </c>
      <c r="P19" s="218">
        <v>0.89</v>
      </c>
      <c r="Q19" s="80">
        <v>0.89</v>
      </c>
      <c r="R19" s="218" t="s">
        <v>780</v>
      </c>
      <c r="S19" s="218">
        <v>0.9</v>
      </c>
      <c r="T19" s="80">
        <v>0.9</v>
      </c>
      <c r="U19" s="218" t="s">
        <v>781</v>
      </c>
      <c r="V19" s="218">
        <v>0.92</v>
      </c>
      <c r="W19" s="80">
        <v>0.92</v>
      </c>
      <c r="X19" s="218" t="s">
        <v>1396</v>
      </c>
      <c r="Y19" s="218">
        <v>0.93</v>
      </c>
      <c r="Z19" s="80">
        <v>0.93</v>
      </c>
      <c r="AA19" s="218" t="s">
        <v>1397</v>
      </c>
      <c r="AB19" s="218">
        <v>0.94</v>
      </c>
      <c r="AC19" s="80">
        <v>0.94</v>
      </c>
      <c r="AD19" s="218"/>
      <c r="AE19" s="351" t="s">
        <v>95</v>
      </c>
      <c r="AF19" s="351"/>
      <c r="AG19" s="351"/>
      <c r="AH19" s="89"/>
      <c r="AI19" s="91"/>
      <c r="AJ19" s="89"/>
      <c r="AK19" s="89"/>
      <c r="AL19" s="91"/>
      <c r="AM19" s="89"/>
      <c r="AN19" s="89"/>
      <c r="AO19" s="91"/>
      <c r="AP19" s="89"/>
      <c r="AQ19" s="89"/>
      <c r="AR19" s="91"/>
      <c r="AS19" s="89"/>
      <c r="AT19" s="89"/>
      <c r="AU19" s="91"/>
      <c r="AV19" s="89"/>
      <c r="AW19" s="89"/>
      <c r="AX19" s="91"/>
      <c r="AY19" s="89"/>
      <c r="AZ19" s="13" t="s">
        <v>162</v>
      </c>
      <c r="BA19" s="13" t="s">
        <v>740</v>
      </c>
    </row>
    <row r="20" spans="1:138" ht="75" x14ac:dyDescent="0.25">
      <c r="M20" s="71" t="s">
        <v>164</v>
      </c>
      <c r="N20" s="87">
        <f>AVERAGE(N18:N19)</f>
        <v>0.87</v>
      </c>
      <c r="P20" s="71" t="s">
        <v>164</v>
      </c>
      <c r="Q20" s="87">
        <f>AVERAGE(Q18:Q19)</f>
        <v>0.89</v>
      </c>
      <c r="S20" s="71" t="s">
        <v>164</v>
      </c>
      <c r="T20" s="87">
        <f>AVERAGE(T18:T19)</f>
        <v>0.9</v>
      </c>
      <c r="V20" s="71" t="s">
        <v>164</v>
      </c>
      <c r="W20" s="87">
        <f>AVERAGE(W18:W19)</f>
        <v>0.92</v>
      </c>
      <c r="Y20" s="71" t="s">
        <v>164</v>
      </c>
      <c r="Z20" s="87">
        <f>AVERAGE(Z18:Z19)</f>
        <v>0.93</v>
      </c>
      <c r="AB20" s="71" t="s">
        <v>164</v>
      </c>
      <c r="AC20" s="87">
        <f>AVERAGE(AC18:AC19)</f>
        <v>0.72</v>
      </c>
      <c r="AH20" s="71" t="s">
        <v>165</v>
      </c>
      <c r="AI20" s="87" t="s">
        <v>11</v>
      </c>
      <c r="AK20" s="71" t="s">
        <v>165</v>
      </c>
      <c r="AL20" s="87" t="s">
        <v>11</v>
      </c>
      <c r="AN20" s="71" t="s">
        <v>165</v>
      </c>
      <c r="AO20" s="87" t="s">
        <v>11</v>
      </c>
      <c r="AP20" s="9"/>
      <c r="AQ20" s="71" t="s">
        <v>165</v>
      </c>
      <c r="AR20" s="87" t="s">
        <v>11</v>
      </c>
      <c r="AT20" s="71" t="s">
        <v>165</v>
      </c>
      <c r="AU20" s="87" t="s">
        <v>11</v>
      </c>
      <c r="AW20" s="71" t="s">
        <v>165</v>
      </c>
      <c r="AX20" s="87" t="s">
        <v>11</v>
      </c>
      <c r="AY20" s="9"/>
      <c r="AZ20" s="9"/>
      <c r="BA20" s="9"/>
      <c r="EE20"/>
      <c r="EF20"/>
      <c r="EG20"/>
      <c r="EH20"/>
    </row>
    <row r="21" spans="1:138" s="5" customFormat="1" ht="33.75" customHeight="1" x14ac:dyDescent="0.2">
      <c r="A21" s="163"/>
      <c r="B21" s="163"/>
      <c r="C21" s="164"/>
      <c r="D21" s="163"/>
      <c r="E21" s="164"/>
      <c r="F21" s="163"/>
      <c r="G21" s="163"/>
      <c r="H21" s="75"/>
      <c r="I21" s="75"/>
      <c r="J21" s="165"/>
      <c r="K21" s="165"/>
      <c r="L21" s="166"/>
      <c r="M21" s="78"/>
      <c r="N21" s="88"/>
      <c r="O21" s="78"/>
      <c r="P21" s="78"/>
      <c r="Q21" s="88"/>
      <c r="R21" s="78"/>
      <c r="S21" s="78"/>
      <c r="T21" s="88"/>
      <c r="U21" s="78"/>
      <c r="V21" s="78"/>
      <c r="W21" s="88"/>
      <c r="X21" s="78"/>
      <c r="Y21" s="78"/>
      <c r="Z21" s="88"/>
      <c r="AA21" s="78"/>
      <c r="AB21" s="78"/>
      <c r="AC21" s="88"/>
      <c r="AD21" s="78"/>
      <c r="AE21" s="167"/>
      <c r="AF21" s="167"/>
      <c r="AG21" s="166"/>
      <c r="AH21" s="78"/>
      <c r="AI21" s="88"/>
      <c r="AJ21" s="78"/>
      <c r="AK21" s="78"/>
      <c r="AL21" s="88"/>
      <c r="AM21" s="78"/>
      <c r="AN21" s="78"/>
      <c r="AO21" s="88"/>
      <c r="AP21" s="78"/>
      <c r="AQ21" s="78"/>
      <c r="AR21" s="88"/>
      <c r="AS21" s="78"/>
      <c r="AT21" s="78"/>
      <c r="AU21" s="88"/>
      <c r="AV21" s="78"/>
      <c r="AW21" s="78"/>
      <c r="AX21" s="88"/>
      <c r="AY21" s="78"/>
      <c r="AZ21" s="167"/>
      <c r="BA21" s="167"/>
    </row>
    <row r="22" spans="1:138" ht="75" x14ac:dyDescent="0.25">
      <c r="M22" s="71" t="s">
        <v>155</v>
      </c>
      <c r="N22" s="87">
        <f>AVERAGE(N12,N15,N17,N20)</f>
        <v>0.66</v>
      </c>
      <c r="P22" s="71" t="s">
        <v>155</v>
      </c>
      <c r="Q22" s="87">
        <f>AVERAGE(Q12,Q15,Q17,Q20)</f>
        <v>0.7</v>
      </c>
      <c r="S22" s="71" t="s">
        <v>155</v>
      </c>
      <c r="T22" s="87">
        <f>AVERAGE(T12,T15,T17,T20)</f>
        <v>0.72749999999999992</v>
      </c>
      <c r="V22" s="71" t="s">
        <v>155</v>
      </c>
      <c r="W22" s="87">
        <f>AVERAGE(W12,W15,W17,W20)</f>
        <v>0.75791970802919706</v>
      </c>
      <c r="Y22" s="71" t="s">
        <v>155</v>
      </c>
      <c r="Z22" s="87">
        <f>AVERAGE(Z12,Z15,Z17,Z20)</f>
        <v>0.80525547445255474</v>
      </c>
      <c r="AB22" s="71" t="s">
        <v>155</v>
      </c>
      <c r="AC22" s="87">
        <f>AVERAGE(AC12,AC15,AC17,AC20)</f>
        <v>0.79374999999999996</v>
      </c>
      <c r="AH22" s="71" t="s">
        <v>156</v>
      </c>
      <c r="AI22" s="87">
        <f>AVERAGE(AI12,AI15,AI17)</f>
        <v>8.4300000000000014E-2</v>
      </c>
      <c r="AK22" s="71" t="s">
        <v>156</v>
      </c>
      <c r="AL22" s="87">
        <f>AVERAGE(AL12,AL15,AL17)</f>
        <v>0.17250000000000001</v>
      </c>
      <c r="AN22" s="71" t="s">
        <v>156</v>
      </c>
      <c r="AO22" s="87">
        <f>AVERAGE(AO11:AO21)</f>
        <v>0.23541666666666666</v>
      </c>
      <c r="AP22" s="9"/>
      <c r="AQ22" s="71" t="s">
        <v>156</v>
      </c>
      <c r="AR22" s="87">
        <f>AVERAGE(AR12,AR15,AR17)</f>
        <v>0.36750000000000005</v>
      </c>
      <c r="AT22" s="71" t="s">
        <v>156</v>
      </c>
      <c r="AU22" s="87">
        <f>AVERAGE(AU12,AU15,AU17)</f>
        <v>0.55166666666666664</v>
      </c>
      <c r="AW22" s="71" t="s">
        <v>156</v>
      </c>
      <c r="AX22" s="87">
        <f>AVERAGE(AX11:AX21)</f>
        <v>0.82583333333333342</v>
      </c>
      <c r="AY22" s="9"/>
      <c r="AZ22" s="9"/>
      <c r="BA22" s="9"/>
      <c r="EE22"/>
      <c r="EF22"/>
      <c r="EG22"/>
      <c r="EH22"/>
    </row>
    <row r="23" spans="1:138" s="5" customFormat="1" ht="38.25" customHeight="1" x14ac:dyDescent="0.25">
      <c r="A23"/>
      <c r="B23"/>
      <c r="C23" s="6"/>
      <c r="D23" s="4"/>
      <c r="E23" s="26"/>
      <c r="F23" s="4"/>
      <c r="G23" s="4"/>
      <c r="H23" s="1"/>
      <c r="I23" s="1"/>
      <c r="J23" s="4"/>
      <c r="K23" s="4"/>
      <c r="L23" s="6"/>
      <c r="M23" s="4"/>
      <c r="N23" s="84"/>
      <c r="O23" s="6"/>
      <c r="P23" s="4"/>
      <c r="Q23" s="84"/>
      <c r="R23" s="6"/>
      <c r="S23" s="4"/>
      <c r="T23" s="84"/>
      <c r="U23" s="6"/>
      <c r="V23" s="4"/>
      <c r="W23" s="84"/>
      <c r="X23" s="6"/>
      <c r="Y23" s="4"/>
      <c r="Z23" s="84"/>
      <c r="AA23" s="6"/>
      <c r="AB23" s="4"/>
      <c r="AC23" s="84"/>
      <c r="AD23" s="6"/>
      <c r="AE23" s="3"/>
      <c r="AF23" s="3"/>
      <c r="AG23" s="8"/>
      <c r="AH23" s="4"/>
      <c r="AI23" s="84"/>
      <c r="AJ23" s="6"/>
      <c r="AK23" s="4"/>
      <c r="AL23" s="84"/>
      <c r="AM23" s="6"/>
      <c r="AN23" s="4"/>
      <c r="AO23" s="84"/>
      <c r="AP23" s="6"/>
      <c r="AQ23" s="4"/>
      <c r="AR23" s="84"/>
      <c r="AS23" s="6"/>
      <c r="AT23" s="4"/>
      <c r="AU23" s="84"/>
      <c r="AV23" s="6"/>
      <c r="AW23" s="4"/>
      <c r="AX23" s="84"/>
      <c r="AY23" s="6"/>
      <c r="AZ23" s="12"/>
      <c r="BA23" s="12"/>
    </row>
    <row r="24" spans="1:138" ht="38.25" customHeight="1" x14ac:dyDescent="0.25">
      <c r="C24" s="6"/>
      <c r="E24" s="26"/>
    </row>
    <row r="25" spans="1:138" ht="38.25" customHeight="1" x14ac:dyDescent="0.25">
      <c r="A25" t="s">
        <v>290</v>
      </c>
    </row>
  </sheetData>
  <autoFilter ref="A7:AZ25" xr:uid="{00000000-0009-0000-0000-000007000000}"/>
  <mergeCells count="87">
    <mergeCell ref="AE18:AG18"/>
    <mergeCell ref="AE19:AG19"/>
    <mergeCell ref="AD13:AD14"/>
    <mergeCell ref="AE16:AG16"/>
    <mergeCell ref="A18:A19"/>
    <mergeCell ref="B18:B19"/>
    <mergeCell ref="C18:C19"/>
    <mergeCell ref="D18:D19"/>
    <mergeCell ref="E18:E19"/>
    <mergeCell ref="F18:F19"/>
    <mergeCell ref="G18:G19"/>
    <mergeCell ref="X13:X14"/>
    <mergeCell ref="Y13:Y14"/>
    <mergeCell ref="Z13:Z14"/>
    <mergeCell ref="AA13:AA14"/>
    <mergeCell ref="AC13:AC14"/>
    <mergeCell ref="R13:R14"/>
    <mergeCell ref="S13:S14"/>
    <mergeCell ref="T13:T14"/>
    <mergeCell ref="U13:U14"/>
    <mergeCell ref="V13:V14"/>
    <mergeCell ref="W13:W14"/>
    <mergeCell ref="M13:M14"/>
    <mergeCell ref="N13:N14"/>
    <mergeCell ref="O13:O14"/>
    <mergeCell ref="P13:P14"/>
    <mergeCell ref="AB13:AB14"/>
    <mergeCell ref="Q13:Q14"/>
    <mergeCell ref="AD8:AD10"/>
    <mergeCell ref="AE11:AG11"/>
    <mergeCell ref="A13:A14"/>
    <mergeCell ref="B13:B14"/>
    <mergeCell ref="C13:C14"/>
    <mergeCell ref="D13:D14"/>
    <mergeCell ref="E13:E14"/>
    <mergeCell ref="F13:F14"/>
    <mergeCell ref="G13:G14"/>
    <mergeCell ref="X8:X10"/>
    <mergeCell ref="Y8:Y10"/>
    <mergeCell ref="Z8:Z10"/>
    <mergeCell ref="AA8:AA10"/>
    <mergeCell ref="AB8:AB10"/>
    <mergeCell ref="L13:L14"/>
    <mergeCell ref="M8:M10"/>
    <mergeCell ref="N8:N10"/>
    <mergeCell ref="O8:O10"/>
    <mergeCell ref="P8:P10"/>
    <mergeCell ref="AC8:AC10"/>
    <mergeCell ref="R8:R10"/>
    <mergeCell ref="S8:S10"/>
    <mergeCell ref="T8:T10"/>
    <mergeCell ref="U8:U10"/>
    <mergeCell ref="V8:V10"/>
    <mergeCell ref="W8:W10"/>
    <mergeCell ref="A8:A11"/>
    <mergeCell ref="B8:B11"/>
    <mergeCell ref="C8:C11"/>
    <mergeCell ref="D8:D11"/>
    <mergeCell ref="L8:L10"/>
    <mergeCell ref="E8:E11"/>
    <mergeCell ref="AK6:AM6"/>
    <mergeCell ref="AN6:AP6"/>
    <mergeCell ref="AQ6:AS6"/>
    <mergeCell ref="AT6:AV6"/>
    <mergeCell ref="P6:R6"/>
    <mergeCell ref="Q8:Q10"/>
    <mergeCell ref="F8:F11"/>
    <mergeCell ref="G8:G11"/>
    <mergeCell ref="H8:H19"/>
    <mergeCell ref="I8:I10"/>
    <mergeCell ref="J8:J10"/>
    <mergeCell ref="K8:K10"/>
    <mergeCell ref="I13:I14"/>
    <mergeCell ref="J13:J14"/>
    <mergeCell ref="K13:K14"/>
    <mergeCell ref="AZ6:BA6"/>
    <mergeCell ref="S6:U6"/>
    <mergeCell ref="V6:X6"/>
    <mergeCell ref="Y6:AA6"/>
    <mergeCell ref="AB6:AD6"/>
    <mergeCell ref="AE6:AG6"/>
    <mergeCell ref="AH6:AJ6"/>
    <mergeCell ref="D6:E6"/>
    <mergeCell ref="F6:I6"/>
    <mergeCell ref="J6:L6"/>
    <mergeCell ref="M6:O6"/>
    <mergeCell ref="AW6:AY6"/>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CONSOLIDADO ANLA</vt:lpstr>
      <vt:lpstr>DIRECCIÓN GENERAL</vt:lpstr>
      <vt:lpstr>OAP</vt:lpstr>
      <vt:lpstr>OTI</vt:lpstr>
      <vt:lpstr>COMUNICACIONES</vt:lpstr>
      <vt:lpstr>SIPTA</vt:lpstr>
      <vt:lpstr>SELA</vt:lpstr>
      <vt:lpstr>SSLA</vt:lpstr>
      <vt:lpstr>OAJ</vt:lpstr>
      <vt:lpstr>SAF</vt:lpstr>
      <vt:lpstr>SMPCA</vt:lpstr>
      <vt:lpstr>OCDI</vt:lpstr>
      <vt:lpstr>OCI</vt:lpstr>
      <vt:lpstr>OCI!_FilterDatabase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Jazmin Torres Rodríguez</dc:creator>
  <cp:keywords/>
  <dc:description/>
  <cp:lastModifiedBy>JAZMIN</cp:lastModifiedBy>
  <cp:revision/>
  <dcterms:created xsi:type="dcterms:W3CDTF">2020-12-23T23:16:56Z</dcterms:created>
  <dcterms:modified xsi:type="dcterms:W3CDTF">2022-04-05T00:50:38Z</dcterms:modified>
  <cp:category/>
  <cp:contentStatus/>
</cp:coreProperties>
</file>