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C:\Users\jazmi\Desktop\"/>
    </mc:Choice>
  </mc:AlternateContent>
  <xr:revisionPtr revIDLastSave="0" documentId="13_ncr:1_{AFF51AB3-7AA7-43EC-807A-0177EDD178A1}" xr6:coauthVersionLast="45" xr6:coauthVersionMax="45" xr10:uidLastSave="{00000000-0000-0000-0000-000000000000}"/>
  <bookViews>
    <workbookView xWindow="-120" yWindow="-120" windowWidth="20730" windowHeight="11160" tabRatio="956" activeTab="1" xr2:uid="{00000000-000D-0000-FFFF-FFFF00000000}"/>
  </bookViews>
  <sheets>
    <sheet name="CONSOLIDADO ENE-MAR 2020" sheetId="14" r:id="rId1"/>
    <sheet name="CONSOLIDADO REESTRUCTURACIÓN" sheetId="15" r:id="rId2"/>
    <sheet name="Sub.Evaluación LA" sheetId="1" r:id="rId3"/>
    <sheet name="Sub.Seguimiento LA" sheetId="2" r:id="rId4"/>
    <sheet name="SIPTA" sheetId="13" r:id="rId5"/>
    <sheet name="SMPCA" sheetId="5" r:id="rId6"/>
    <sheet name="Oficina Asesora de Planeación" sheetId="12" r:id="rId7"/>
    <sheet name="Of. Tecnologías" sheetId="8" r:id="rId8"/>
    <sheet name="Control Interno" sheetId="9" r:id="rId9"/>
    <sheet name="Control Disciplinario" sheetId="10" r:id="rId10"/>
    <sheet name="SAF" sheetId="7" r:id="rId11"/>
    <sheet name="Oficina Asesora Jurídica" sheetId="4" r:id="rId12"/>
    <sheet name="Comunicaciones" sheetId="6" r:id="rId13"/>
    <sheet name="PAI REGALÍAS" sheetId="11"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s>
  <definedNames>
    <definedName name="_xlnm._FilterDatabase" localSheetId="5" hidden="1">SMPCA!$A$6:$AF$12</definedName>
    <definedName name="_xlnm._FilterDatabase" localSheetId="2" hidden="1">'Sub.Evaluación LA'!$A$6:$AAF$41</definedName>
    <definedName name="_xlnm._FilterDatabase" localSheetId="3" hidden="1">'Sub.Seguimiento LA'!$A$6:$ZK$41</definedName>
    <definedName name="DepartamentoConsulta" localSheetId="13">#REF!</definedName>
    <definedName name="DepartamentoConsulta" localSheetId="2">#REF!</definedName>
    <definedName name="DepartamentoConsulta" localSheetId="3">#REF!</definedName>
    <definedName name="DepartamentoConsulta">#REF!</definedName>
    <definedName name="DeptoConsulta" localSheetId="2">#REF!</definedName>
    <definedName name="DeptoConsulta" localSheetId="3">#REF!</definedName>
    <definedName name="DeptoConsulta">#REF!</definedName>
    <definedName name="FactorSemanas">[1]Parametros!$G$5</definedName>
    <definedName name="FechaCierre">'[2]Registro Control Tiempos'!$C$9</definedName>
    <definedName name="FechaCorte">'[2]Registro Control Tiempos'!$C$7</definedName>
    <definedName name="FechaCorteModificacion" localSheetId="13">#REF!</definedName>
    <definedName name="FechaCorteModificacion" localSheetId="2">#REF!</definedName>
    <definedName name="FechaCorteModificacion" localSheetId="3">#REF!</definedName>
    <definedName name="FechaCorteModificacion">#REF!</definedName>
    <definedName name="festivos">[1]!Tabla4[TabDiasFestivos]</definedName>
    <definedName name="G" localSheetId="13">#REF!</definedName>
    <definedName name="G" localSheetId="2">#REF!</definedName>
    <definedName name="G" localSheetId="3">#REF!</definedName>
    <definedName name="G">#REF!</definedName>
    <definedName name="Instrumentos">[3]Parametros!$F$11:$F$19</definedName>
    <definedName name="intrumento">[4]!TabInstrumentos[Instrumentos]</definedName>
    <definedName name="Mesfinal">[1]Parametros!$H$2</definedName>
    <definedName name="MesInicial">[1]Parametros!$G$2</definedName>
    <definedName name="MetaAnual" localSheetId="13">#REF!</definedName>
    <definedName name="MetaAnual" localSheetId="2">#REF!</definedName>
    <definedName name="MetaAnual" localSheetId="3">#REF!</definedName>
    <definedName name="MetaAnual">#REF!</definedName>
    <definedName name="MetaAnualIE">'[1]Indicador estrategico'!$AV$5</definedName>
    <definedName name="NativeTimeline_Fecha_Auto_Administrativo_Respuesta">#N/A</definedName>
    <definedName name="NombreContratista">[4]!TabRevisores[NOMBRE]</definedName>
    <definedName name="NormasAplicables">[4]Parametros!$BI$15:$BI$19</definedName>
    <definedName name="NotaAutoInicio" localSheetId="13">#REF!</definedName>
    <definedName name="NotaAutoInicio" localSheetId="2">#REF!</definedName>
    <definedName name="NotaAutoInicio" localSheetId="3">#REF!</definedName>
    <definedName name="NotaAutoInicio">#REF!</definedName>
    <definedName name="pend">[5]Pendientes!$B$49:$E$49</definedName>
    <definedName name="PerfilActivo" localSheetId="13">#REF!</definedName>
    <definedName name="PerfilActivo" localSheetId="2">#REF!</definedName>
    <definedName name="PerfilActivo" localSheetId="3">#REF!</definedName>
    <definedName name="PerfilActivo">#REF!</definedName>
    <definedName name="ProyectoConsulta" localSheetId="2">#REF!</definedName>
    <definedName name="ProyectoConsulta" localSheetId="3">#REF!</definedName>
    <definedName name="ProyectoConsulta">#REF!</definedName>
    <definedName name="RangoConsulta" localSheetId="13">'[2]Registro Control Tiempos'!#REF!</definedName>
    <definedName name="RangoConsulta" localSheetId="2">'[2]Registro Control Tiempos'!#REF!</definedName>
    <definedName name="RangoConsulta" localSheetId="3">'[2]Registro Control Tiempos'!#REF!</definedName>
    <definedName name="RangoConsulta">'[2]Registro Control Tiempos'!#REF!</definedName>
    <definedName name="RegistroConsulta" localSheetId="13">#REF!</definedName>
    <definedName name="RegistroConsulta" localSheetId="2">#REF!</definedName>
    <definedName name="RegistroConsulta" localSheetId="3">#REF!</definedName>
    <definedName name="RegistroConsulta">#REF!</definedName>
    <definedName name="Sector">[6]Parametros!$N$11:$N$17</definedName>
    <definedName name="SectorAConsultar" localSheetId="13">#REF!</definedName>
    <definedName name="SectorAConsultar" localSheetId="2">#REF!</definedName>
    <definedName name="SectorAConsultar" localSheetId="3">#REF!</definedName>
    <definedName name="SectorAConsultar">#REF!</definedName>
    <definedName name="SectorConsultar">'[1]Indicador estrategico'!$I$2</definedName>
    <definedName name="SectorEstadisticas" localSheetId="13">#REF!</definedName>
    <definedName name="SectorEstadisticas" localSheetId="2">#REF!</definedName>
    <definedName name="SectorEstadisticas" localSheetId="3">#REF!</definedName>
    <definedName name="SectorEstadisticas">#REF!</definedName>
    <definedName name="SectorTiempo" localSheetId="1">Ind Tiempos [7]Sectorial!$E$9</definedName>
    <definedName name="SectorTiempo" localSheetId="13">Ind Tiempos [7]Sectorial!$E$9</definedName>
    <definedName name="SectorTiempo" localSheetId="2">Ind Tiempos [7]Sectorial!$E$9</definedName>
    <definedName name="SectorTiempo" localSheetId="3">Ind Tiempos [7]Sectorial!$E$9</definedName>
    <definedName name="SectorTiempo">Ind Tiempos [7]Sectorial!$E$9</definedName>
    <definedName name="SiNo">[8]Parametros!$BI$12:$BI$13</definedName>
    <definedName name="ss">[4]!TabInstrumentos[Instrumentos]</definedName>
    <definedName name="TabDiasFestivos">[1]!Tabla4[TabDiasFestivos]</definedName>
    <definedName name="TabSabadoDomingo">[4]!SabadosDomingos[SabadosDomingos]</definedName>
    <definedName name="TipoActoAdministrativo">[9]Parametros!$T$11:$T$13</definedName>
    <definedName name="TipoDecision">[10]Parametros!$V$11:$V$18</definedName>
    <definedName name="TipoRegistro">[11]Parametros!$L$11:$L$13</definedName>
    <definedName name="TipoSuspension">[1]Parametros!$R$11:$R$14</definedName>
    <definedName name="TipoTramite">[1]Parametros!$AB$11:$AB$13</definedName>
    <definedName name="UsuarioActivo" localSheetId="13">#REF!</definedName>
    <definedName name="UsuarioActivo" localSheetId="2">#REF!</definedName>
    <definedName name="UsuarioActivo" localSheetId="3">#REF!</definedName>
    <definedName name="UsuarioActivo">#REF!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42" i="15" l="1"/>
  <c r="G42" i="15"/>
  <c r="F42" i="15"/>
  <c r="N41" i="15"/>
  <c r="M41" i="15"/>
  <c r="L41" i="15"/>
  <c r="L42" i="15" s="1"/>
  <c r="K41" i="15"/>
  <c r="J41" i="15"/>
  <c r="I41" i="15"/>
  <c r="H41" i="15"/>
  <c r="H42" i="15" s="1"/>
  <c r="G41" i="15"/>
  <c r="F41" i="15"/>
  <c r="E41" i="15"/>
  <c r="E42" i="15" s="1"/>
  <c r="J38" i="15"/>
  <c r="J42" i="15" s="1"/>
  <c r="I38" i="15"/>
  <c r="J27" i="15"/>
  <c r="I27" i="15"/>
  <c r="N17" i="15"/>
  <c r="N42" i="15" s="1"/>
  <c r="M17" i="15"/>
  <c r="M42" i="15" s="1"/>
  <c r="K17" i="15"/>
  <c r="J17" i="15"/>
  <c r="I17" i="15"/>
  <c r="I42" i="15" s="1"/>
  <c r="G17" i="15"/>
  <c r="CQ24" i="13" l="1"/>
  <c r="CI24" i="13"/>
  <c r="CA24" i="13"/>
  <c r="CM23" i="13"/>
  <c r="CE23" i="13"/>
  <c r="BW23" i="13"/>
  <c r="BO23" i="13"/>
  <c r="BG23" i="13"/>
  <c r="CM22" i="13"/>
  <c r="CE22" i="13"/>
  <c r="BW22" i="13"/>
  <c r="CM21" i="13"/>
  <c r="CE21" i="13"/>
  <c r="AE20" i="13"/>
  <c r="AI19" i="13"/>
  <c r="AA19" i="13"/>
  <c r="CQ10" i="13"/>
  <c r="CI10" i="13"/>
  <c r="CA10" i="13"/>
  <c r="BS10" i="13"/>
  <c r="BK10" i="13"/>
  <c r="BC10" i="13"/>
  <c r="AU10" i="13"/>
  <c r="AM10" i="13"/>
  <c r="AE10" i="13"/>
  <c r="CQ9" i="13"/>
  <c r="CM9" i="13"/>
  <c r="CI9" i="13"/>
  <c r="CE9" i="13"/>
  <c r="CA9" i="13"/>
  <c r="BW9" i="13"/>
  <c r="BS9" i="13"/>
  <c r="BO9" i="13"/>
  <c r="BK9" i="13"/>
  <c r="BG9" i="13"/>
  <c r="BC9" i="13"/>
  <c r="AY9" i="13"/>
  <c r="AU9" i="13"/>
  <c r="AQ9" i="13"/>
  <c r="AM9" i="13"/>
  <c r="AI9" i="13"/>
  <c r="AE9" i="13"/>
  <c r="AA9" i="13"/>
  <c r="CQ8" i="13"/>
  <c r="CI8" i="13"/>
  <c r="CA8" i="13"/>
  <c r="BS8" i="13"/>
  <c r="BK8" i="13"/>
  <c r="BC8" i="13"/>
  <c r="AU8" i="13"/>
  <c r="AM8" i="13"/>
  <c r="AE8" i="13"/>
  <c r="CQ7" i="13"/>
  <c r="CM7" i="13"/>
  <c r="CI7" i="13"/>
  <c r="CE7" i="13"/>
  <c r="CA7" i="13"/>
  <c r="BW7" i="13"/>
  <c r="BS7" i="13"/>
  <c r="BO7" i="13"/>
  <c r="BK7" i="13"/>
  <c r="BG7" i="13"/>
  <c r="BC7" i="13"/>
  <c r="AY7" i="13"/>
  <c r="AU7" i="13"/>
  <c r="AQ7" i="13"/>
  <c r="AM7" i="13"/>
  <c r="AI7" i="13"/>
  <c r="AE7" i="13"/>
  <c r="AA7" i="13"/>
  <c r="CQ19" i="12"/>
  <c r="CI19" i="12"/>
  <c r="CA19" i="12"/>
  <c r="BS19" i="12"/>
  <c r="BK19" i="12"/>
  <c r="BG19" i="12"/>
  <c r="AU19" i="12"/>
  <c r="AM19" i="12"/>
  <c r="AE19" i="12"/>
  <c r="AA19" i="12"/>
  <c r="AY17" i="12"/>
  <c r="AY19" i="12" s="1"/>
  <c r="BO16" i="12"/>
  <c r="AI16" i="12"/>
  <c r="AI13" i="12"/>
  <c r="CM7" i="12"/>
  <c r="CM19" i="12" s="1"/>
  <c r="CE7" i="12"/>
  <c r="CE19" i="12" s="1"/>
  <c r="BW7" i="12"/>
  <c r="BW19" i="12" s="1"/>
  <c r="BO7" i="12"/>
  <c r="BO19" i="12" s="1"/>
  <c r="BC7" i="12"/>
  <c r="BC19" i="12" s="1"/>
  <c r="AQ7" i="12"/>
  <c r="AQ19" i="12" s="1"/>
  <c r="AI7" i="12"/>
  <c r="AI19" i="12" s="1"/>
  <c r="BM14" i="11" l="1"/>
  <c r="BO14" i="11" s="1"/>
  <c r="BE14" i="11"/>
  <c r="BG14" i="11" s="1"/>
  <c r="AW14" i="11"/>
  <c r="AY14" i="11" s="1"/>
  <c r="AO14" i="11"/>
  <c r="AQ14" i="11" s="1"/>
  <c r="AG14" i="11"/>
  <c r="AI14" i="11" s="1"/>
  <c r="Y14" i="11"/>
  <c r="AA14" i="11" s="1"/>
  <c r="BO13" i="11"/>
  <c r="BG13" i="11"/>
  <c r="AY13" i="11"/>
  <c r="AQ13" i="11"/>
  <c r="AI13" i="11"/>
  <c r="AA13" i="11"/>
  <c r="BO12" i="11"/>
  <c r="BG12" i="11"/>
  <c r="AY12" i="11"/>
  <c r="AQ12" i="11"/>
  <c r="AI12" i="11"/>
  <c r="AA12" i="11"/>
  <c r="BO11" i="11"/>
  <c r="BG11" i="11"/>
  <c r="AY11" i="11"/>
  <c r="AQ11" i="11"/>
  <c r="AI11" i="11"/>
  <c r="AA11" i="11"/>
  <c r="BO10" i="11"/>
  <c r="BG10" i="11"/>
  <c r="AY10" i="11"/>
  <c r="AQ10" i="11"/>
  <c r="AI10" i="11"/>
  <c r="AA10" i="11"/>
  <c r="BO9" i="11"/>
  <c r="BG9" i="11"/>
  <c r="AY9" i="11"/>
  <c r="AQ9" i="11"/>
  <c r="AI9" i="11"/>
  <c r="AA9" i="11"/>
  <c r="BO8" i="11"/>
  <c r="BG8" i="11"/>
  <c r="AY8" i="11"/>
  <c r="AQ8" i="11"/>
  <c r="AQ15" i="11" s="1"/>
  <c r="AI8" i="11"/>
  <c r="AA8" i="11"/>
  <c r="BO7" i="11"/>
  <c r="BO15" i="11" s="1"/>
  <c r="BG7" i="11"/>
  <c r="BG15" i="11" s="1"/>
  <c r="AY7" i="11"/>
  <c r="AQ7" i="11"/>
  <c r="AI7" i="11"/>
  <c r="AI15" i="11" s="1"/>
  <c r="AA7" i="11"/>
  <c r="AA15" i="11" s="1"/>
  <c r="AY15" i="11" l="1"/>
  <c r="CM29" i="7"/>
  <c r="CM32" i="7"/>
  <c r="CM10" i="10" l="1"/>
  <c r="CE10" i="10"/>
  <c r="BW10" i="10"/>
  <c r="CK9" i="10"/>
  <c r="CK7" i="10"/>
  <c r="CQ10" i="9" l="1"/>
  <c r="CM10" i="9"/>
  <c r="CI10" i="9"/>
  <c r="CE10" i="9"/>
  <c r="CA10" i="9"/>
  <c r="BW10" i="9"/>
  <c r="CO8" i="9"/>
  <c r="CQ8" i="9" s="1"/>
  <c r="CG8" i="9"/>
  <c r="CI8" i="9" s="1"/>
  <c r="CA8" i="9"/>
  <c r="CO7" i="9"/>
  <c r="CQ7" i="9" s="1"/>
  <c r="CM7" i="9"/>
  <c r="CI7" i="9"/>
  <c r="CG7" i="9"/>
  <c r="CC7" i="9"/>
  <c r="CE7" i="9" s="1"/>
  <c r="CA7" i="9"/>
  <c r="BY7" i="9"/>
  <c r="BW7" i="9"/>
  <c r="CQ38" i="7" l="1"/>
  <c r="CQ15" i="8"/>
  <c r="CM15" i="8"/>
  <c r="CI15" i="8"/>
  <c r="CE15" i="8"/>
  <c r="CA15" i="8"/>
  <c r="BW15" i="8"/>
  <c r="BS15" i="8"/>
  <c r="BK15" i="8"/>
  <c r="BC15" i="8"/>
  <c r="AQ15" i="8"/>
  <c r="AU15" i="8"/>
  <c r="CK13" i="8"/>
  <c r="CC13" i="8"/>
  <c r="BU13" i="8"/>
  <c r="CG12" i="8"/>
  <c r="BY12" i="8"/>
  <c r="CG11" i="8"/>
  <c r="BY11" i="8"/>
  <c r="CE10" i="8"/>
  <c r="BW10" i="8"/>
  <c r="BG10" i="9" l="1"/>
  <c r="AQ10" i="9"/>
  <c r="AA10" i="9"/>
  <c r="BS8" i="9"/>
  <c r="BK8" i="9"/>
  <c r="BC8" i="9"/>
  <c r="AU8" i="9"/>
  <c r="AM8" i="9"/>
  <c r="AE8" i="9"/>
  <c r="AE10" i="9" s="1"/>
  <c r="BS7" i="9"/>
  <c r="BO7" i="9"/>
  <c r="BO10" i="9" s="1"/>
  <c r="BK7" i="9"/>
  <c r="BK10" i="9" s="1"/>
  <c r="BG7" i="9"/>
  <c r="BC7" i="9"/>
  <c r="BC10" i="9" s="1"/>
  <c r="AY7" i="9"/>
  <c r="AY10" i="9" s="1"/>
  <c r="AU7" i="9"/>
  <c r="AU10" i="9" s="1"/>
  <c r="AQ7" i="9"/>
  <c r="AM7" i="9"/>
  <c r="AM10" i="9" s="1"/>
  <c r="AI7" i="9"/>
  <c r="AI10" i="9" s="1"/>
  <c r="BO10" i="10"/>
  <c r="BG10" i="10"/>
  <c r="AY10" i="10"/>
  <c r="AQ10" i="10"/>
  <c r="AI10" i="10"/>
  <c r="AA10" i="10"/>
  <c r="BG15" i="8"/>
  <c r="AA15" i="8"/>
  <c r="BM13" i="8"/>
  <c r="AY13" i="8"/>
  <c r="BE13" i="8" s="1"/>
  <c r="AQ13" i="8"/>
  <c r="AM13" i="8"/>
  <c r="AM15" i="8" s="1"/>
  <c r="AE13" i="8"/>
  <c r="BQ12" i="8"/>
  <c r="BQ11" i="8"/>
  <c r="BI11" i="8"/>
  <c r="BO10" i="8"/>
  <c r="BG10" i="8"/>
  <c r="AY10" i="8"/>
  <c r="AQ10" i="8"/>
  <c r="AI10" i="8"/>
  <c r="AA10" i="8"/>
  <c r="BO9" i="8"/>
  <c r="BO15" i="8" s="1"/>
  <c r="BK9" i="8"/>
  <c r="BG9" i="8"/>
  <c r="BC9" i="8"/>
  <c r="AY9" i="8"/>
  <c r="AY15" i="8" s="1"/>
  <c r="AU9" i="8"/>
  <c r="AQ9" i="8"/>
  <c r="AM9" i="8"/>
  <c r="AI9" i="8"/>
  <c r="AI15" i="8" s="1"/>
  <c r="AE9" i="8"/>
  <c r="AE15" i="8" s="1"/>
  <c r="BC7" i="8"/>
  <c r="AU7" i="8"/>
  <c r="BS10" i="9" l="1"/>
  <c r="CM36" i="7"/>
  <c r="BW36" i="7"/>
  <c r="BG36" i="7"/>
  <c r="AQ36" i="7"/>
  <c r="AE36" i="7"/>
  <c r="AA36" i="7"/>
  <c r="CQ35" i="7"/>
  <c r="CQ36" i="7" s="1"/>
  <c r="CM35" i="7"/>
  <c r="CI35" i="7"/>
  <c r="CI36" i="7" s="1"/>
  <c r="CE35" i="7"/>
  <c r="CA35" i="7"/>
  <c r="CA36" i="7" s="1"/>
  <c r="BS35" i="7"/>
  <c r="BS36" i="7" s="1"/>
  <c r="BK35" i="7"/>
  <c r="BK36" i="7" s="1"/>
  <c r="BC35" i="7"/>
  <c r="BC36" i="7" s="1"/>
  <c r="AU35" i="7"/>
  <c r="AU36" i="7" s="1"/>
  <c r="AM35" i="7"/>
  <c r="AM36" i="7" s="1"/>
  <c r="CM34" i="7"/>
  <c r="CE34" i="7"/>
  <c r="BW34" i="7"/>
  <c r="BO34" i="7"/>
  <c r="BG34" i="7"/>
  <c r="AY34" i="7"/>
  <c r="AQ34" i="7"/>
  <c r="AI34" i="7"/>
  <c r="AA34" i="7"/>
  <c r="CQ33" i="7"/>
  <c r="CM33" i="7"/>
  <c r="CI33" i="7"/>
  <c r="CE33" i="7"/>
  <c r="CE36" i="7" s="1"/>
  <c r="CA33" i="7"/>
  <c r="BW33" i="7"/>
  <c r="BO33" i="7"/>
  <c r="BO36" i="7" s="1"/>
  <c r="BG33" i="7"/>
  <c r="AY33" i="7"/>
  <c r="AY36" i="7" s="1"/>
  <c r="AQ33" i="7"/>
  <c r="AI33" i="7"/>
  <c r="AI36" i="7" s="1"/>
  <c r="CE32" i="7"/>
  <c r="AY32" i="7"/>
  <c r="AA32" i="7"/>
  <c r="CM31" i="7"/>
  <c r="CK31" i="7" s="1"/>
  <c r="CE31" i="7"/>
  <c r="CC31" i="7" s="1"/>
  <c r="BW31" i="7"/>
  <c r="BO31" i="7"/>
  <c r="BU31" i="7" s="1"/>
  <c r="BG31" i="7"/>
  <c r="BE31" i="7"/>
  <c r="AY31" i="7"/>
  <c r="AW31" i="7"/>
  <c r="CE30" i="7"/>
  <c r="BW30" i="7"/>
  <c r="BO30" i="7"/>
  <c r="BG30" i="7"/>
  <c r="AY30" i="7"/>
  <c r="CE29" i="7"/>
  <c r="BW29" i="7"/>
  <c r="BW32" i="7" s="1"/>
  <c r="BO29" i="7"/>
  <c r="BO32" i="7" s="1"/>
  <c r="BG29" i="7"/>
  <c r="BG32" i="7" s="1"/>
  <c r="AY29" i="7"/>
  <c r="AQ29" i="7"/>
  <c r="AQ32" i="7" s="1"/>
  <c r="AI29" i="7"/>
  <c r="AI32" i="7" s="1"/>
  <c r="CQ28" i="7"/>
  <c r="CM28" i="7"/>
  <c r="CI28" i="7"/>
  <c r="CE28" i="7"/>
  <c r="CA28" i="7"/>
  <c r="BW28" i="7"/>
  <c r="BS28" i="7"/>
  <c r="BO28" i="7"/>
  <c r="BG28" i="7"/>
  <c r="AY28" i="7"/>
  <c r="AU28" i="7"/>
  <c r="AQ28" i="7"/>
  <c r="AM28" i="7"/>
  <c r="AI28" i="7"/>
  <c r="BK27" i="7"/>
  <c r="BK28" i="7" s="1"/>
  <c r="BC27" i="7"/>
  <c r="BC28" i="7" s="1"/>
  <c r="BK26" i="7"/>
  <c r="CC24" i="7"/>
  <c r="BU24" i="7"/>
  <c r="BK24" i="7"/>
  <c r="CI22" i="7"/>
  <c r="BS22" i="7"/>
  <c r="BC22" i="7"/>
  <c r="AU22" i="7"/>
  <c r="AQ22" i="7"/>
  <c r="AM22" i="7"/>
  <c r="AI22" i="7"/>
  <c r="AE22" i="7"/>
  <c r="AA22" i="7"/>
  <c r="CM21" i="7"/>
  <c r="CE21" i="7"/>
  <c r="BW21" i="7"/>
  <c r="BO21" i="7"/>
  <c r="BG21" i="7"/>
  <c r="AY21" i="7"/>
  <c r="CM20" i="7"/>
  <c r="CE20" i="7"/>
  <c r="BW20" i="7"/>
  <c r="BO20" i="7"/>
  <c r="BG20" i="7"/>
  <c r="AY20" i="7"/>
  <c r="CM19" i="7"/>
  <c r="CE19" i="7"/>
  <c r="BG19" i="7"/>
  <c r="CQ18" i="7"/>
  <c r="CQ22" i="7" s="1"/>
  <c r="CM18" i="7"/>
  <c r="CM22" i="7" s="1"/>
  <c r="CI18" i="7"/>
  <c r="CE18" i="7"/>
  <c r="CE22" i="7" s="1"/>
  <c r="CA18" i="7"/>
  <c r="CA22" i="7" s="1"/>
  <c r="BW18" i="7"/>
  <c r="BW22" i="7" s="1"/>
  <c r="BS18" i="7"/>
  <c r="BO18" i="7"/>
  <c r="BO22" i="7" s="1"/>
  <c r="BK18" i="7"/>
  <c r="BK22" i="7" s="1"/>
  <c r="BG18" i="7"/>
  <c r="BG22" i="7" s="1"/>
  <c r="BC18" i="7"/>
  <c r="AY18" i="7"/>
  <c r="AY22" i="7" s="1"/>
  <c r="CE17" i="7"/>
  <c r="BW17" i="7"/>
  <c r="BW38" i="7" s="1"/>
  <c r="BG17" i="7"/>
  <c r="BG38" i="7" s="1"/>
  <c r="AY17" i="7"/>
  <c r="AY38" i="7" s="1"/>
  <c r="AI17" i="7"/>
  <c r="AA17" i="7"/>
  <c r="BO16" i="7"/>
  <c r="AQ16" i="7"/>
  <c r="AQ17" i="7" s="1"/>
  <c r="AQ38" i="7" s="1"/>
  <c r="BO15" i="7"/>
  <c r="CM14" i="7"/>
  <c r="CM17" i="7" s="1"/>
  <c r="BO14" i="7"/>
  <c r="BO17" i="7" s="1"/>
  <c r="BS13" i="7"/>
  <c r="AQ13" i="7"/>
  <c r="AA13" i="7"/>
  <c r="AA38" i="7" s="1"/>
  <c r="AI12" i="7"/>
  <c r="AI13" i="7" s="1"/>
  <c r="CQ10" i="7"/>
  <c r="CI10" i="7"/>
  <c r="CI13" i="7" s="1"/>
  <c r="CA10" i="7"/>
  <c r="CA38" i="7" s="1"/>
  <c r="BS10" i="7"/>
  <c r="BK10" i="7"/>
  <c r="BK38" i="7" s="1"/>
  <c r="BC10" i="7"/>
  <c r="BC13" i="7" s="1"/>
  <c r="AU10" i="7"/>
  <c r="AU38" i="7" s="1"/>
  <c r="AM10" i="7"/>
  <c r="AM13" i="7" s="1"/>
  <c r="AE10" i="7"/>
  <c r="AE13" i="7" s="1"/>
  <c r="AE38" i="7" s="1"/>
  <c r="CM38" i="7" l="1"/>
  <c r="BS38" i="7"/>
  <c r="BO38" i="7"/>
  <c r="AM38" i="7"/>
  <c r="AI38" i="7"/>
  <c r="CE38" i="7"/>
  <c r="AU13" i="7"/>
  <c r="CA13" i="7"/>
  <c r="BC38" i="7"/>
  <c r="CI38" i="7"/>
  <c r="BK13" i="7"/>
  <c r="CQ13" i="7"/>
  <c r="CY12" i="6"/>
  <c r="CU12" i="6"/>
  <c r="CI12" i="6"/>
  <c r="CE12" i="6"/>
  <c r="CA12" i="6"/>
  <c r="BW12" i="6"/>
  <c r="BS12" i="6"/>
  <c r="BO12" i="6"/>
  <c r="BK12" i="6"/>
  <c r="BG12" i="6"/>
  <c r="BC12" i="6"/>
  <c r="AY12" i="6"/>
  <c r="AU12" i="6"/>
  <c r="AQ12" i="6"/>
  <c r="AM12" i="6"/>
  <c r="AI12" i="6"/>
  <c r="AE12" i="6"/>
  <c r="AA12" i="6"/>
  <c r="CY11" i="6"/>
  <c r="CU11" i="6"/>
  <c r="CQ11" i="6"/>
  <c r="CM11" i="6"/>
  <c r="CI11" i="6"/>
  <c r="CE11" i="6"/>
  <c r="CA11" i="6"/>
  <c r="BW11" i="6"/>
  <c r="BS11" i="6"/>
  <c r="BO11" i="6"/>
  <c r="BK11" i="6"/>
  <c r="BG11" i="6"/>
  <c r="BC11" i="6"/>
  <c r="AY11" i="6"/>
  <c r="AU11" i="6"/>
  <c r="AQ11" i="6"/>
  <c r="AK11" i="6"/>
  <c r="AM11" i="6" s="1"/>
  <c r="AI11" i="6"/>
  <c r="AG11" i="6"/>
  <c r="AE11" i="6"/>
  <c r="Y11" i="6"/>
  <c r="AA11" i="6" s="1"/>
  <c r="AE10" i="6"/>
  <c r="CY9" i="6"/>
  <c r="CQ9" i="6"/>
  <c r="CI9" i="6"/>
  <c r="CA9" i="6"/>
  <c r="BS9" i="6"/>
  <c r="BK9" i="6"/>
  <c r="BC9" i="6"/>
  <c r="BC13" i="6" s="1"/>
  <c r="AU9" i="6"/>
  <c r="AK9" i="6"/>
  <c r="AM9" i="6" s="1"/>
  <c r="AE9" i="6"/>
  <c r="CY8" i="6"/>
  <c r="CQ8" i="6"/>
  <c r="CI8" i="6"/>
  <c r="CA8" i="6"/>
  <c r="BS8" i="6"/>
  <c r="BK8" i="6"/>
  <c r="BC8" i="6"/>
  <c r="AU8" i="6"/>
  <c r="AM8" i="6"/>
  <c r="AK8" i="6"/>
  <c r="AE8" i="6"/>
  <c r="CY7" i="6"/>
  <c r="CY13" i="6" s="1"/>
  <c r="CU7" i="6"/>
  <c r="CU13" i="6" s="1"/>
  <c r="CQ7" i="6"/>
  <c r="CQ13" i="6" s="1"/>
  <c r="CM7" i="6"/>
  <c r="CM13" i="6" s="1"/>
  <c r="CI7" i="6"/>
  <c r="CI13" i="6" s="1"/>
  <c r="CE7" i="6"/>
  <c r="CE13" i="6" s="1"/>
  <c r="CA7" i="6"/>
  <c r="CA13" i="6" s="1"/>
  <c r="BW7" i="6"/>
  <c r="BW13" i="6" s="1"/>
  <c r="BS7" i="6"/>
  <c r="BS13" i="6" s="1"/>
  <c r="BO7" i="6"/>
  <c r="BO13" i="6" s="1"/>
  <c r="BM7" i="6"/>
  <c r="BK7" i="6"/>
  <c r="BK13" i="6" s="1"/>
  <c r="BG7" i="6"/>
  <c r="BG13" i="6" s="1"/>
  <c r="BC7" i="6"/>
  <c r="AY7" i="6"/>
  <c r="AY13" i="6" s="1"/>
  <c r="AU7" i="6"/>
  <c r="AU13" i="6" s="1"/>
  <c r="AQ7" i="6"/>
  <c r="AQ13" i="6" s="1"/>
  <c r="AM7" i="6"/>
  <c r="AI7" i="6"/>
  <c r="AI13" i="6" s="1"/>
  <c r="AE7" i="6"/>
  <c r="AE13" i="6" s="1"/>
  <c r="AA7" i="6"/>
  <c r="AA13" i="6" s="1"/>
  <c r="AM13" i="6" l="1"/>
  <c r="CK21" i="5"/>
  <c r="AI21" i="5"/>
  <c r="AA21" i="5"/>
  <c r="DM20" i="5"/>
  <c r="DL20" i="5"/>
  <c r="DK20" i="5"/>
  <c r="DJ20" i="5"/>
  <c r="DI20" i="5"/>
  <c r="DH20" i="5"/>
  <c r="DG20" i="5"/>
  <c r="DO20" i="5" s="1"/>
  <c r="DQ20" i="5" s="1"/>
  <c r="DF20" i="5"/>
  <c r="DE20" i="5"/>
  <c r="DA20" i="5"/>
  <c r="CS20" i="5"/>
  <c r="CC20" i="5"/>
  <c r="BU20" i="5"/>
  <c r="BM20" i="5"/>
  <c r="AQ20" i="5"/>
  <c r="AP20" i="5"/>
  <c r="DM19" i="5"/>
  <c r="DL19" i="5"/>
  <c r="DK19" i="5"/>
  <c r="DJ19" i="5"/>
  <c r="DI19" i="5"/>
  <c r="DH19" i="5"/>
  <c r="DG19" i="5"/>
  <c r="DO19" i="5" s="1"/>
  <c r="DQ19" i="5" s="1"/>
  <c r="DF19" i="5"/>
  <c r="DE19" i="5"/>
  <c r="DA19" i="5"/>
  <c r="CS19" i="5"/>
  <c r="CC19" i="5"/>
  <c r="BU19" i="5"/>
  <c r="BM19" i="5"/>
  <c r="AQ19" i="5"/>
  <c r="AP19" i="5"/>
  <c r="DM18" i="5"/>
  <c r="DL18" i="5"/>
  <c r="DK18" i="5"/>
  <c r="DJ18" i="5"/>
  <c r="DI18" i="5"/>
  <c r="DH18" i="5"/>
  <c r="DG18" i="5"/>
  <c r="DO18" i="5" s="1"/>
  <c r="DQ18" i="5" s="1"/>
  <c r="DF18" i="5"/>
  <c r="DE18" i="5"/>
  <c r="DA18" i="5"/>
  <c r="CS18" i="5"/>
  <c r="CC18" i="5"/>
  <c r="BU18" i="5"/>
  <c r="BM18" i="5"/>
  <c r="AQ18" i="5"/>
  <c r="AP18" i="5"/>
  <c r="DM17" i="5"/>
  <c r="DL17" i="5"/>
  <c r="DK17" i="5"/>
  <c r="DJ17" i="5"/>
  <c r="DI17" i="5"/>
  <c r="DH17" i="5"/>
  <c r="DG17" i="5"/>
  <c r="DO17" i="5" s="1"/>
  <c r="DQ17" i="5" s="1"/>
  <c r="DF17" i="5"/>
  <c r="DE17" i="5"/>
  <c r="DA17" i="5"/>
  <c r="CS17" i="5"/>
  <c r="CC17" i="5"/>
  <c r="BU17" i="5"/>
  <c r="BM17" i="5"/>
  <c r="AQ17" i="5"/>
  <c r="AP17" i="5"/>
  <c r="DM16" i="5"/>
  <c r="DL16" i="5"/>
  <c r="DK16" i="5"/>
  <c r="DJ16" i="5"/>
  <c r="DI16" i="5"/>
  <c r="DH16" i="5"/>
  <c r="DG16" i="5"/>
  <c r="DO16" i="5" s="1"/>
  <c r="DQ16" i="5" s="1"/>
  <c r="DF16" i="5"/>
  <c r="DE16" i="5"/>
  <c r="DA16" i="5"/>
  <c r="CS16" i="5"/>
  <c r="CC16" i="5"/>
  <c r="BU16" i="5"/>
  <c r="BM16" i="5"/>
  <c r="AQ16" i="5"/>
  <c r="AP16" i="5"/>
  <c r="DM15" i="5"/>
  <c r="DL15" i="5"/>
  <c r="DK15" i="5"/>
  <c r="DJ15" i="5"/>
  <c r="DI15" i="5"/>
  <c r="DH15" i="5"/>
  <c r="DG15" i="5"/>
  <c r="DO15" i="5" s="1"/>
  <c r="DQ15" i="5" s="1"/>
  <c r="DF15" i="5"/>
  <c r="DE15" i="5"/>
  <c r="DA15" i="5"/>
  <c r="DA21" i="5" s="1"/>
  <c r="CS15" i="5"/>
  <c r="CS21" i="5" s="1"/>
  <c r="CC15" i="5"/>
  <c r="CC21" i="5" s="1"/>
  <c r="BU15" i="5"/>
  <c r="BU21" i="5" s="1"/>
  <c r="BM15" i="5"/>
  <c r="BM21" i="5" s="1"/>
  <c r="AQ15" i="5"/>
  <c r="AQ21" i="5" s="1"/>
  <c r="AP15" i="5"/>
  <c r="BJ13" i="5"/>
  <c r="BI13" i="5"/>
  <c r="BH13" i="5"/>
  <c r="BG13" i="5"/>
  <c r="BF13" i="5"/>
  <c r="BE13" i="5"/>
  <c r="BD13" i="5"/>
  <c r="BC13" i="5"/>
  <c r="BB13" i="5"/>
  <c r="BA13" i="5"/>
  <c r="AZ13" i="5"/>
  <c r="BJ12" i="5"/>
  <c r="BI12" i="5"/>
  <c r="BH12" i="5"/>
  <c r="BG12" i="5"/>
  <c r="BF12" i="5"/>
  <c r="BE12" i="5"/>
  <c r="BC12" i="5"/>
  <c r="BB12" i="5"/>
  <c r="BA12" i="5"/>
  <c r="AY12" i="5"/>
  <c r="DA11" i="5"/>
  <c r="CS11" i="5"/>
  <c r="CK11" i="5"/>
  <c r="CC11" i="5"/>
  <c r="CC13" i="5" s="1"/>
  <c r="BU11" i="5"/>
  <c r="BU13" i="5" s="1"/>
  <c r="BM11" i="5"/>
  <c r="BM13" i="5" s="1"/>
  <c r="AQ11" i="5"/>
  <c r="AQ13" i="5" s="1"/>
  <c r="AI11" i="5"/>
  <c r="AI13" i="5" s="1"/>
  <c r="AA11" i="5"/>
  <c r="AA13" i="5" s="1"/>
  <c r="DE10" i="5"/>
  <c r="DE13" i="5" s="1"/>
  <c r="CW10" i="5"/>
  <c r="CO10" i="5"/>
  <c r="CG10" i="5"/>
  <c r="BY10" i="5"/>
  <c r="BY13" i="5" s="1"/>
  <c r="BQ10" i="5"/>
  <c r="AU10" i="5"/>
  <c r="AU13" i="5" s="1"/>
  <c r="DE9" i="5"/>
  <c r="DA9" i="5"/>
  <c r="CW9" i="5"/>
  <c r="CO9" i="5"/>
  <c r="CK9" i="5"/>
  <c r="CG9" i="5"/>
  <c r="CG13" i="5" s="1"/>
  <c r="CC9" i="5"/>
  <c r="BY9" i="5"/>
  <c r="BQ9" i="5"/>
  <c r="BD9" i="5"/>
  <c r="BD12" i="5" s="1"/>
  <c r="AZ9" i="5"/>
  <c r="AZ12" i="5" s="1"/>
  <c r="AU9" i="5"/>
  <c r="AM9" i="5"/>
  <c r="AM13" i="5" s="1"/>
  <c r="AE9" i="5"/>
  <c r="AE13" i="5" s="1"/>
  <c r="DA8" i="5"/>
  <c r="CS8" i="5"/>
  <c r="BM8" i="5"/>
  <c r="DA7" i="5"/>
  <c r="CS7" i="5"/>
  <c r="CK7" i="5"/>
  <c r="CS13" i="5" l="1"/>
  <c r="CO13" i="5"/>
  <c r="DA13" i="5"/>
  <c r="BQ13" i="5"/>
  <c r="CW13" i="5"/>
  <c r="CK13" i="5"/>
  <c r="DN15" i="5"/>
  <c r="DP15" i="5" s="1"/>
  <c r="DN16" i="5"/>
  <c r="DP16" i="5" s="1"/>
  <c r="DN17" i="5"/>
  <c r="DP17" i="5" s="1"/>
  <c r="DN18" i="5"/>
  <c r="DP18" i="5" s="1"/>
  <c r="DN19" i="5"/>
  <c r="DP19" i="5" s="1"/>
  <c r="DN20" i="5"/>
  <c r="DP20" i="5" s="1"/>
  <c r="CF19" i="4"/>
  <c r="CF20" i="4" s="1"/>
  <c r="CH13" i="4" s="1"/>
  <c r="CH15" i="4" s="1"/>
  <c r="CG17" i="4"/>
  <c r="CB17" i="4"/>
  <c r="BY17" i="4"/>
  <c r="BL17" i="4"/>
  <c r="BZ16" i="4"/>
  <c r="BZ17" i="4" s="1"/>
  <c r="BR16" i="4"/>
  <c r="BP16" i="4"/>
  <c r="BP17" i="4" s="1"/>
  <c r="CO13" i="4"/>
  <c r="CQ13" i="4" s="1"/>
  <c r="AT13" i="4"/>
  <c r="BB13" i="4" s="1"/>
  <c r="AS13" i="4"/>
  <c r="BA13" i="4" s="1"/>
  <c r="BI13" i="4" s="1"/>
  <c r="BQ13" i="4" s="1"/>
  <c r="AM13" i="4"/>
  <c r="CP12" i="4"/>
  <c r="CL12" i="4" s="1"/>
  <c r="CO12" i="4"/>
  <c r="CK12" i="4" s="1"/>
  <c r="CH12" i="4"/>
  <c r="CD12" i="4" s="1"/>
  <c r="BZ12" i="4"/>
  <c r="BV12" i="4" s="1"/>
  <c r="BR12" i="4"/>
  <c r="BN12" i="4" s="1"/>
  <c r="BF12" i="4"/>
  <c r="AT12" i="4"/>
  <c r="BB12" i="4" s="1"/>
  <c r="AX12" i="4" s="1"/>
  <c r="AL12" i="4"/>
  <c r="AH12" i="4" s="1"/>
  <c r="AK12" i="4"/>
  <c r="AS12" i="4" s="1"/>
  <c r="AE12" i="4"/>
  <c r="AA12" i="4"/>
  <c r="Z12" i="4"/>
  <c r="Y12" i="4"/>
  <c r="CM11" i="4"/>
  <c r="CE11" i="4"/>
  <c r="BW11" i="4"/>
  <c r="BO11" i="4"/>
  <c r="BG11" i="4"/>
  <c r="AY11" i="4"/>
  <c r="AQ11" i="4"/>
  <c r="AI11" i="4"/>
  <c r="AA11" i="4"/>
  <c r="CM10" i="4"/>
  <c r="CE10" i="4"/>
  <c r="BW10" i="4"/>
  <c r="BO10" i="4"/>
  <c r="BG10" i="4"/>
  <c r="AY10" i="4"/>
  <c r="AQ10" i="4"/>
  <c r="AI10" i="4"/>
  <c r="AA10" i="4"/>
  <c r="CQ9" i="4"/>
  <c r="CI9" i="4"/>
  <c r="CA9" i="4"/>
  <c r="BS9" i="4"/>
  <c r="BK9" i="4"/>
  <c r="BC9" i="4"/>
  <c r="AU9" i="4"/>
  <c r="AM9" i="4"/>
  <c r="AE9" i="4"/>
  <c r="CQ8" i="4"/>
  <c r="CI8" i="4"/>
  <c r="CA8" i="4"/>
  <c r="BS8" i="4"/>
  <c r="BK8" i="4"/>
  <c r="BC8" i="4"/>
  <c r="AU8" i="4"/>
  <c r="AM8" i="4"/>
  <c r="CQ7" i="4"/>
  <c r="CI7" i="4"/>
  <c r="CA7" i="4"/>
  <c r="BS7" i="4"/>
  <c r="BK7" i="4"/>
  <c r="BC7" i="4"/>
  <c r="AU7" i="4"/>
  <c r="AM7" i="4"/>
  <c r="AE7" i="4"/>
  <c r="Z7" i="4"/>
  <c r="Y7" i="4"/>
  <c r="AG7" i="4" s="1"/>
  <c r="AO7" i="4" s="1"/>
  <c r="BC13" i="4" l="1"/>
  <c r="AA7" i="4"/>
  <c r="AE24" i="4"/>
  <c r="CQ12" i="4"/>
  <c r="CQ24" i="4" s="1"/>
  <c r="CM12" i="4"/>
  <c r="BA12" i="4"/>
  <c r="AU12" i="4"/>
  <c r="AO12" i="4"/>
  <c r="BY13" i="4"/>
  <c r="BS13" i="4"/>
  <c r="AQ7" i="4"/>
  <c r="AW7" i="4"/>
  <c r="AA24" i="4"/>
  <c r="AI7" i="4"/>
  <c r="AI24" i="4" s="1"/>
  <c r="AP12" i="4"/>
  <c r="AU13" i="4"/>
  <c r="AG12" i="4"/>
  <c r="AI12" i="4" s="1"/>
  <c r="BK13" i="4"/>
  <c r="AM12" i="4"/>
  <c r="AM24" i="4" s="1"/>
  <c r="AU24" i="4" l="1"/>
  <c r="AQ12" i="4"/>
  <c r="AY7" i="4"/>
  <c r="BE7" i="4"/>
  <c r="BI12" i="4"/>
  <c r="BC12" i="4"/>
  <c r="BC24" i="4" s="1"/>
  <c r="AW12" i="4"/>
  <c r="AY12" i="4" s="1"/>
  <c r="AQ24" i="4"/>
  <c r="CB18" i="4"/>
  <c r="CG13" i="4"/>
  <c r="CA13" i="4"/>
  <c r="BQ12" i="4" l="1"/>
  <c r="BK12" i="4"/>
  <c r="BK24" i="4" s="1"/>
  <c r="BE12" i="4"/>
  <c r="BG12" i="4" s="1"/>
  <c r="CI13" i="4"/>
  <c r="CS13" i="4"/>
  <c r="BM7" i="4"/>
  <c r="BG7" i="4"/>
  <c r="BG24" i="4" s="1"/>
  <c r="AY24" i="4"/>
  <c r="BU7" i="4" l="1"/>
  <c r="BO7" i="4"/>
  <c r="BO24" i="4" s="1"/>
  <c r="BY12" i="4"/>
  <c r="BS12" i="4"/>
  <c r="BS24" i="4" s="1"/>
  <c r="BM12" i="4"/>
  <c r="BO12" i="4" s="1"/>
  <c r="BU12" i="4" l="1"/>
  <c r="BW12" i="4" s="1"/>
  <c r="CG12" i="4"/>
  <c r="CA12" i="4"/>
  <c r="CA24" i="4" s="1"/>
  <c r="BW7" i="4"/>
  <c r="BW24" i="4" s="1"/>
  <c r="CC7" i="4"/>
  <c r="CI12" i="4" l="1"/>
  <c r="CI24" i="4" s="1"/>
  <c r="CS12" i="4"/>
  <c r="CC12" i="4"/>
  <c r="CE12" i="4" s="1"/>
  <c r="CE7" i="4"/>
  <c r="CE24" i="4" s="1"/>
  <c r="CK7" i="4"/>
  <c r="CM7" i="4" s="1"/>
  <c r="CM24" i="4" s="1"/>
  <c r="CK40" i="1" l="1"/>
  <c r="CM40" i="1" s="1"/>
  <c r="CM41" i="1" s="1"/>
  <c r="CM38" i="1"/>
  <c r="CM39" i="1" s="1"/>
  <c r="CK36" i="1"/>
  <c r="CM36" i="1" s="1"/>
  <c r="CM37" i="1" s="1"/>
  <c r="CO33" i="1"/>
  <c r="CQ33" i="1" s="1"/>
  <c r="CK33" i="1"/>
  <c r="CM33" i="1" s="1"/>
  <c r="CM35" i="1" s="1"/>
  <c r="CQ32" i="1"/>
  <c r="CQ31" i="1"/>
  <c r="CM31" i="1"/>
  <c r="CQ28" i="1"/>
  <c r="CO28" i="1"/>
  <c r="CK28" i="1"/>
  <c r="CM28" i="1" s="1"/>
  <c r="CQ27" i="1"/>
  <c r="CQ30" i="1" s="1"/>
  <c r="CQ26" i="1"/>
  <c r="CM26" i="1"/>
  <c r="CO23" i="1"/>
  <c r="CQ23" i="1" s="1"/>
  <c r="CK23" i="1"/>
  <c r="CM23" i="1" s="1"/>
  <c r="CM25" i="1" s="1"/>
  <c r="CQ22" i="1"/>
  <c r="CQ21" i="1"/>
  <c r="CM21" i="1"/>
  <c r="CQ18" i="1"/>
  <c r="CO18" i="1"/>
  <c r="CK18" i="1"/>
  <c r="CM18" i="1" s="1"/>
  <c r="CQ17" i="1"/>
  <c r="CQ20" i="1" s="1"/>
  <c r="CQ16" i="1"/>
  <c r="CM16" i="1"/>
  <c r="CO13" i="1"/>
  <c r="CQ13" i="1" s="1"/>
  <c r="CK13" i="1"/>
  <c r="CM13" i="1" s="1"/>
  <c r="CM15" i="1" s="1"/>
  <c r="CQ12" i="1"/>
  <c r="CQ11" i="1"/>
  <c r="CM11" i="1"/>
  <c r="CQ10" i="1"/>
  <c r="CK9" i="1"/>
  <c r="CM9" i="1" s="1"/>
  <c r="CQ8" i="1"/>
  <c r="CQ7" i="1"/>
  <c r="CM7" i="1"/>
  <c r="CQ15" i="1" l="1"/>
  <c r="CM20" i="1"/>
  <c r="CQ25" i="1"/>
  <c r="CM30" i="1"/>
  <c r="CM10" i="1"/>
  <c r="CM43" i="1"/>
  <c r="CQ35" i="1"/>
  <c r="CQ43" i="1"/>
  <c r="AY41" i="2" l="1"/>
  <c r="AO40" i="2"/>
  <c r="AQ40" i="2" s="1"/>
  <c r="AQ41" i="2" s="1"/>
  <c r="AI40" i="2"/>
  <c r="AI41" i="2" s="1"/>
  <c r="AA40" i="2"/>
  <c r="AA41" i="2" s="1"/>
  <c r="AY39" i="2"/>
  <c r="AP38" i="2"/>
  <c r="AQ38" i="2" s="1"/>
  <c r="AH38" i="2"/>
  <c r="AG38" i="2"/>
  <c r="Z38" i="2"/>
  <c r="AA38" i="2" s="1"/>
  <c r="AP37" i="2"/>
  <c r="AQ37" i="2" s="1"/>
  <c r="AH37" i="2"/>
  <c r="AI37" i="2" s="1"/>
  <c r="Z37" i="2"/>
  <c r="AA37" i="2" s="1"/>
  <c r="AP36" i="2"/>
  <c r="AQ36" i="2" s="1"/>
  <c r="AH36" i="2"/>
  <c r="AI36" i="2" s="1"/>
  <c r="Z36" i="2"/>
  <c r="AA36" i="2" s="1"/>
  <c r="BC35" i="2"/>
  <c r="AY35" i="2"/>
  <c r="AP34" i="2"/>
  <c r="AQ34" i="2" s="1"/>
  <c r="AI34" i="2"/>
  <c r="Z34" i="2"/>
  <c r="AA34" i="2" s="1"/>
  <c r="AT33" i="2"/>
  <c r="AU33" i="2" s="1"/>
  <c r="AU35" i="2" s="1"/>
  <c r="AP33" i="2"/>
  <c r="AQ33" i="2" s="1"/>
  <c r="AQ35" i="2" s="1"/>
  <c r="AL33" i="2"/>
  <c r="AM33" i="2" s="1"/>
  <c r="AM35" i="2" s="1"/>
  <c r="AI33" i="2"/>
  <c r="AD33" i="2"/>
  <c r="AE33" i="2" s="1"/>
  <c r="AE35" i="2" s="1"/>
  <c r="Z33" i="2"/>
  <c r="AA33" i="2" s="1"/>
  <c r="AY32" i="2"/>
  <c r="AP31" i="2"/>
  <c r="AQ31" i="2" s="1"/>
  <c r="AH31" i="2"/>
  <c r="AI31" i="2" s="1"/>
  <c r="Z31" i="2"/>
  <c r="AA31" i="2" s="1"/>
  <c r="AP30" i="2"/>
  <c r="AO30" i="2"/>
  <c r="AH30" i="2"/>
  <c r="AG30" i="2"/>
  <c r="Z30" i="2"/>
  <c r="Y30" i="2"/>
  <c r="AP29" i="2"/>
  <c r="AQ29" i="2" s="1"/>
  <c r="AH29" i="2"/>
  <c r="AI29" i="2" s="1"/>
  <c r="Z29" i="2"/>
  <c r="AA29" i="2" s="1"/>
  <c r="BC28" i="2"/>
  <c r="AY28" i="2"/>
  <c r="AT27" i="2"/>
  <c r="AU27" i="2" s="1"/>
  <c r="AU28" i="2" s="1"/>
  <c r="AP27" i="2"/>
  <c r="AQ27" i="2" s="1"/>
  <c r="AQ28" i="2" s="1"/>
  <c r="AL27" i="2"/>
  <c r="AM27" i="2" s="1"/>
  <c r="AM28" i="2" s="1"/>
  <c r="AH27" i="2"/>
  <c r="AI27" i="2" s="1"/>
  <c r="AI28" i="2" s="1"/>
  <c r="AD27" i="2"/>
  <c r="AE27" i="2" s="1"/>
  <c r="AE28" i="2" s="1"/>
  <c r="Z27" i="2"/>
  <c r="AA27" i="2" s="1"/>
  <c r="AA28" i="2" s="1"/>
  <c r="BC26" i="2"/>
  <c r="AY26" i="2"/>
  <c r="AT25" i="2"/>
  <c r="AU25" i="2" s="1"/>
  <c r="AL25" i="2"/>
  <c r="AM25" i="2" s="1"/>
  <c r="AD25" i="2"/>
  <c r="AE25" i="2" s="1"/>
  <c r="AT24" i="2"/>
  <c r="AU24" i="2" s="1"/>
  <c r="AL24" i="2"/>
  <c r="AM24" i="2" s="1"/>
  <c r="AE24" i="2"/>
  <c r="AD24" i="2"/>
  <c r="AT23" i="2"/>
  <c r="AU23" i="2" s="1"/>
  <c r="AP23" i="2"/>
  <c r="AQ23" i="2" s="1"/>
  <c r="AQ26" i="2" s="1"/>
  <c r="AL23" i="2"/>
  <c r="AM23" i="2" s="1"/>
  <c r="AH23" i="2"/>
  <c r="AI23" i="2" s="1"/>
  <c r="AI26" i="2" s="1"/>
  <c r="AD23" i="2"/>
  <c r="AE23" i="2" s="1"/>
  <c r="Z23" i="2"/>
  <c r="AA23" i="2" s="1"/>
  <c r="AA26" i="2" s="1"/>
  <c r="BC22" i="2"/>
  <c r="AY22" i="2"/>
  <c r="AT21" i="2"/>
  <c r="AU21" i="2" s="1"/>
  <c r="AL21" i="2"/>
  <c r="AM21" i="2" s="1"/>
  <c r="U21" i="2"/>
  <c r="AD21" i="2" s="1"/>
  <c r="AE21" i="2" s="1"/>
  <c r="AT20" i="2"/>
  <c r="AU20" i="2" s="1"/>
  <c r="AL20" i="2"/>
  <c r="AM20" i="2" s="1"/>
  <c r="AD20" i="2"/>
  <c r="AE20" i="2" s="1"/>
  <c r="AT19" i="2"/>
  <c r="AU19" i="2" s="1"/>
  <c r="AP19" i="2"/>
  <c r="AQ19" i="2" s="1"/>
  <c r="AQ22" i="2" s="1"/>
  <c r="AL19" i="2"/>
  <c r="AM19" i="2" s="1"/>
  <c r="AH19" i="2"/>
  <c r="AI19" i="2" s="1"/>
  <c r="AI22" i="2" s="1"/>
  <c r="AD19" i="2"/>
  <c r="AE19" i="2" s="1"/>
  <c r="Z19" i="2"/>
  <c r="AA19" i="2" s="1"/>
  <c r="AA22" i="2" s="1"/>
  <c r="BC18" i="2"/>
  <c r="AY18" i="2"/>
  <c r="AT17" i="2"/>
  <c r="AU17" i="2" s="1"/>
  <c r="AL17" i="2"/>
  <c r="AM17" i="2" s="1"/>
  <c r="AD17" i="2"/>
  <c r="AE17" i="2" s="1"/>
  <c r="AT16" i="2"/>
  <c r="AU16" i="2" s="1"/>
  <c r="AL16" i="2"/>
  <c r="AM16" i="2" s="1"/>
  <c r="AD16" i="2"/>
  <c r="AE16" i="2" s="1"/>
  <c r="AT15" i="2"/>
  <c r="AU15" i="2" s="1"/>
  <c r="AP15" i="2"/>
  <c r="AQ15" i="2" s="1"/>
  <c r="AQ18" i="2" s="1"/>
  <c r="AL15" i="2"/>
  <c r="AM15" i="2" s="1"/>
  <c r="AH15" i="2"/>
  <c r="AI15" i="2" s="1"/>
  <c r="AI18" i="2" s="1"/>
  <c r="AD15" i="2"/>
  <c r="AE15" i="2" s="1"/>
  <c r="Z15" i="2"/>
  <c r="AA15" i="2" s="1"/>
  <c r="AA18" i="2" s="1"/>
  <c r="BC14" i="2"/>
  <c r="AY14" i="2"/>
  <c r="AT13" i="2"/>
  <c r="AU13" i="2" s="1"/>
  <c r="AL13" i="2"/>
  <c r="AM13" i="2" s="1"/>
  <c r="AD13" i="2"/>
  <c r="AE13" i="2" s="1"/>
  <c r="AT12" i="2"/>
  <c r="AU12" i="2" s="1"/>
  <c r="AL12" i="2"/>
  <c r="AM12" i="2" s="1"/>
  <c r="AD12" i="2"/>
  <c r="AE12" i="2" s="1"/>
  <c r="AT11" i="2"/>
  <c r="AU11" i="2" s="1"/>
  <c r="AP11" i="2"/>
  <c r="AQ11" i="2" s="1"/>
  <c r="AQ14" i="2" s="1"/>
  <c r="AL11" i="2"/>
  <c r="AM11" i="2" s="1"/>
  <c r="AH11" i="2"/>
  <c r="AI11" i="2" s="1"/>
  <c r="AI14" i="2" s="1"/>
  <c r="AD11" i="2"/>
  <c r="AE11" i="2" s="1"/>
  <c r="AE14" i="2" s="1"/>
  <c r="Z11" i="2"/>
  <c r="AA11" i="2" s="1"/>
  <c r="AA14" i="2" s="1"/>
  <c r="BC10" i="2"/>
  <c r="AY10" i="2"/>
  <c r="AT9" i="2"/>
  <c r="AL9" i="2"/>
  <c r="AD9" i="2"/>
  <c r="AT8" i="2"/>
  <c r="AS8" i="2"/>
  <c r="AL8" i="2"/>
  <c r="AK8" i="2"/>
  <c r="AD8" i="2"/>
  <c r="AC8" i="2"/>
  <c r="AW7" i="2"/>
  <c r="AT7" i="2"/>
  <c r="AS7" i="2"/>
  <c r="AP7" i="2"/>
  <c r="AO7" i="2"/>
  <c r="AL7" i="2"/>
  <c r="AM7" i="2" s="1"/>
  <c r="AK7" i="2"/>
  <c r="AH7" i="2"/>
  <c r="AG7" i="2"/>
  <c r="AK9" i="2" s="1"/>
  <c r="AD7" i="2"/>
  <c r="AC7" i="2"/>
  <c r="Z7" i="2"/>
  <c r="Y7" i="2"/>
  <c r="AA7" i="2" s="1"/>
  <c r="AA10" i="2" s="1"/>
  <c r="AU8" i="2" l="1"/>
  <c r="AI35" i="2"/>
  <c r="AA35" i="2"/>
  <c r="AE26" i="2"/>
  <c r="AQ30" i="2"/>
  <c r="AQ32" i="2" s="1"/>
  <c r="AU22" i="2"/>
  <c r="AA39" i="2"/>
  <c r="AU26" i="2"/>
  <c r="AI7" i="2"/>
  <c r="AI10" i="2" s="1"/>
  <c r="BC44" i="2"/>
  <c r="AM8" i="2"/>
  <c r="AM18" i="2"/>
  <c r="AI38" i="2"/>
  <c r="AI39" i="2" s="1"/>
  <c r="AE7" i="2"/>
  <c r="AU7" i="2"/>
  <c r="AU10" i="2" s="1"/>
  <c r="AE18" i="2"/>
  <c r="AU18" i="2"/>
  <c r="AA30" i="2"/>
  <c r="AA32" i="2" s="1"/>
  <c r="AA44" i="2" s="1"/>
  <c r="AI30" i="2"/>
  <c r="AM9" i="2"/>
  <c r="AM10" i="2" s="1"/>
  <c r="AM14" i="2"/>
  <c r="AM22" i="2"/>
  <c r="AU14" i="2"/>
  <c r="AE22" i="2"/>
  <c r="AQ39" i="2"/>
  <c r="AM26" i="2"/>
  <c r="AS9" i="2"/>
  <c r="AU9" i="2" s="1"/>
  <c r="AQ7" i="2"/>
  <c r="AQ10" i="2" s="1"/>
  <c r="AE8" i="2"/>
  <c r="AC9" i="2"/>
  <c r="AE9" i="2" s="1"/>
  <c r="AY44" i="2"/>
  <c r="AI32" i="2"/>
  <c r="AQ44" i="2" l="1"/>
  <c r="AE10" i="2"/>
  <c r="AE44" i="2" s="1"/>
  <c r="AU44" i="2"/>
  <c r="AI44" i="2"/>
  <c r="AM44" i="2"/>
  <c r="AI41" i="1"/>
  <c r="CE40" i="1"/>
  <c r="CE41" i="1" s="1"/>
  <c r="CC40" i="1"/>
  <c r="BU40" i="1"/>
  <c r="BW40" i="1" s="1"/>
  <c r="BW41" i="1" s="1"/>
  <c r="BO40" i="1"/>
  <c r="BO41" i="1" s="1"/>
  <c r="BM40" i="1"/>
  <c r="BE40" i="1"/>
  <c r="BG40" i="1" s="1"/>
  <c r="BG41" i="1" s="1"/>
  <c r="AX40" i="1"/>
  <c r="AY40" i="1" s="1"/>
  <c r="AY41" i="1" s="1"/>
  <c r="AW40" i="1"/>
  <c r="AO40" i="1"/>
  <c r="AQ40" i="1" s="1"/>
  <c r="AQ41" i="1" s="1"/>
  <c r="Z40" i="1"/>
  <c r="Y40" i="1"/>
  <c r="AI39" i="1"/>
  <c r="CE38" i="1"/>
  <c r="CE39" i="1" s="1"/>
  <c r="BW38" i="1"/>
  <c r="BW39" i="1" s="1"/>
  <c r="BO38" i="1"/>
  <c r="BO39" i="1" s="1"/>
  <c r="BG38" i="1"/>
  <c r="BG39" i="1" s="1"/>
  <c r="AY38" i="1"/>
  <c r="AY39" i="1" s="1"/>
  <c r="AX38" i="1"/>
  <c r="AP38" i="1"/>
  <c r="AQ38" i="1" s="1"/>
  <c r="AQ39" i="1" s="1"/>
  <c r="AA38" i="1"/>
  <c r="AA39" i="1" s="1"/>
  <c r="Z38" i="1"/>
  <c r="AI37" i="1"/>
  <c r="CC36" i="1"/>
  <c r="CE36" i="1" s="1"/>
  <c r="CE37" i="1" s="1"/>
  <c r="BW36" i="1"/>
  <c r="BW37" i="1" s="1"/>
  <c r="BU36" i="1"/>
  <c r="BM36" i="1"/>
  <c r="BO36" i="1" s="1"/>
  <c r="BO37" i="1" s="1"/>
  <c r="BG36" i="1"/>
  <c r="BG37" i="1" s="1"/>
  <c r="BE36" i="1"/>
  <c r="AX36" i="1"/>
  <c r="AW36" i="1"/>
  <c r="AY36" i="1" s="1"/>
  <c r="AY37" i="1" s="1"/>
  <c r="AP36" i="1"/>
  <c r="AO36" i="1"/>
  <c r="Z36" i="1"/>
  <c r="Y36" i="1"/>
  <c r="AA36" i="1" s="1"/>
  <c r="AA37" i="1" s="1"/>
  <c r="AM35" i="1"/>
  <c r="AI35" i="1"/>
  <c r="BI34" i="1"/>
  <c r="BK34" i="1" s="1"/>
  <c r="BB34" i="1"/>
  <c r="BA34" i="1"/>
  <c r="AT34" i="1"/>
  <c r="AS34" i="1"/>
  <c r="AU34" i="1" s="1"/>
  <c r="AD34" i="1"/>
  <c r="AC34" i="1"/>
  <c r="AE34" i="1" s="1"/>
  <c r="CG33" i="1"/>
  <c r="CI33" i="1" s="1"/>
  <c r="CC33" i="1"/>
  <c r="CE33" i="1" s="1"/>
  <c r="BY33" i="1"/>
  <c r="CA33" i="1" s="1"/>
  <c r="BW33" i="1"/>
  <c r="BU33" i="1"/>
  <c r="BQ33" i="1"/>
  <c r="BS33" i="1" s="1"/>
  <c r="BM33" i="1"/>
  <c r="BO33" i="1" s="1"/>
  <c r="BI33" i="1"/>
  <c r="BK33" i="1" s="1"/>
  <c r="BE33" i="1"/>
  <c r="BG33" i="1" s="1"/>
  <c r="BB33" i="1"/>
  <c r="BA33" i="1"/>
  <c r="AX33" i="1"/>
  <c r="AW33" i="1"/>
  <c r="AY33" i="1" s="1"/>
  <c r="AU33" i="1"/>
  <c r="AT33" i="1"/>
  <c r="AS33" i="1"/>
  <c r="AP33" i="1"/>
  <c r="AQ33" i="1" s="1"/>
  <c r="AO33" i="1"/>
  <c r="AD33" i="1"/>
  <c r="AC33" i="1"/>
  <c r="AE33" i="1" s="1"/>
  <c r="Z33" i="1"/>
  <c r="Y33" i="1"/>
  <c r="CI32" i="1"/>
  <c r="CA32" i="1"/>
  <c r="BS32" i="1"/>
  <c r="BK32" i="1"/>
  <c r="BB32" i="1"/>
  <c r="BC32" i="1" s="1"/>
  <c r="AT32" i="1"/>
  <c r="AU32" i="1" s="1"/>
  <c r="AD32" i="1"/>
  <c r="AE32" i="1" s="1"/>
  <c r="CI31" i="1"/>
  <c r="CE31" i="1"/>
  <c r="CA31" i="1"/>
  <c r="BW31" i="1"/>
  <c r="BS31" i="1"/>
  <c r="BO31" i="1"/>
  <c r="BK31" i="1"/>
  <c r="BG31" i="1"/>
  <c r="BB31" i="1"/>
  <c r="BC31" i="1" s="1"/>
  <c r="AY31" i="1"/>
  <c r="AX31" i="1"/>
  <c r="AT31" i="1"/>
  <c r="AU31" i="1" s="1"/>
  <c r="AP31" i="1"/>
  <c r="AQ31" i="1" s="1"/>
  <c r="AD31" i="1"/>
  <c r="AE31" i="1" s="1"/>
  <c r="Z31" i="1"/>
  <c r="AA31" i="1" s="1"/>
  <c r="AM30" i="1"/>
  <c r="AI30" i="1"/>
  <c r="BI29" i="1"/>
  <c r="BK29" i="1" s="1"/>
  <c r="BB29" i="1"/>
  <c r="BC29" i="1" s="1"/>
  <c r="BA29" i="1"/>
  <c r="AT29" i="1"/>
  <c r="AS29" i="1"/>
  <c r="AU29" i="1" s="1"/>
  <c r="AD29" i="1"/>
  <c r="AC29" i="1"/>
  <c r="AE29" i="1" s="1"/>
  <c r="CG28" i="1"/>
  <c r="CI28" i="1" s="1"/>
  <c r="CE28" i="1"/>
  <c r="CE30" i="1" s="1"/>
  <c r="CC28" i="1"/>
  <c r="BY28" i="1"/>
  <c r="CA28" i="1" s="1"/>
  <c r="BU28" i="1"/>
  <c r="BW28" i="1" s="1"/>
  <c r="BQ28" i="1"/>
  <c r="BS28" i="1" s="1"/>
  <c r="BM28" i="1"/>
  <c r="BO28" i="1" s="1"/>
  <c r="BO30" i="1" s="1"/>
  <c r="BI28" i="1"/>
  <c r="BK28" i="1" s="1"/>
  <c r="BE28" i="1"/>
  <c r="BG28" i="1" s="1"/>
  <c r="BB28" i="1"/>
  <c r="BA28" i="1"/>
  <c r="BC28" i="1" s="1"/>
  <c r="AX28" i="1"/>
  <c r="AW28" i="1"/>
  <c r="AY28" i="1" s="1"/>
  <c r="AU28" i="1"/>
  <c r="AT28" i="1"/>
  <c r="AS28" i="1"/>
  <c r="AP28" i="1"/>
  <c r="AO28" i="1"/>
  <c r="AQ28" i="1" s="1"/>
  <c r="AD28" i="1"/>
  <c r="AE28" i="1" s="1"/>
  <c r="Z28" i="1"/>
  <c r="Y28" i="1"/>
  <c r="AA28" i="1" s="1"/>
  <c r="CI27" i="1"/>
  <c r="CA27" i="1"/>
  <c r="BS27" i="1"/>
  <c r="BK27" i="1"/>
  <c r="BB27" i="1"/>
  <c r="BC27" i="1" s="1"/>
  <c r="AT27" i="1"/>
  <c r="AU27" i="1" s="1"/>
  <c r="AD27" i="1"/>
  <c r="AE27" i="1" s="1"/>
  <c r="CI26" i="1"/>
  <c r="CE26" i="1"/>
  <c r="CA26" i="1"/>
  <c r="BW26" i="1"/>
  <c r="BS26" i="1"/>
  <c r="BO26" i="1"/>
  <c r="BK26" i="1"/>
  <c r="BG26" i="1"/>
  <c r="BB26" i="1"/>
  <c r="BC26" i="1" s="1"/>
  <c r="AX26" i="1"/>
  <c r="AY26" i="1" s="1"/>
  <c r="AU26" i="1"/>
  <c r="AT26" i="1"/>
  <c r="AP26" i="1"/>
  <c r="AQ26" i="1" s="1"/>
  <c r="AD26" i="1"/>
  <c r="AE26" i="1" s="1"/>
  <c r="AE30" i="1" s="1"/>
  <c r="Z26" i="1"/>
  <c r="AA26" i="1" s="1"/>
  <c r="AM25" i="1"/>
  <c r="AI25" i="1"/>
  <c r="BI24" i="1"/>
  <c r="BK24" i="1" s="1"/>
  <c r="BB24" i="1"/>
  <c r="BA24" i="1"/>
  <c r="BC24" i="1" s="1"/>
  <c r="AT24" i="1"/>
  <c r="AS24" i="1"/>
  <c r="AU24" i="1" s="1"/>
  <c r="AD24" i="1"/>
  <c r="AE24" i="1" s="1"/>
  <c r="AC24" i="1"/>
  <c r="CG23" i="1"/>
  <c r="CI23" i="1" s="1"/>
  <c r="CC23" i="1"/>
  <c r="CE23" i="1" s="1"/>
  <c r="BY23" i="1"/>
  <c r="CA23" i="1" s="1"/>
  <c r="BU23" i="1"/>
  <c r="BW23" i="1" s="1"/>
  <c r="BS23" i="1"/>
  <c r="BS25" i="1" s="1"/>
  <c r="BQ23" i="1"/>
  <c r="BM23" i="1"/>
  <c r="BO23" i="1" s="1"/>
  <c r="BI23" i="1"/>
  <c r="BK23" i="1" s="1"/>
  <c r="BE23" i="1"/>
  <c r="BG23" i="1" s="1"/>
  <c r="BB23" i="1"/>
  <c r="BA23" i="1"/>
  <c r="BC23" i="1" s="1"/>
  <c r="AX23" i="1"/>
  <c r="AW23" i="1"/>
  <c r="AT23" i="1"/>
  <c r="AS23" i="1"/>
  <c r="AU23" i="1" s="1"/>
  <c r="AP23" i="1"/>
  <c r="AO23" i="1"/>
  <c r="AQ23" i="1" s="1"/>
  <c r="AE23" i="1"/>
  <c r="AD23" i="1"/>
  <c r="Z23" i="1"/>
  <c r="Y23" i="1"/>
  <c r="AA23" i="1" s="1"/>
  <c r="CI22" i="1"/>
  <c r="CA22" i="1"/>
  <c r="BS22" i="1"/>
  <c r="BK22" i="1"/>
  <c r="BC22" i="1"/>
  <c r="BB22" i="1"/>
  <c r="AT22" i="1"/>
  <c r="AU22" i="1" s="1"/>
  <c r="AD22" i="1"/>
  <c r="AE22" i="1" s="1"/>
  <c r="CI21" i="1"/>
  <c r="CE21" i="1"/>
  <c r="CA21" i="1"/>
  <c r="BW21" i="1"/>
  <c r="BS21" i="1"/>
  <c r="BO21" i="1"/>
  <c r="BO25" i="1" s="1"/>
  <c r="BK21" i="1"/>
  <c r="BG21" i="1"/>
  <c r="BB21" i="1"/>
  <c r="BC21" i="1" s="1"/>
  <c r="AX21" i="1"/>
  <c r="AY21" i="1" s="1"/>
  <c r="AT21" i="1"/>
  <c r="AU21" i="1" s="1"/>
  <c r="AP21" i="1"/>
  <c r="AQ21" i="1" s="1"/>
  <c r="AQ25" i="1" s="1"/>
  <c r="AD21" i="1"/>
  <c r="AE21" i="1" s="1"/>
  <c r="AA21" i="1"/>
  <c r="Z21" i="1"/>
  <c r="AM20" i="1"/>
  <c r="AI20" i="1"/>
  <c r="BI19" i="1"/>
  <c r="BK19" i="1" s="1"/>
  <c r="BB19" i="1"/>
  <c r="BA19" i="1"/>
  <c r="BC19" i="1" s="1"/>
  <c r="AU19" i="1"/>
  <c r="AT19" i="1"/>
  <c r="AS19" i="1"/>
  <c r="AD19" i="1"/>
  <c r="AC19" i="1"/>
  <c r="AE19" i="1" s="1"/>
  <c r="CG18" i="1"/>
  <c r="CI18" i="1" s="1"/>
  <c r="CC18" i="1"/>
  <c r="CE18" i="1" s="1"/>
  <c r="CE20" i="1" s="1"/>
  <c r="BY18" i="1"/>
  <c r="CA18" i="1" s="1"/>
  <c r="BU18" i="1"/>
  <c r="BW18" i="1" s="1"/>
  <c r="BQ18" i="1"/>
  <c r="BS18" i="1" s="1"/>
  <c r="BO18" i="1"/>
  <c r="BO20" i="1" s="1"/>
  <c r="BM18" i="1"/>
  <c r="BI18" i="1"/>
  <c r="BK18" i="1" s="1"/>
  <c r="BE18" i="1"/>
  <c r="BG18" i="1" s="1"/>
  <c r="BB18" i="1"/>
  <c r="BA18" i="1"/>
  <c r="BC18" i="1" s="1"/>
  <c r="AX18" i="1"/>
  <c r="AY18" i="1" s="1"/>
  <c r="AW18" i="1"/>
  <c r="AT18" i="1"/>
  <c r="AS18" i="1"/>
  <c r="AU18" i="1" s="1"/>
  <c r="AP18" i="1"/>
  <c r="AO18" i="1"/>
  <c r="AQ18" i="1" s="1"/>
  <c r="AD18" i="1"/>
  <c r="AC18" i="1"/>
  <c r="AE18" i="1" s="1"/>
  <c r="Z18" i="1"/>
  <c r="Y18" i="1"/>
  <c r="AA18" i="1" s="1"/>
  <c r="CI17" i="1"/>
  <c r="CA17" i="1"/>
  <c r="BS17" i="1"/>
  <c r="BK17" i="1"/>
  <c r="BC17" i="1"/>
  <c r="BB17" i="1"/>
  <c r="AT17" i="1"/>
  <c r="AU17" i="1" s="1"/>
  <c r="AD17" i="1"/>
  <c r="AE17" i="1" s="1"/>
  <c r="CI16" i="1"/>
  <c r="CE16" i="1"/>
  <c r="CA16" i="1"/>
  <c r="BW16" i="1"/>
  <c r="BS16" i="1"/>
  <c r="BO16" i="1"/>
  <c r="BK16" i="1"/>
  <c r="BG16" i="1"/>
  <c r="BB16" i="1"/>
  <c r="BC16" i="1" s="1"/>
  <c r="AX16" i="1"/>
  <c r="AY16" i="1" s="1"/>
  <c r="AY20" i="1" s="1"/>
  <c r="AT16" i="1"/>
  <c r="AU16" i="1" s="1"/>
  <c r="AP16" i="1"/>
  <c r="AQ16" i="1" s="1"/>
  <c r="AD16" i="1"/>
  <c r="AE16" i="1" s="1"/>
  <c r="AA16" i="1"/>
  <c r="Z16" i="1"/>
  <c r="AM15" i="1"/>
  <c r="AI15" i="1"/>
  <c r="BI14" i="1"/>
  <c r="BK14" i="1" s="1"/>
  <c r="BB14" i="1"/>
  <c r="BA14" i="1"/>
  <c r="BC14" i="1" s="1"/>
  <c r="AT14" i="1"/>
  <c r="AS14" i="1"/>
  <c r="AD14" i="1"/>
  <c r="AC14" i="1"/>
  <c r="AE14" i="1" s="1"/>
  <c r="CI13" i="1"/>
  <c r="CG13" i="1"/>
  <c r="CC13" i="1"/>
  <c r="CE13" i="1" s="1"/>
  <c r="BY13" i="1"/>
  <c r="CA13" i="1" s="1"/>
  <c r="BU13" i="1"/>
  <c r="BW13" i="1" s="1"/>
  <c r="BQ13" i="1"/>
  <c r="BS13" i="1" s="1"/>
  <c r="BM13" i="1"/>
  <c r="BO13" i="1" s="1"/>
  <c r="BI13" i="1"/>
  <c r="BK13" i="1" s="1"/>
  <c r="BE13" i="1"/>
  <c r="BG13" i="1" s="1"/>
  <c r="BC13" i="1"/>
  <c r="BB13" i="1"/>
  <c r="BA13" i="1"/>
  <c r="AX13" i="1"/>
  <c r="AY13" i="1" s="1"/>
  <c r="AW13" i="1"/>
  <c r="AT13" i="1"/>
  <c r="AS13" i="1"/>
  <c r="AU13" i="1" s="1"/>
  <c r="AP13" i="1"/>
  <c r="AO13" i="1"/>
  <c r="AD13" i="1"/>
  <c r="AC13" i="1"/>
  <c r="AA13" i="1"/>
  <c r="Z13" i="1"/>
  <c r="Y13" i="1"/>
  <c r="CI12" i="1"/>
  <c r="CA12" i="1"/>
  <c r="BS12" i="1"/>
  <c r="BK12" i="1"/>
  <c r="BB12" i="1"/>
  <c r="BC12" i="1" s="1"/>
  <c r="AT12" i="1"/>
  <c r="AU12" i="1" s="1"/>
  <c r="AD12" i="1"/>
  <c r="AE12" i="1" s="1"/>
  <c r="CI11" i="1"/>
  <c r="CE11" i="1"/>
  <c r="CE15" i="1" s="1"/>
  <c r="CA11" i="1"/>
  <c r="BW11" i="1"/>
  <c r="BW15" i="1" s="1"/>
  <c r="BS11" i="1"/>
  <c r="BO11" i="1"/>
  <c r="BK11" i="1"/>
  <c r="BG11" i="1"/>
  <c r="BB11" i="1"/>
  <c r="BC11" i="1" s="1"/>
  <c r="AX11" i="1"/>
  <c r="AY11" i="1" s="1"/>
  <c r="AT11" i="1"/>
  <c r="AU11" i="1" s="1"/>
  <c r="AP11" i="1"/>
  <c r="AQ11" i="1" s="1"/>
  <c r="AD11" i="1"/>
  <c r="AE11" i="1" s="1"/>
  <c r="Z11" i="1"/>
  <c r="AA11" i="1" s="1"/>
  <c r="AM10" i="1"/>
  <c r="AM43" i="1" s="1"/>
  <c r="AI10" i="1"/>
  <c r="CC9" i="1"/>
  <c r="CE9" i="1" s="1"/>
  <c r="BU9" i="1"/>
  <c r="BW9" i="1" s="1"/>
  <c r="BM9" i="1"/>
  <c r="BO9" i="1" s="1"/>
  <c r="BE9" i="1"/>
  <c r="BG9" i="1" s="1"/>
  <c r="AX9" i="1"/>
  <c r="AW9" i="1"/>
  <c r="AQ9" i="1"/>
  <c r="AP9" i="1"/>
  <c r="AO9" i="1"/>
  <c r="Z9" i="1"/>
  <c r="Y9" i="1"/>
  <c r="AA9" i="1" s="1"/>
  <c r="CI8" i="1"/>
  <c r="CG8" i="1"/>
  <c r="BY8" i="1"/>
  <c r="CA8" i="1" s="1"/>
  <c r="BS8" i="1"/>
  <c r="BQ8" i="1"/>
  <c r="BI8" i="1"/>
  <c r="BK8" i="1" s="1"/>
  <c r="BB8" i="1"/>
  <c r="BA8" i="1"/>
  <c r="AT8" i="1"/>
  <c r="AU8" i="1" s="1"/>
  <c r="AD8" i="1"/>
  <c r="AE8" i="1" s="1"/>
  <c r="CG7" i="1"/>
  <c r="CI7" i="1" s="1"/>
  <c r="CI10" i="1" s="1"/>
  <c r="CC7" i="1"/>
  <c r="CE7" i="1" s="1"/>
  <c r="CE10" i="1" s="1"/>
  <c r="BY7" i="1"/>
  <c r="CA7" i="1" s="1"/>
  <c r="BU7" i="1"/>
  <c r="BW7" i="1" s="1"/>
  <c r="BQ7" i="1"/>
  <c r="BS7" i="1" s="1"/>
  <c r="BS10" i="1" s="1"/>
  <c r="BM7" i="1"/>
  <c r="BO7" i="1" s="1"/>
  <c r="BI7" i="1"/>
  <c r="BK7" i="1" s="1"/>
  <c r="BE7" i="1"/>
  <c r="BG7" i="1" s="1"/>
  <c r="BB7" i="1"/>
  <c r="BA7" i="1"/>
  <c r="AX7" i="1"/>
  <c r="AY7" i="1" s="1"/>
  <c r="AW7" i="1"/>
  <c r="AT7" i="1"/>
  <c r="AU7" i="1" s="1"/>
  <c r="AP7" i="1"/>
  <c r="AQ7" i="1" s="1"/>
  <c r="AD7" i="1"/>
  <c r="AE7" i="1" s="1"/>
  <c r="AE10" i="1" s="1"/>
  <c r="Z7" i="1"/>
  <c r="AA7" i="1" s="1"/>
  <c r="BC30" i="1" l="1"/>
  <c r="AQ35" i="1"/>
  <c r="BG20" i="1"/>
  <c r="CA10" i="1"/>
  <c r="AA15" i="1"/>
  <c r="BO15" i="1"/>
  <c r="BK20" i="1"/>
  <c r="BK25" i="1"/>
  <c r="BO10" i="1"/>
  <c r="BC8" i="1"/>
  <c r="AY9" i="1"/>
  <c r="AY10" i="1" s="1"/>
  <c r="BS15" i="1"/>
  <c r="CI15" i="1"/>
  <c r="AE13" i="1"/>
  <c r="CE25" i="1"/>
  <c r="AY23" i="1"/>
  <c r="AY25" i="1" s="1"/>
  <c r="AQ30" i="1"/>
  <c r="CA30" i="1"/>
  <c r="AU35" i="1"/>
  <c r="BG35" i="1"/>
  <c r="BW35" i="1"/>
  <c r="BS35" i="1"/>
  <c r="AQ10" i="1"/>
  <c r="AE20" i="1"/>
  <c r="AE25" i="1"/>
  <c r="CA25" i="1"/>
  <c r="AA10" i="1"/>
  <c r="BC7" i="1"/>
  <c r="AI43" i="1"/>
  <c r="AQ13" i="1"/>
  <c r="AQ15" i="1" s="1"/>
  <c r="AU14" i="1"/>
  <c r="CI20" i="1"/>
  <c r="BC25" i="1"/>
  <c r="BG25" i="1"/>
  <c r="AA30" i="1"/>
  <c r="BS30" i="1"/>
  <c r="BK35" i="1"/>
  <c r="AA33" i="1"/>
  <c r="AA35" i="1" s="1"/>
  <c r="BC33" i="1"/>
  <c r="BC34" i="1"/>
  <c r="AA40" i="1"/>
  <c r="AA41" i="1" s="1"/>
  <c r="CA15" i="1"/>
  <c r="AA20" i="1"/>
  <c r="BW20" i="1"/>
  <c r="CI25" i="1"/>
  <c r="AU30" i="1"/>
  <c r="BG30" i="1"/>
  <c r="BW30" i="1"/>
  <c r="BO35" i="1"/>
  <c r="CE35" i="1"/>
  <c r="CI35" i="1"/>
  <c r="AQ36" i="1"/>
  <c r="AQ37" i="1" s="1"/>
  <c r="BK15" i="1"/>
  <c r="BK10" i="1"/>
  <c r="AY15" i="1"/>
  <c r="CA20" i="1"/>
  <c r="AA25" i="1"/>
  <c r="BW25" i="1"/>
  <c r="AY30" i="1"/>
  <c r="BC35" i="1"/>
  <c r="AU10" i="1"/>
  <c r="BO43" i="1"/>
  <c r="CE43" i="1"/>
  <c r="AE15" i="1"/>
  <c r="BC15" i="1"/>
  <c r="BC10" i="1"/>
  <c r="BC43" i="1" s="1"/>
  <c r="CI43" i="1"/>
  <c r="AQ20" i="1"/>
  <c r="BS20" i="1"/>
  <c r="CI30" i="1"/>
  <c r="BS43" i="1"/>
  <c r="BG15" i="1"/>
  <c r="BC20" i="1"/>
  <c r="AE35" i="1"/>
  <c r="CA35" i="1"/>
  <c r="CA43" i="1" s="1"/>
  <c r="AE43" i="1"/>
  <c r="BG10" i="1"/>
  <c r="BW10" i="1"/>
  <c r="BW43" i="1" s="1"/>
  <c r="AU15" i="1"/>
  <c r="AU20" i="1"/>
  <c r="AU25" i="1"/>
  <c r="BK30" i="1"/>
  <c r="BK43" i="1" s="1"/>
  <c r="AY35" i="1"/>
  <c r="AY43" i="1" l="1"/>
  <c r="AQ43" i="1"/>
  <c r="AA43" i="1"/>
  <c r="BG43" i="1"/>
  <c r="AU4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tc={EC9868FB-B775-43D9-AE81-2C308839412D}</author>
    <author>tc={FCED751F-56BB-4970-A5D0-ABC96C6025ED}</author>
    <author>tc={3B3CF0D7-9C46-49E4-B539-221A36D00DE0}</author>
  </authors>
  <commentList>
    <comment ref="CB26" authorId="0" shapeId="0" xr:uid="{EC9868FB-B775-43D9-AE81-2C308839412D}">
      <text>
        <t>[Comentario encadenado]
Su versión de Excel le permite leer este comentario encadenado; sin embargo, las ediciones que se apliquen se quitarán si el archivo se abre en una versión más reciente de Excel. Más información: https://go.microsoft.com/fwlink/?linkid=870924
Comentario:
    Aclarar que las evidencias que se tienen no corresponden a una transferencia como tal sino a un proceso de transferencia que aún no se ha llevado a cabo, por las razones xxxxx</t>
      </text>
    </comment>
    <comment ref="CJ26" authorId="1" shapeId="0" xr:uid="{FCED751F-56BB-4970-A5D0-ABC96C6025ED}">
      <text>
        <t>[Comentario encadenado]
Su versión de Excel le permite leer este comentario encadenado; sin embargo, las ediciones que se apliquen se quitarán si el archivo se abre en una versión más reciente de Excel. Más información: https://go.microsoft.com/fwlink/?linkid=870924
Comentario:
    Con base en lo anterior evaluar si el porcentaje de avance sigue siendo el mismo.</t>
      </text>
    </comment>
    <comment ref="CR26" authorId="2" shapeId="0" xr:uid="{3B3CF0D7-9C46-49E4-B539-221A36D00DE0}">
      <text>
        <t>[Comentario encadenado]
Su versión de Excel le permite leer este comentario encadenado; sin embargo, las ediciones que se apliquen se quitarán si el archivo se abre en una versión más reciente de Excel. Más información: https://go.microsoft.com/fwlink/?linkid=870924
Comentario:
    Con base en lo anterior evaluar si el porcentaje de avance sigue siendo el mismo.</t>
      </text>
    </comment>
  </commentList>
</comments>
</file>

<file path=xl/sharedStrings.xml><?xml version="1.0" encoding="utf-8"?>
<sst xmlns="http://schemas.openxmlformats.org/spreadsheetml/2006/main" count="5543" uniqueCount="1971">
  <si>
    <t>FORMULACIÓN Y SEGUIMIENTO DEL PLAN DE ACCIÓN INSTITUCIONAL 2020</t>
  </si>
  <si>
    <t>Fecha:</t>
  </si>
  <si>
    <t>Versión:</t>
  </si>
  <si>
    <t>Código:</t>
  </si>
  <si>
    <t>PE-F-1</t>
  </si>
  <si>
    <t>ARTICULACIÓN</t>
  </si>
  <si>
    <t>INDICADOR DE PRODUCTO</t>
  </si>
  <si>
    <t>INDICADOR DE GESTIÓN</t>
  </si>
  <si>
    <t>RECURSOS</t>
  </si>
  <si>
    <t>RESPONSABLE</t>
  </si>
  <si>
    <t>REPORTE AVANCE MENSUAL ENERO</t>
  </si>
  <si>
    <t>REPORTE AVANCE MENSUAL FEBRERO</t>
  </si>
  <si>
    <t>REPORTE AVANCE MENSUAL MARZO</t>
  </si>
  <si>
    <t>REPORTE AVANCE MENSUAL ABRIL</t>
  </si>
  <si>
    <t>REPORTE AVANCE MENSUAL MAYO</t>
  </si>
  <si>
    <t>REPORTE AVANCE MENSUAL JUNIO</t>
  </si>
  <si>
    <t>REPORTE AVANCE MENSUAL JULIO</t>
  </si>
  <si>
    <t>PLAN NACIONAL DE DESARROLLO - PND</t>
  </si>
  <si>
    <t>PLAN ESTRATÉGICO INSTITUCIONAL</t>
  </si>
  <si>
    <t>MODELO INTEGRADO DE PLANEACIÓN Y GESTIÓN - MIPG</t>
  </si>
  <si>
    <t>SISTEMA DE GESTION DE LA  CALIDAD</t>
  </si>
  <si>
    <t>DEPENDENCIA</t>
  </si>
  <si>
    <t>GRUPO</t>
  </si>
  <si>
    <t>Avance indicador de producto</t>
  </si>
  <si>
    <t>Avance indicador de gestión</t>
  </si>
  <si>
    <t>Nombre/Periodo PND</t>
  </si>
  <si>
    <t>Capitulo</t>
  </si>
  <si>
    <t>Objetivo del Capítulo</t>
  </si>
  <si>
    <t>Línea Estratégica</t>
  </si>
  <si>
    <t>Dimensión</t>
  </si>
  <si>
    <t>Política MIPG</t>
  </si>
  <si>
    <t>Macroproceso</t>
  </si>
  <si>
    <t>Proceso</t>
  </si>
  <si>
    <t>Subproceso</t>
  </si>
  <si>
    <t>FÓRMULA INDICADOR DE PRODUCTO</t>
  </si>
  <si>
    <t>UNIDAD DE MEDIDA</t>
  </si>
  <si>
    <t>LÍNEA BASE</t>
  </si>
  <si>
    <t>META DE PRODUCTO</t>
  </si>
  <si>
    <t>FÓRMULA INDICADOR DE GESTIÓN</t>
  </si>
  <si>
    <t>META DE GESTIÓN</t>
  </si>
  <si>
    <t>POR GRUPO</t>
  </si>
  <si>
    <t>POR DEPENDENCIA</t>
  </si>
  <si>
    <t>Responsable</t>
  </si>
  <si>
    <t>Avance mes</t>
  </si>
  <si>
    <t xml:space="preserve">Meta </t>
  </si>
  <si>
    <t>Porcentaje de avance</t>
  </si>
  <si>
    <t>Avance cualitativo</t>
  </si>
  <si>
    <t>Pacto por Colombia Pacto por la equidad</t>
  </si>
  <si>
    <t>IV. Pacto por la sostenibilidad: producir conservando y conservar produciendo</t>
  </si>
  <si>
    <t>Instituciones ambientales modernas, apropiación social de la biodiversidad y manejo efectivo de los conflictos socioambientales</t>
  </si>
  <si>
    <t>Contribuir al desarrollo sostenible ambiental a partir de un efectivo proceso de evaluación y seguimiento.</t>
  </si>
  <si>
    <t>Gestión con valores para resultados</t>
  </si>
  <si>
    <t>Seguimiento y evaluación del desempeño institucional</t>
  </si>
  <si>
    <t>Misional</t>
  </si>
  <si>
    <t>Gestión y licenciamiento ambiental</t>
  </si>
  <si>
    <t>Evaluación</t>
  </si>
  <si>
    <t>Subdirección de Evaluación de Licenciamiento Ambiental</t>
  </si>
  <si>
    <t>Subdireccion de Evaluacion de Licencias Ambientales</t>
  </si>
  <si>
    <t>Actos administrativos expedidos para resolver las solicitudes de evaluación de licenciamiento ambiental</t>
  </si>
  <si>
    <t># de actos administrativos que resuelven solicitudes de evaluación de licenciamiento ambiental</t>
  </si>
  <si>
    <t>Número</t>
  </si>
  <si>
    <t>Visitas técnicas de evaluación de solicitudes de licenciamiento ambiental</t>
  </si>
  <si>
    <t># de visitas técnicas realizadas para el proceso de evaluación de licencias ambientales</t>
  </si>
  <si>
    <t>JOSEFINA HELENA SANCHEZ CUERVO [Subdirector(a) de Evaluación y Seguimiento]</t>
  </si>
  <si>
    <t xml:space="preserve">A corte 31 de enero de 2020 se han expedido 41 actos administrativos para resolver las solicitudes de evaluación de licencias ambientales </t>
  </si>
  <si>
    <t>A corte 31 de enero de 2020 se han realizado 6 visitas tecnicas  para el proceso de evaluación de licencias ambientales</t>
  </si>
  <si>
    <t xml:space="preserve">A corte 29 de febrero de 2020 se han expedido 77 actos administrativos para resolver las solicitudes de evaluación de licencias ambientales </t>
  </si>
  <si>
    <t>A corte 29 de febrero de 2020 se han realizado 17 visitas tecnicas  para el proceso de evaluación de licencias ambientales</t>
  </si>
  <si>
    <t xml:space="preserve">A corte 31 de marzo de  2020 se han expedido 108 actos administrativos para resolver las solicitudes de evaluación de licencias ambientales </t>
  </si>
  <si>
    <t>A corte 31 de marzo de 2020 se han realizado 20 visitas tecnicas  para el proceso de evaluación de licencias ambientales</t>
  </si>
  <si>
    <t xml:space="preserve">A corte 30 de abril de  2020 se han expedido 129 actos administrativos para resolver las solicitudes de evaluación de licencias ambientales </t>
  </si>
  <si>
    <t>A corte 30 de abril de 2020 se han realizado 20 visitas tecnicas  para el proceso de evaluación de licencias ambientales</t>
  </si>
  <si>
    <t xml:space="preserve">A corte 31 de mayo de  2020 se han expedido 148 actos administrativos para resolver las solicitudes de evaluación de licencias ambientales </t>
  </si>
  <si>
    <t>A corte 31 de mayo de 2020 se han realizado 20 visitas tecnicas  para el proceso de evaluación de licencias ambientales</t>
  </si>
  <si>
    <t xml:space="preserve">A corte 30 de junio de  2020 se han expedido 190 actos administrativos para resolver las solicitudes de evaluación de licencias ambientales </t>
  </si>
  <si>
    <t>A corte 30 de junio de 2020 se han realizado 20 visitas tecnicas  para el proceso de evaluación de licencias ambientales</t>
  </si>
  <si>
    <t xml:space="preserve">A corte 31 de julio de  2020 se han expedido 225 actos administrativos para resolver las solicitudes de evaluación de licencias ambientales </t>
  </si>
  <si>
    <t>A corte 31 de julio de 2020 se han realizado 26 visitas tecnicas  para el proceso de evaluación de licencias ambientales</t>
  </si>
  <si>
    <t>A corte 31 de agosto de  2020 se han expedido 250 actos administrativos para resolver las solicitudes de evaluación de licencias ambientales. Se registra bajo porcentaje de avance, lo anterior debido a la reduccion en la radicacion de solicitudes de licenciemiento ambiental por motivo de la emergencia registrada por COVID-19. Se esta trabajando en conjunto con la OAP para el ajuste de las metas teniendo en cuenta el actual escenario de los sectores en el marco de la emergencia.</t>
  </si>
  <si>
    <t>A corte 31 de agosto de 2020 se han realizado 33 visitas tecnicas  para el proceso de evaluación de licencias ambientales.  Se registra bajo porcentaje de avance, lo anterior debido a la reduccion en la radicacion de solicitudes de licenciemiento ambiental por motivo de la emergencia registrada por COVID-19. Se esta trabajando en conjunto con la OAP para el ajuste de las metas teniendo en cuenta el actual escenario de los sectoresen el marco de la emergencia.</t>
  </si>
  <si>
    <t>Conceptos técnicos emitidos para resolver las solicitudes de evaluación de licenciamiento ambiental</t>
  </si>
  <si>
    <t># de conceptos técnicos realizados para resolver las solicitudes de evaluación de licenciamiento ambiental</t>
  </si>
  <si>
    <t>A corte 31 de enero de 2020 se han elaborado 24 conceptos técnicos para resolver las solicitudes de evaluación de licencias ambientales</t>
  </si>
  <si>
    <t>A corte 29 de febrero de 2020 se han elaborado 52 conceptos técnicos para resolver las solicitudes de evaluación de licencias ambientales</t>
  </si>
  <si>
    <t>A corte 31 de marzo de  2020 se han elaborado 77 conceptos técnicos para resolver las solicitudes de evaluación de licencias ambientales</t>
  </si>
  <si>
    <t>A corte 30 de abril de  2020 se han elaborado 93 conceptos técnicos para resolver las solicitudes de evaluación de licencias ambientales</t>
  </si>
  <si>
    <t>A corte 31 de mayo de 2020 se han elaborado 116 conceptos técnicos para resolver las solicitudes de evaluación de licencias ambientales</t>
  </si>
  <si>
    <t>A corte 30 de junio de 2020 se han elaborado 153 conceptos técnicos para resolver las solicitudes de evaluación de licencias ambientales</t>
  </si>
  <si>
    <t>A corte 31 de julio de 2020 se han elaborado 179 conceptos técnicos para resolver las solicitudes de evaluación de licencias ambientales</t>
  </si>
  <si>
    <t>A corte 31 de agosto de 2020 se han elaborado 202 conceptos técnicos para resolver las solicitudes de evaluación de licencias ambientales.  Se registra bajo porcentaje de avance, lo anterior debido a la reduccion en la radicacion de solicitudes de licenciemiento ambiental por motivo de la emergencia registrada por COVID-19. Se esta trabajando en conjunto con la OAP para el ajuste de las metas teniendo en cuenta el actual escenario de los sectores en el marco de la emergencia.</t>
  </si>
  <si>
    <t>Evaluación y Resultados</t>
  </si>
  <si>
    <t>Solicitudes de evaluación a licencias ambientales (nuevas y modificaciones) resueltas dentro de los tiempos establecidos en la normatividad vigente</t>
  </si>
  <si>
    <t>(# de actos administrativos finalizados que resuelven solicitudes de evaluación a licencias ambientales dentro de téminos del decreto 1076 /# de solicitudes de licenciamiento ambiental a atender con vencimiento de términos) * 100</t>
  </si>
  <si>
    <t>Porcentaje</t>
  </si>
  <si>
    <t>A corte 31 de enero de 2002 la ANLA debía resolver 16 solicitudes de licenciamiento ambiental; (5) Nuevas, (11) Modificaciones, las cuales fueron resueltas  oportunamente.</t>
  </si>
  <si>
    <t>A corte 29 de  febrero de 2020  la ANLA debía resolver 28 solicitudes de licenciamiento ambiental;  (13) Nuevas, (15) Modificaciones las cuales se resolvieron oportunamente.</t>
  </si>
  <si>
    <t>A corte 31 de marzo de  2020  la ANLA debía resolver 39 solicitudes de licenciamiento ambiental;  (20) Nuevas, (19) Modificaciones las cuales se resolvieron oportunamente.</t>
  </si>
  <si>
    <t>A 30 de  abril de 2020,  la ANLA debía resolver 48 solicitudes de licenciamiento ambiental;  (24) Nuevas, (24) Modificaciones, las cuales se resolvieron oportunamente.</t>
  </si>
  <si>
    <t>A 31 de  mayo de 2020,  la ANLA debía resolver 52 solicitudes de licenciamiento ambiental; (27) Nuevas, (25) Modificaciones, las cuales se resolvieron oportunamente.</t>
  </si>
  <si>
    <t>A 30 de junio de 2020,  la ANLA debía resolver 57 solicitudes de licenciamiento ambiental; (29) Nuevas, (28) Modificaciones, las cuales se resolvieron oportunamente.</t>
  </si>
  <si>
    <t>A 31 de julio de 2020,  la ANLA debía resolver 63 solicitudes de licenciamiento ambiental; (33) Nuevas, (30) Modificaciones, las cuales se resolvieron oportunamente.</t>
  </si>
  <si>
    <t>A corte 31 agosto de 2020 la ANLA debía resolver 71 solicitudes de licenciamiento ambiental;  (41) Nuevas, (30) Modificaciones, las cuales se resolvieron oportunamente</t>
  </si>
  <si>
    <t>Promedio de avance en metas de Producto</t>
  </si>
  <si>
    <t>Promedio de avance en metas de Gestión</t>
  </si>
  <si>
    <t>Hidrocarburos</t>
  </si>
  <si>
    <t>ANA KATHERINE ARTETA BARRAGAN [Coordinador(a)]</t>
  </si>
  <si>
    <t xml:space="preserve">A corte 31 de enero de 2020 el secto de hidrocarburos ha expedido 3 actos administrativos para resolver las solicitudes de evaluación de licencias ambientales </t>
  </si>
  <si>
    <t>A corte 31 de enero de 2020 se han realizado 3 visitas tecnicas  para el proceso de evaluación de licencias ambientales</t>
  </si>
  <si>
    <t xml:space="preserve">A corte 29 de febrero de 2020 el sector de hidrocarburos ha expedido 8 actos administrativos para resolver las solicitudes de evaluación de licencias ambientales </t>
  </si>
  <si>
    <t>A corte 29 de febrero de 2020 se han realizado 3 visitas tecnicas  para el proceso de evaluación de licencias ambientales</t>
  </si>
  <si>
    <t xml:space="preserve">A corte 31 de marzo de  2020 el sector de hidrocarburos ha expedido 11 actos administrativos para resolver las solicitudes de evaluación de licencias ambientales </t>
  </si>
  <si>
    <t>A corte 31 de marzo de  2020 se han realizado 3 visitas tecnicas  para el proceso de evaluación de licencias ambientales</t>
  </si>
  <si>
    <t xml:space="preserve">A corte 30 de abril de  2020 el sector de hidrocarburos ha expedido 14 actos administrativos para resolver las solicitudes de evaluación de licencias ambientales </t>
  </si>
  <si>
    <t>A corte 30 de abril de  2020 se han realizado 3 visitas tecnicas  para el proceso de evaluación de licencias ambientales</t>
  </si>
  <si>
    <t xml:space="preserve">A corte 31 de mayo  de  2020 el sector de hidrocarburos ha expedido 16 actos administrativos para resolver las solicitudes de evaluación de licencias ambientales </t>
  </si>
  <si>
    <t>A corte 31 de mayo de  2020 se han realizado 3 visitas tecnicas  para el proceso de evaluación de licencias ambientales</t>
  </si>
  <si>
    <t xml:space="preserve">A corte 30 de junio  de  2020 el sector de hidrocarburos ha expedido 16 actos administrativos para resolver las solicitudes de evaluación de licencias ambientales </t>
  </si>
  <si>
    <t>A corte 30 de junio de  2020 se han realizado 3 visitas tecnicas  para el proceso de evaluación de licencias ambientales</t>
  </si>
  <si>
    <t xml:space="preserve">A corte 31 de julio de 2020 el sector de hidrocarburos ha expedido 16 actos administrativos para resolver las solicitudes de evaluación de licencias ambientales </t>
  </si>
  <si>
    <t>A corte 31 de julio de  2020 se han realizado 4 visitas tecnicas  para el proceso de evaluación de licencias ambientales</t>
  </si>
  <si>
    <t xml:space="preserve">A corte 31 de agosto de 2020 el sector de hidrocarburos ha expedido 16 actos administrativos para resolver las solicitudes de evaluación de licencias ambientales </t>
  </si>
  <si>
    <t>A corte 31 de agosto de  2020 se han realizado 4 visitas tecnicas  para el proceso de evaluación de licencias ambientales</t>
  </si>
  <si>
    <t>A corte 31 de enero de 2020 se han elaborado 4 conceptos técnicos para resolver las solicitudes de evaluación de licencias ambientales</t>
  </si>
  <si>
    <t>A corte 29 de febrero de 2020 se han elaborado 7 conceptos técnicos para resolver las solicitudes de evaluación de licencias ambientales</t>
  </si>
  <si>
    <t>A corte 31 de marzo de  2020 se han elaborado 9 conceptos técnicos para resolver las solicitudes de evaluación de licencias ambientales</t>
  </si>
  <si>
    <t>A corte 30 de abril de  2020 se han elaborado 11 conceptos técnicos para resolver las solicitudes de evaluación de licencias ambientales</t>
  </si>
  <si>
    <t>A corte 31 de mayo de  2020 se han elaborado 11 conceptos técnicos para resolver las solicitudes de evaluación de licencias ambientales</t>
  </si>
  <si>
    <t>A corte 30 de junio de  2020 se han elaborado 11 conceptos técnicos para resolver las solicitudes de evaluación de licencias ambientales</t>
  </si>
  <si>
    <t>A corte 31 de julio de  2020 se han elaborado 11 conceptos técnicos para resolver las solicitudes de evaluación de licencias ambientales</t>
  </si>
  <si>
    <t>A corte 31 de agosto de  2020 se han elaborado 11 conceptos técnicos para resolver las solicitudes de evaluación de licencias ambientales</t>
  </si>
  <si>
    <t>(Número de actos administrativos finalizados que resuelven solicitudes de evaluación a licencias ambientales dentro de téminos del decreto 1076 /Número de solicitudes de licenciamiento ambiental a atender con vencimiento de términos) * 100</t>
  </si>
  <si>
    <t>Visitas a solicitudes de evaluación (nuevas y modificaciones)efectuadas dentro de los tiempos establecidos en la normatividad vigente.</t>
  </si>
  <si>
    <t>(# de visitas de evaluación realizadas dentro de téminos del decreto 1076 /# de expedientes de evaluación que requieran visita con vencimiento de términos de la etapa) * 100</t>
  </si>
  <si>
    <t>A corte 31 de enero de 2020 el sector debía resolver 3 solicitudes de licenciamiento ambiental; (2) Nuevas, (1) Modificaciones y  las cuales fueron resueltas  oportunamente.</t>
  </si>
  <si>
    <t>A corte 31 de enero de 2020  el sector de hidrocarburos debia realizar 2 visitas tecnicas, las cuales se realizaron oportunamente.</t>
  </si>
  <si>
    <t>A corte 29 de febrero de 2020 el sector debía resolver 6 solicitudes de licenciamiento ambiental;  (3) Nuevas, (3) Modificaciones, las cuales fueron resueltas  oportunamente.</t>
  </si>
  <si>
    <t>A corte 29 de febrero de 2020 el sector de hidrocarburos debia realizar 3 visitas tecnicas, las cuales se realizaron oportunamente.</t>
  </si>
  <si>
    <t>A corte 31 de marzo de  2020 el sector debía resolver 9 solicitudes de licenciamiento ambiental;  (5) Nuevas, (4) Modificaciones, las cuales fueron resueltas  oportunamente.</t>
  </si>
  <si>
    <t>A corte 31 de marzo de  2020 el sector de hidrocarburos debia realizar 3 visitas tecnicas, las cuales se realizaron oportunamente.</t>
  </si>
  <si>
    <t>A corte 30 de abril de 2020 la ANLA debía resolver 13 solicitudes de licenciamiento ambiental;  (7) Nuevas, (6) Modificaciones, las cuales se resolvieron oportunamente.</t>
  </si>
  <si>
    <t>A corte 30 de abril de  2020 el sector de hidrocarburos debia realizar 3 visitas tecnicas, las cuales se realizaron oportunamente.</t>
  </si>
  <si>
    <t>A corte 31 de mayo  de  2020 la ANLA debía resolver 15 solicitudes de licenciamiento ambientales;  (9) Nuevas, (6) Modificaciones, las cuales se resolvieron oportunamente.</t>
  </si>
  <si>
    <t>A corte 31 de mayo de  2020 el sector de hidrocarburos debia realizar 3 visitas tecnicas, las cuales se realizaron oportunamente.</t>
  </si>
  <si>
    <t>A corte 30 de junio de 2020 la ANLA debía resolver 16 solicitudes de licenciamiento ambientales;  (10) Nuevas, (6) Modificaciones, las cuales se resolvieron oportunamente.</t>
  </si>
  <si>
    <t>A corte 30 de junio de  2020 el sector de hidrocarburos debia realizar 3 visitas tecnicas, las cuales se realizaron oportunamente.</t>
  </si>
  <si>
    <t>A corte 31 de julio de 2020 la ANLA debía resolver 16 solicitudes de licenciamiento ambientales;  (10) Nuevas, (6) Modificaciones, las cuales se resolvieron oportunamente.</t>
  </si>
  <si>
    <t>A corte 31 de julio de  2020 el sector de hidrocarburos debia realizar 4 visitas tecnicas, las cuales se realizaron oportunamente.</t>
  </si>
  <si>
    <t>A corte 31 de agosto de 2020 la ANLA debía resolver 16 solicitudes de licenciamiento ambientales;  (10) Nuevas, (6) Modificaciones, las cuales se resolvieron oportunamente.</t>
  </si>
  <si>
    <t>A corte 31 de agosto de  2020 el sector de hidrocarburos debia realizar 4 visitas tecnicas, las cuales se realizaron oportunamente.</t>
  </si>
  <si>
    <t>Conceptos Técnicos finalizados a solicitudes de evaluación (nuevas y modificaciones) dentro de los tiempos establecidos internamente</t>
  </si>
  <si>
    <t>(# de conceptos técnicos de evaluación finalizados dentro de téminos internos / # de expedientes de evaluación con vencimiento de términos de la etapa de finalización del concepto técnico) * 100</t>
  </si>
  <si>
    <t>A corte 31 de enero de 2020  el sector de hidrocarburos debia finalizar 3 conceptos tecnicos, los cuales finalizaron fuera de terminos.</t>
  </si>
  <si>
    <t>A corte 29 de febrero de 2020  el sector de hidrocarburos debia finalizar 6 conceptos tecnicos, los cuales finalizaron fuera de terminos.</t>
  </si>
  <si>
    <t>A corte 31 de marzo de  2020  el sector de hidrocarburos debia finalizar 9 conceptos tecnicos, los cuales finalizaron fuera de terminos.</t>
  </si>
  <si>
    <t>A corte 30 de abril de  2020  el sector de hidrocarburos debia finalizar 9 conceptos tecnicos, los cuales se finalizaron fuera de terminos.</t>
  </si>
  <si>
    <t>A corte 31 de mayo de  2020  el sector de hidrocarburos debia finalizar 9 conceptos tecnicos, los cuales se finalizaron fuera de terminos.</t>
  </si>
  <si>
    <t>Infraestructura</t>
  </si>
  <si>
    <t xml:space="preserve">A corte 31 de enero de 2020 el sector de infraestructura ha expedido 2 actos administrativos para resolver las solicitudes de evaluación de licencias ambientales </t>
  </si>
  <si>
    <t>A corte 31 de enero de 2020 se han realizado 1 visita tecnica  para el proceso de evaluación de licencias ambientales</t>
  </si>
  <si>
    <t xml:space="preserve">A corte 29 de febrero de 2020 el sector de infraestructura ha expedido 4 actos administrativos para resolver las solicitudes de evaluación de licencias ambientales </t>
  </si>
  <si>
    <t>A corte 29 de febrero de 2020 se han realizado 7 visitas tecnicas  para el proceso de evaluación de licencias ambientales</t>
  </si>
  <si>
    <t xml:space="preserve">A corte 31 de marzo de  2020 el sector de infraestructura ha expedido 7 actos administrativos para resolver las solicitudes de evaluación de licencias ambientales </t>
  </si>
  <si>
    <t>A corte 31 de marzo de  2020 se han realizado 8 visitas tecnicas  para el proceso de evaluación de licencias ambientales</t>
  </si>
  <si>
    <t xml:space="preserve">A corte 30 de abril de  2020 el sector de infraestructura ha expedido 8 actos administrativos para resolver las solicitudes de evaluación de licencias ambientales </t>
  </si>
  <si>
    <t>A corte 30 de abril de  2020 se han realizado 8 visitas tecnicas  para el proceso de evaluación de licencias ambientales</t>
  </si>
  <si>
    <t xml:space="preserve">A corte 31 de mayo de  2020 el sector de infraestructura ha expedido 10 actos administrativos para resolver las solicitudes de evaluación de licencias ambientales </t>
  </si>
  <si>
    <t>A corte 31 de mayo de  2020 se han realizado 8 visitas tecnicas  para el proceso de evaluación de licencias ambientales</t>
  </si>
  <si>
    <t xml:space="preserve">A corte 30 de junio de 2020 el sector de infraestructura ha expedido 12 actos administrativos para resolver las solicitudes de evaluación de licencias ambientales </t>
  </si>
  <si>
    <t>A corte 30 de junio de  2020 se han realizado 8 visitas tecnicas  para el proceso de evaluación de licencias ambientales</t>
  </si>
  <si>
    <t xml:space="preserve">A corte 31 de julio de 2020 el sector de infraestructura ha expedido 12 actos administrativos para resolver las solicitudes de evaluación de licencias ambientales </t>
  </si>
  <si>
    <t>A corte 31 de julio de  2020 se han realizado 11 visitas tecnicas  para el proceso de evaluación de licencias ambientales</t>
  </si>
  <si>
    <t xml:space="preserve">A corte 31 de agosto de 2020 el sector de infraestructura ha expedido 12 actos administrativos para resolver las solicitudes de evaluación de licencias ambientales </t>
  </si>
  <si>
    <t>A corte 31 de agosto de  2020 se han realizado 16 visitas tecnicas  para el proceso de evaluación de licencias ambientales</t>
  </si>
  <si>
    <t xml:space="preserve">A corte 31 de enero de 2020 el sector, no ha expedido CT </t>
  </si>
  <si>
    <t>A corte 29 de febrero de 2020 el sector ha elaborado 3  conceptos técnicos para resolver las solicitudes de evaluación de licencias ambientales</t>
  </si>
  <si>
    <t>A corte 31 de marzo de  2020 el sector ha elaborado 6  conceptos técnicos para resolver las solicitudes de evaluación de licencias ambientales</t>
  </si>
  <si>
    <t>A corte 30 de abril de  2020 el sector ha elaborado 7  conceptos técnicos para resolver las solicitudes de evaluación de licencias ambientales</t>
  </si>
  <si>
    <t>A corte 31 de mayo de  2020 el sector ha elaborado 10  conceptos técnicos para resolver las solicitudes de evaluación de licencias ambientales</t>
  </si>
  <si>
    <t>A corte 30 de junio de  2020 el sector ha elaborado 10 conceptos técnicos para resolver las solicitudes de evaluación de licencias ambientales</t>
  </si>
  <si>
    <t>A corte 31 de julio de  2020 el sector ha elaborado 10 conceptos técnicos para resolver las solicitudes de evaluación de licencias ambientales</t>
  </si>
  <si>
    <t>A corte 31 de agosto de  2020 el sector ha elaborado 10 conceptos técnicos para resolver las solicitudes de evaluación de licencias ambientales</t>
  </si>
  <si>
    <t>A corte 31 de enero de 2020 el sector de infraestructura debía resolver 3 solicitudes de licenciamiento ambiental; (0) Nuevas, (3) Modificaciones, las cuales se resolvieron oportunamente.</t>
  </si>
  <si>
    <t>A corte 31 de enero de 2020  el sector de infraestructura debia realizar 1 visita tecnica, la cual se realizo oportunamente.</t>
  </si>
  <si>
    <t>A corte 29 de febrero de 2020 el sector de infraestructura debía resolver 6 solicitudes de licenciamiento ambiental;  (2) Nuevas, (4) Modificaciones, las cuales se resolvieron oportunamente.</t>
  </si>
  <si>
    <t>A corte 29 de febrero de 2020  el sector de infraestructura debia realizar 7 visitas tecnicas, las cuales se realizaron oportunamente.</t>
  </si>
  <si>
    <t>A corte 31 de marzo de  2020 el sector de infraestructura debía resolver 7 solicitudes de licenciamiento ambiental;  (2) Nuevas, (5) Modificaciones, las cuales se resolvieron oportunamente.</t>
  </si>
  <si>
    <t>A corte 31 de marzo de  2020 el sector de infraestructura debia realizar 8 visitas tecnicas, las cuales se realizaron oportunamente.</t>
  </si>
  <si>
    <t>A corte 30 de abril de 2020 la ANLA debía resolver 10 solicitudes de licenciamiento ambiental;  (2) Nuevas, (8) Modificaciones, las cuales se resolvieron oportunamente.</t>
  </si>
  <si>
    <t>A corte 30 de abril de  2020 el sector de infraestructura debia realizar 8 visitas tecnicas, las cuales se realizaron oportunamente.</t>
  </si>
  <si>
    <t>A corte 31 de mayo de 2020 la ANLA debía resolver 11 solicitudes de licenciamiento ambiental; (2) Nuevas, (9) Modificaciones, las cuales se resolvieron oportunamente.</t>
  </si>
  <si>
    <t>A corte 31 de mayo de  2020 el sector de infraestructura debia realizar 8 visitas tecnicas, las cuales se realizaron oportunamente.</t>
  </si>
  <si>
    <t>A corte 30 de junio de 2020 la ANLA debía resolver 13 solicitudes de licenciamiento ambiental; (2) Nuevas, (11) Modificaciones, las cuales se resolvieron oportunamente.</t>
  </si>
  <si>
    <t>A corte 30 de junio de  2020 el sector de infraestructura debia realizar 8 visitas tecnicas, las cuales se realizaron oportunamente.</t>
  </si>
  <si>
    <t>A corte 31 de julio de 2020 la ANLA debía resolver 14 solicitudes de licenciamiento ambiental; (3) Nuevas, (11) Modificaciones, las cuales se resolvieron oportunamente.</t>
  </si>
  <si>
    <t>A corte 31 de julio de  2020 el sector de infraestructura debia realizar 10 visitas tecnicas, las cuales se realizaron oportunamente.</t>
  </si>
  <si>
    <t>A corte 31 de agosto de 2020 la ANLA debía resolver 14 solicitudes de licenciamiento ambiental; (3) Nuevas, (11) Modificaciones, las cuales se resolvieron oportunamente.</t>
  </si>
  <si>
    <t>A corte 31 de agosto de  2020 el sector de infraestructura debia realizar 13 visitas tecnicas, las cuales se realizaron oportunamente.</t>
  </si>
  <si>
    <t>A corte 31 de enero de 2020  el sector de infraestructura debia finalizar 1 concepto tecnico, el  cual se finalizo fuera de terminos.</t>
  </si>
  <si>
    <t>A corte 29 de febrero de 2020  el sector de infraestructura debia finalizar 4 conceptos tecnicos, de los  cuales finalizo 1 oportunamente</t>
  </si>
  <si>
    <t>A corte 31 de marzo de  2020 el sector de infraestructura debia finalizar 7 conceptos tecnicos, de los  cuales finalizo 1 oportunamente</t>
  </si>
  <si>
    <t>A corte 30 de abril de  2020 el sector de infraestructura debia finalizar 7 conceptos tecnicos, de los cuales se finalizo 1 oportunamente</t>
  </si>
  <si>
    <t>A corte 31 de mayo de  2020 el sector de infraestructura debia finalizar 10 conceptos tecnicos, de los cuales se finalizo 1 oportunamente</t>
  </si>
  <si>
    <t>Energía, Presas, Bases, Trasvases y Embalses</t>
  </si>
  <si>
    <t>BETSY RUBIANE PALMA PACHECO [Coordinador(a)]]</t>
  </si>
  <si>
    <t xml:space="preserve">A corte 31 de enero de 2020 el sector de energia ha expedido 3 actos administrativos para resolver las solicitudes de evaluación de licencias ambientales </t>
  </si>
  <si>
    <t>A corte 31 de enero de 2020 el sector no ha realizado ninguna visita tecnica para el proceso de evaluación de licencias ambientales</t>
  </si>
  <si>
    <t xml:space="preserve">A corte 29 de febrero de 2020 el sector de energia ha expedido 7 actos administrativos para resolver las solicitudes de evaluación de licencias ambientales </t>
  </si>
  <si>
    <t>A corte 29 de febrero de 2020 el sector ha realizado 2 visitas tecnicas para el proceso de evaluación de licencias ambientales</t>
  </si>
  <si>
    <t xml:space="preserve">A corte 31 de marzo de  2020 el sector de energia ha expedido 9 actos administrativos para resolver las solicitudes de evaluación de licencias ambientales </t>
  </si>
  <si>
    <t>A corte 31 de marzo de  2020 el sector ha realizado 3 visitas tecnicas para el proceso de evaluación de licencias ambientales</t>
  </si>
  <si>
    <t xml:space="preserve">A corte 30 de abril de  2020 el sector de energia ha expedido 9 actos administrativos para resolver las solicitudes de evaluación de licencias ambientales </t>
  </si>
  <si>
    <t>A corte 30 de abril de  2020 el sector ha realizado 3 visitas tecnicas para el proceso de evaluación de licencias ambientales</t>
  </si>
  <si>
    <t xml:space="preserve">A corte 31 de mayo de 2020 el sector de energia ha expedido 10 actos administrativos para resolver las solicitudes de evaluación de licencias ambientales </t>
  </si>
  <si>
    <t>A corte 31 de mayo de 2020 el sector ha realizado 3 visitas tecnicas para el proceso de evaluación de licencias ambientales</t>
  </si>
  <si>
    <t xml:space="preserve">A corte 30 de junio de 2020 el sector de energia ha expedido 11 actos administrativos para resolver las solicitudes de evaluación de licencias ambientales </t>
  </si>
  <si>
    <t>A corte 30 de junio de 2020 el sector ha realizado 3 visitas tecnicas para el proceso de evaluación de licencias ambientales</t>
  </si>
  <si>
    <t xml:space="preserve">A corte 31 de julio de 2020 el sector de energia ha expedido 14 actos administrativos para resolver las solicitudes de evaluación de licencias ambientales </t>
  </si>
  <si>
    <t>A corte 31 de julio de 2020 el sector ha realizado 3 visitas tecnicas para el proceso de evaluación de licencias ambientales</t>
  </si>
  <si>
    <t xml:space="preserve">A corte 31 de agosto de 2020 el sector de energia ha expedido 15 actos administrativos para resolver las solicitudes de evaluación de licencias ambientales </t>
  </si>
  <si>
    <t>A corte 31 de agosto de 2020 el sector ha realizado 5 visitas tecnicas para el proceso de evaluación de licencias ambientales</t>
  </si>
  <si>
    <t>BETSY RUBIANE PALMA PACHECO [Coordinador(a)]</t>
  </si>
  <si>
    <t>A corte 31 de enero de 2020 el sector, ha expedido 3 CT con visita</t>
  </si>
  <si>
    <t>A corte 29 de febrero de 2020 el sector, ha expedido 7 conceptos tecnicos para resolver las solicitudes de evaluación de licencias ambientales</t>
  </si>
  <si>
    <t>A corte 31 de marzo de  2020 el sector, ha expedido 8 conceptos tecnicos para resolver las solicitudes de evaluación de licencias ambientales</t>
  </si>
  <si>
    <t>A corte 30 de abril de  2020 el sector, ha expedido 8 conceptos tecnicos para resolver las solicitudes de evaluación de licencias ambientales</t>
  </si>
  <si>
    <t>A corte 31 de mayo de 2020 el sector, ha expedido 9 conceptos tecnicos para resolver las solicitudes de evaluación de licencias ambientales</t>
  </si>
  <si>
    <t>A corte 30 de junio de 2020 el sector, ha expedido 12 conceptos tecnicos para resolver las solicitudes de evaluación de licencias ambientales</t>
  </si>
  <si>
    <t>A corte 31 de julio de 2020 el sector, ha expedido 13 conceptos tecnicos para resolver las solicitudes de evaluación de licencias ambientales</t>
  </si>
  <si>
    <t>A corte 31 de agosto de 2020 el sector, ha expedido 14 conceptos tecnicos para resolver las solicitudes de evaluación de licencias ambientales</t>
  </si>
  <si>
    <t>A corte 31 de enero de 2020 el sector de energia debía resolver 3 solicitudes de licenciamiento ambiental; (0) Nuevas, (3) Modificaciones, las cuales se resolvieron oportunamente.</t>
  </si>
  <si>
    <t>A corte 31 de enero de 2020  el sector de energia no tenia visitas tecnicas de evaluacion con vencimiento de termnos.</t>
  </si>
  <si>
    <t>A corte 29 de febrero de 2020 el sector de energia debía resolver 5 solicitudes de licenciamiento ambiental;  (1) Nuevas, (4) Modificaciones, las cuales se resolvieron oportunamente.</t>
  </si>
  <si>
    <t>A corte 29 de febrero de 2020  el sector de energia tenia que realizar 1 visita tecnica de evaluacion, la cual se adelanto oportunamente.</t>
  </si>
  <si>
    <t>A corte 31 de marzo de  2020 el sector de energia debía resolver 7 solicitudes de licenciamiento ambiental;  (1) Nuevas, (6) Modificaciones, las cuales se resolvieron oportunamente.</t>
  </si>
  <si>
    <t>A corte 31 de marzo de 2020  el sector de energia tenia que realizar 2 visitas tecnicas de evaluacion, la cual se adelanto oportunamente.</t>
  </si>
  <si>
    <t>A corte 30 de abril de 2020 la ANLA debía resolver 7 solicitudes de licenciamiento ambiental;  (1) Nuevas, (6) Modificaciones, las cuales se resolvieron oportunamente.</t>
  </si>
  <si>
    <t>A corte 30 de abril de 2020  el sector de energia tenia que realizar 2 visitas tecnicas de evaluacion, la cual se adelanto oportunamente.</t>
  </si>
  <si>
    <t>A corte 31 de mayo de 2020  debía resolver 8 solicitudes de licenciamiento ambiental; (2) Nuevas, (6) Modificaciones, las cuales se resolvieron oportunamente.</t>
  </si>
  <si>
    <t>A corte 31 de mayo de 2020  el sector de energia tenia que realizar 2 visitas tecnicas de evaluacion, la cual se adelanto oportunamente.</t>
  </si>
  <si>
    <t>A corte 30 de junio de 2020  debía resolver 9 solicitudes de licenciamiento ambiental; (3) Nuevas, (6) Modificaciones, las cuales se resolvieron oportunamente.</t>
  </si>
  <si>
    <t>A corte 30 de junio de 2020  el sector de energia tenia que realizar 2 visitas tecnicas de evaluacion, la cual se adelanto oportunamente.</t>
  </si>
  <si>
    <t>A corte 31 de julio de 2020  debía resolver 11 solicitudes de licenciamiento ambiental; (4) Nuevas, (7) Modificaciones, las cuales se resolvieron oportunamente.</t>
  </si>
  <si>
    <t>A corte 31 de julio de 2020  el sector de energia tenia que realizar 2 visitas tecnicas de evaluacion, la cual se adelanto oportunamente.</t>
  </si>
  <si>
    <t>A Lunes, 31 de agosto de 2020 el sector  debía resolver 12 solicitudes de licenciamiento ambiental; (5) Nuevas, (7) Modificaciones, las cuales se resolvieron oportunamente.</t>
  </si>
  <si>
    <t>A corte 31 de agosto de 2020  el sector de energia tenia que realizar 2 visitas tecnicas de evaluacion,  las cuales se realizon oportunamente.</t>
  </si>
  <si>
    <t>A corte 31 de enero de 2020  el sector de energia debia finalizar 6 conceptos tecnicos, y se finalizo 1 en terminos.</t>
  </si>
  <si>
    <t>A corte 29 de febrero de 2020  el sector de energia debia finalizar 7 conceptos tecnicos, y se finalizo 1 en terminos.</t>
  </si>
  <si>
    <t>A corte 31 de marzo de  2020  el sector de energia debia finalizar 7 conceptos tecnicos, y ninguno se finalizo en terminos.</t>
  </si>
  <si>
    <t>A corte 30 de abril de  2020  el sector de energia debia finalizar 7 conceptos tecnicos, y ninguno se finalizo en terminos.</t>
  </si>
  <si>
    <t>A corte 31 de mayo de  2020 el sector de energia debia finalizar 7 conceptos tecnicos, y ninguno se finalizo en terminos.</t>
  </si>
  <si>
    <t>Minería</t>
  </si>
  <si>
    <t>GABRIEL EDUARDO LOPEZ ULLOA [Coordinador(a)]</t>
  </si>
  <si>
    <t xml:space="preserve">A corte 31 de enero de 2020 el sector de mineria ha expedido 3 actos administrativos para resolver las solicitudes de evaluación de licencias ambientales </t>
  </si>
  <si>
    <t xml:space="preserve">A corte 29 de febrero de 2020 el sector de mineria ha expedido 3 actos administrativos para resolver las solicitudes de evaluación de licencias ambientales </t>
  </si>
  <si>
    <t>A corte 29 de febrero de 2020 el sector ha realizado 3  visitas tecnicas para el proceso de evaluación de licencias ambientales</t>
  </si>
  <si>
    <t xml:space="preserve">A corte 31 de marzo de 2020 el sector de mineria ha expedido 6 actos administrativos para resolver las solicitudes de evaluación de licencias ambientales </t>
  </si>
  <si>
    <t>A corte 31 de marzo de 2020 el sector ha realizado 4  visitas tecnicas para el proceso de evaluación de licencias ambientales</t>
  </si>
  <si>
    <t xml:space="preserve">A corte 30 de abril de 2020 el sector de mineria ha expedido 6 actos administrativos para resolver las solicitudes de evaluación de licencias ambientales </t>
  </si>
  <si>
    <t>A corte 30 de abril de 2020 el sector ha realizado 4  visitas tecnicas para el proceso de evaluación de licencias ambientales</t>
  </si>
  <si>
    <t xml:space="preserve">A corte 31 de mayo de 2020 el sector de mineria ha expedido 6 actos administrativos para resolver las solicitudes de evaluación de licencias ambientales </t>
  </si>
  <si>
    <t>A corte 31 de mayo de 2020 el sector ha realizado 4  visitas tecnicas para el proceso de evaluación de licencias ambientales</t>
  </si>
  <si>
    <t xml:space="preserve">A corte 30 de junio de 2020 el sector de mineria ha expedido 6 actos administrativos para resolver las solicitudes de evaluación de licencias ambientales </t>
  </si>
  <si>
    <t>A corte 30 de junio de 2020 el sector ha realizado 4  visitas tecnicas para el proceso de evaluación de licencias ambientales</t>
  </si>
  <si>
    <t xml:space="preserve">A corte 31 de julio de 2020 el sector de mineria ha expedido 7 actos administrativos para resolver las solicitudes de evaluación de licencias ambientales </t>
  </si>
  <si>
    <t>A corte 31 de julio de 2020 el sector ha realizado 5  visitas tecnicas para el proceso de evaluación de licencias ambientales</t>
  </si>
  <si>
    <t xml:space="preserve">A corte 31 de agosto de 2020 el sector de mineria ha expedido 7 actos administrativos para resolver las solicitudes de evaluación de licencias ambientales </t>
  </si>
  <si>
    <t>A corte 31 de agosto de 2020 el sector ha realizado 5  visitas tecnicas para el proceso de evaluación de licencias ambientales</t>
  </si>
  <si>
    <t>A corte 29 de febrero de 2020 el sector ha expedido 3 conceptos tecnicos para resolver las solicitudes de evaluación de licencias ambientales</t>
  </si>
  <si>
    <t>A corte 31 de marzo de 2020 el sector ha expedido 5 conceptos tecnicos para resolver las solicitudes de evaluación de licencias ambientales</t>
  </si>
  <si>
    <t>A corte 30 de abril de 2020 el sector ha expedido 5 conceptos tecnicos para resolver las solicitudes de evaluación de licencias ambientales</t>
  </si>
  <si>
    <t>A corte 31 de mayo de 2020 el sector ha expedido 5 conceptos tecnicos para resolver las solicitudes de evaluación de licencias ambientales</t>
  </si>
  <si>
    <t>A corte  30 de junio de 2020 el sector ha expedido 5 conceptos tecnicos para resolver las solicitudes de evaluación de licencias ambientales</t>
  </si>
  <si>
    <t>A corte 31 de julio de 2020 el sector ha expedido 5 conceptos tecnicos para resolver las solicitudes de evaluación de licencias ambientales</t>
  </si>
  <si>
    <t>A corte 31 de agosto de 2020 el sector ha expedido 5 conceptos tecnicos para resolver las solicitudes de evaluación de licencias ambientales</t>
  </si>
  <si>
    <t>A corte 31 de enero de 2020 el sector de Mineria debía resolver 3 solicitudes de licenciamiento ambiental; (0) Nuevas, (3) Modificaciones, las cuales fueron resueltas oportunamente.</t>
  </si>
  <si>
    <t>A corte 29 de febrero de 2020 el sector de Mineria debía resolver 3 solicitudes de licenciamiento ambiental; (0) Nuevas, (3) Modificaciones, las cuales fueron resueltas oportunamente.</t>
  </si>
  <si>
    <t>A corte 29 de febrero de 2020  el sector de mineria tenia  que realizar 4 visitas tecnicas de evaluacion, de las cuales se realizaron 3 oportunamente.</t>
  </si>
  <si>
    <t>A corte 31 de marzo de 2020 el sector de Mineria debía resolver 5 solicitudes de licenciamiento ambiental; (2) Nuevas, (3) Modificaciones, las cuales fueron resueltas oportunamente.</t>
  </si>
  <si>
    <t>A corte 31 de marzo de 2020  el sector de mineria tenia  que realizar 4 visitas tecnicas de evaluacion, de las cuales se realizaron 3 oportunamente.</t>
  </si>
  <si>
    <t>A corte 30 de abril de 2020 la ANLA debía resolver 5 solicitudes de licenciamiento ambiental;  (2) Nuevas, (3) Modificaciones, las cuales fueron resueltas oportunamente.</t>
  </si>
  <si>
    <t>A corte 30 de abril de 2020  el sector de mineria tenia  que realizar 4 visitas tecnicas de evaluacion, de las cuales se realizaron 3 oportunamente.</t>
  </si>
  <si>
    <t>A corte 31 de mayo de 2020 la ANLA debía resolver 5 solicitudes de licenciamiento ambiental; (2) Nuevas, (3) Modificaciones, las cuales fueron resueltas oportunamente.</t>
  </si>
  <si>
    <t>A corte 31 de mayo de 2020  el sector de mineria tenia  que realizar 4 visitas tecnicas de evaluacion, de las cuales se realizaron 3 oportunamente.</t>
  </si>
  <si>
    <t>A corte 30 de junio de 2020 la ANLA debía resolver 5 solicitudes de licenciamiento ambiental; (2) Nuevas, (3) Modificaciones, las cuales fueron resueltas oportunamente.</t>
  </si>
  <si>
    <t>A corte 30 de junio de 2020  el sector de mineria tenia  que realizar 4 visitas tecnicas de evaluacion, de las cuales se realizaron 3 oportunamente.</t>
  </si>
  <si>
    <t>A corte 31 de julio de 2020 la ANLA debía resolver 6 solicitudes de licenciamiento ambiental; (2) Nuevas, (4) Modificaciones, las cuales fueron resueltas oportunamente.</t>
  </si>
  <si>
    <t>A corte 31 de julio de 2020  el sector de mineria tenia  que realizar 4 visitas tecnicas de evaluacion, de las cuales se realizaron 3 oportunamente.</t>
  </si>
  <si>
    <t>A corte 31 de agosto de 2020 la ANLA debía resolver 6 solicitudes de licenciamiento ambiental; (2) Nuevas, (4) Modificaciones, las cuales fueron resueltas oportunamente.</t>
  </si>
  <si>
    <t>A corte 31 de agosto de 2020  el sector de mineria tenia  que realizar 4 visitas tecnicas de evaluacion, de las cuales se realizaron 3 oportunamente.</t>
  </si>
  <si>
    <t>A corte 31 de enero de 2020  el sector de energia debia finalizar 2 conceptos tecnicos, los cuales no se culminaron fuera de terminos</t>
  </si>
  <si>
    <t>A corte 29 de febrero de 2020  el sector de mineria debia finalizar 3 conceptos tecnicos, los cuales se culminaron fuera de terminos</t>
  </si>
  <si>
    <t>A corte 31 de marzo de 2020  el sector de mineria debia finalizar 3 conceptos tecnicos, los cuales se culminaron fuera de terminos</t>
  </si>
  <si>
    <t>A corte 30 de abril de 2020  el sector de mineria debia finalizar 4 conceptos tecnicos, los cuales se culminaron fuera de terminos</t>
  </si>
  <si>
    <t>A corte 31 de mayo de 2020 el sector de mineria debia finalizar 4 conceptos tecnicos, los cuales se culminaron fuera de terminos</t>
  </si>
  <si>
    <t>Agroquímicos y Especiales</t>
  </si>
  <si>
    <t>JUAN DAVID HERRERA GOMEZ [Coordinador(a)]</t>
  </si>
  <si>
    <t xml:space="preserve">A corte 31 de enero de 2020 el sector de Agroquimicos ha expedido 30 actos administrativos para resolver las solicitudes de evaluación de licencias ambientales </t>
  </si>
  <si>
    <t>A corte 31 de enero de 2020 el sector realizo 2 visitas tecnicas para el proceso de evaluación de licencias ambientales</t>
  </si>
  <si>
    <t xml:space="preserve">A corte 29 de febrero de 2020 el sector de Agroquimicos ha expedido 55 actos administrativos para resolver las solicitudes de evaluación de licencias ambientales </t>
  </si>
  <si>
    <t>A corte 29 de febrero de 2020 el sector realizo 2 visitas tecnicas para el proceso de evaluación de licencias ambientales</t>
  </si>
  <si>
    <t xml:space="preserve">A corte 31 de marzo de 2020 el sector de Agroquimicos ha expedido 75 actos administrativos para resolver las solicitudes de evaluación de licencias ambientales </t>
  </si>
  <si>
    <t>A corte 31 de marzo de 2020 el sector realizo 2 visitas tecnicas para el proceso de evaluación de licencias ambientales</t>
  </si>
  <si>
    <t xml:space="preserve">A corte 30 de abril de 2020 el sector de Agroquimicos ha expedido 92 actos administrativos para resolver las solicitudes de evaluación de licencias ambientales </t>
  </si>
  <si>
    <t>A corte  30 de abril de 2020 el sector realizo 2 visitas tecnicas para el proceso de evaluación de licencias ambientales</t>
  </si>
  <si>
    <t xml:space="preserve">A corte 31 de mayo de 2020 el sector de Agroquimicos ha expedido 106 actos administrativos para resolver las solicitudes de evaluación de licencias ambientales </t>
  </si>
  <si>
    <t>A corte 31 de mayo de 2020 el sector realizo 2 visitas tecnicas para el proceso de evaluación de licencias ambientales</t>
  </si>
  <si>
    <t xml:space="preserve">A corte 30 de junio de 2020 el sector de Agroquimicos ha expedido 145 actos administrativos para resolver las solicitudes de evaluación de licencias ambientales </t>
  </si>
  <si>
    <t>A corte 30 de junio de 2020 el sector realizo 2 visitas tecnicas para el proceso de evaluación de licencias ambientales</t>
  </si>
  <si>
    <t xml:space="preserve">A corte 31 de julio de 2020 el sector de Agroquimicos ha expedido 176 actos administrativos para resolver las solicitudes de evaluación de licencias ambientales </t>
  </si>
  <si>
    <t>A corte 31 de julio de 2020 el sector realizo 3 visitas tecnicas para el proceso de evaluación de licencias ambientales</t>
  </si>
  <si>
    <t xml:space="preserve">A corte 31 de agosto de 2020 el sector de Agroquimicos ha expedido 200 actos administrativos para resolver las solicitudes de evaluación de licencias ambientales </t>
  </si>
  <si>
    <t>A corte 31 de agosto de 2020 el sector realizo 3 visitas tecnicas para el proceso de evaluación de licencias ambientales</t>
  </si>
  <si>
    <t xml:space="preserve">A corte 31 de enero de 2020 el sector, ha expedido 14 CT con visita </t>
  </si>
  <si>
    <t xml:space="preserve">A corte 29 de febrero de 2020 el sector, ha expedido 32 CT para resolver las solicitudes de evaluación de licencias ambientales </t>
  </si>
  <si>
    <t xml:space="preserve">A corte 31 de marzo de 2020 el sector, ha expedido 49 CT para resolver las solicitudes de evaluación de licencias ambientales </t>
  </si>
  <si>
    <t xml:space="preserve">A corte  30 de abril de 2020 el sector, ha expedido 62 CT para resolver las solicitudes de evaluación de licencias ambientales </t>
  </si>
  <si>
    <t xml:space="preserve">A corte 31 de mayo de 2020 el sector, ha expedido 81 CT para resolver las solicitudes de evaluación de licencias ambientales </t>
  </si>
  <si>
    <t xml:space="preserve">A corte 30 de junio de 2020 el sector, ha expedido 115 CT para resolver las solicitudes de evaluación de licencias ambientales </t>
  </si>
  <si>
    <t xml:space="preserve">A corte 31 de julio de 2020 el sector, ha expedido 140 CT para resolver las solicitudes de evaluación de licencias ambientales </t>
  </si>
  <si>
    <t xml:space="preserve">A corte 31 de agosto de 2020 el sector, ha expedido 162 CT para resolver las solicitudes de evaluación de licencias ambientales </t>
  </si>
  <si>
    <t>A viernes, 31 de enero de 2020 el sector de Agroquimicos debía resolver 4 solicitudes de licenciamiento ambiental; (3) Nuevas, (1) Modificaciones, las cuales fueron resueltas oportunamente.</t>
  </si>
  <si>
    <t>A corte 31 de enero de 2020  el sector de Agroquimicos 1 visita con vencimiento de terminos, la cual se realizo en terminos</t>
  </si>
  <si>
    <t>A viernes, 29 de febrero de 2020 el sector de Agroquimicos debía resolver 8 solicitudes de licenciamiento ambiental;  (7) Nuevas, (1) Modificaciones, las cuales fueron resueltas oportunamente.</t>
  </si>
  <si>
    <t>A corte 29 de febrero de 2020  el sector de Agroquimicos tenia  1 visita con vencimiento de terminos, la cual se realizo en terminos</t>
  </si>
  <si>
    <t>A corte 31 de marzo de 2020 el sector de Agroquimicos debía resolver 11 solicitudes de licenciamiento ambiental;  (10) Nuevas, (1) Modificaciones, las cuales fueron resueltas oportunamente.</t>
  </si>
  <si>
    <t>A corte 31 de marzo de 2020  el sector de Agroquimicos tenia  1 visita con vencimiento de terminos, la cual se realizo en terminos</t>
  </si>
  <si>
    <t>A corte 30 de abril de 2020 la ANLA debía resolver 13 solicitudes de licenciamiento ambiental;  (12) Nuevas, (1) Modificaciones, las cuales fueron resueltas oportunamente.</t>
  </si>
  <si>
    <t>A corte 30 de abril de 2020  el sector de Agroquimicos tenia  1 visita con vencimiento de terminos, la cual se realizo en terminos</t>
  </si>
  <si>
    <t>A corte 31 de mayo de 2020 la ANLA debía resolver 13 solicitudes de licenciamiento ambiental;  (12) Nuevas, (1) Modificaciones, las cuales fueron resueltas oportunamente.</t>
  </si>
  <si>
    <t>A corte 31 de mayo de 2020 el sector de Agroquimicos tenia  1 visita con vencimiento de terminos, la cual se realizo en terminos</t>
  </si>
  <si>
    <t>A corte 30 de junio de 2020 la ANLA debía resolver 14 solicitudes de licenciamiento ambiental;  (12) Nuevas, (2) Modificaciones, las cuales fueron resueltas oportunamente.</t>
  </si>
  <si>
    <t>A corte 30 de junio de 2020 el sector de Agroquimicos tenia  1 visita con vencimiento de terminos, la cual se realizo en terminos</t>
  </si>
  <si>
    <t>A corte 31 de julio de 2020 la ANLA debía resolver 16 solicitudes de licenciamiento ambiental; (14) Nuevas, (2) Modificaciones, las cuales fueron resueltas oportunamente.</t>
  </si>
  <si>
    <t>A corte 31 de julio de 2020 el sector de Agroquimicos tenia 2 visitas con vencimiento de terminos, las cuales se realizaron en terminos</t>
  </si>
  <si>
    <t>A corte 31 de agosto de 2020 el sector debía resolver 23 solicitudes de licenciamiento ambietal; (21) Nuevas, (2) Modificaciones, las cuales fueron resueltas oportunamente.</t>
  </si>
  <si>
    <t>A corte 31 de agosto de 2020 el sector de Agroquimicos tenia 2 visitas con vencimiento de terminos, las cuales se realizaron en terminos</t>
  </si>
  <si>
    <t>A corte 31 de enero de 2020  el sector de Agroquimicos debia finalizar 1 concepto tecnico, el cual se culmino en terminos</t>
  </si>
  <si>
    <t>A corte 29 de febrero de 2020  el sector de Agroquimicos debia finalizar 6 conceptos tecnicos, de los cuales finalizo 5 oportunamente.</t>
  </si>
  <si>
    <t>A corte 31 de marzo de 2020  el sector de Agroquimicos debia finalizar 9 conceptos tecnicos, de los cuales finalizo 8 oportunamente.</t>
  </si>
  <si>
    <t>A corte 30 de abril de 2020  el sector de Agroquimicos debia finalizar 9 conceptos tecnicos, de los cuales finalizo 8 oportunamente.</t>
  </si>
  <si>
    <t>A corte 31 de mayo de 2020 el sector de Agroquimicos debia finalizar 10 conceptos tecnicos, de los cuales finalizo 8 oportunamente.</t>
  </si>
  <si>
    <t>Contingencias</t>
  </si>
  <si>
    <t>Porcentaje de actos administrativos de evaluación finalizados desde el componente de Riesgos y Contingencias</t>
  </si>
  <si>
    <t>Numero de Actos administrativos de evaluación finalizados con el componente de Riesgos y Contingencias/ Número de solicitudes allegadas de evaluación que deben incluir el componente de Riesgos y Contingencias</t>
  </si>
  <si>
    <t>GLADYS PUERTO CASTRO [Líder]</t>
  </si>
  <si>
    <t>A corte 31 de enero de 2020, el grupo cuenta con 27 solicitudes de evaluación que debe incluir el componente de Riesgos y Contingencias, a la fecha de corte se han finalizado con AA 2.</t>
  </si>
  <si>
    <t>A corte 29 de febrero de 2020, el grupo ha revisado 18 CT que incluye el componente de Riesgos y Contingencias, de los cuales 11 se han acogido con AA.</t>
  </si>
  <si>
    <t>A corte  31 de marzo de 2020, el grupo ha revisado 23 CT que incluye el componente de Riesgos y Contingencias, de los cuales 16 se han acogido con AA.</t>
  </si>
  <si>
    <t>A corte  30 de abril de 2020, el grupo ha revisado 30 CT que incluye el componente de Riesgos y Contingencias, de los cuales 20 se han acogido con AA.</t>
  </si>
  <si>
    <t>A corte  31 de mayo de 2020, el grupo de Riesgos y Contingencias ha revisado 38 CT que incluye el componente de Riesgos y Contingencias, de los cuales 25 se han acogido con AA.</t>
  </si>
  <si>
    <t>A corte 30 de junio de 2020, el grupo de Riesgos y Contingencias ha revisado 43 CT que incluye el componente de Riesgos y Contingencias, de los cuales 27 se han acogido con AA.</t>
  </si>
  <si>
    <t>A corte 31 de julio de 2020, el grupo de Riesgos y Contingencias ha revisado 49 CT que incluye el componente de Riesgos y Contingencias, de los cuales 45 se han acogido con AA.</t>
  </si>
  <si>
    <t>A corte  31 de agosto de 2020, el grupo ha revisado 52 CT que incluye el componente de Riesgos y Contingencias, de los cuales 51 se han acogido con AA.</t>
  </si>
  <si>
    <t>N.A</t>
  </si>
  <si>
    <t>Gestionar el conocimiento y la innovación en los procesos de evaluación y seguimiento de las licencias, permisos y trámites ambientales con transparencia</t>
  </si>
  <si>
    <t>Geomática Operativa</t>
  </si>
  <si>
    <t>Documentos de revisión de información geográfica de proyectos de evaluación</t>
  </si>
  <si>
    <t># de documentos de revisión de información geográfica de proyectos de evaluación.</t>
  </si>
  <si>
    <t>A corte 31 de enero de 2020 el grupo de Geomatica ha revisado 23 documentos de información geográfica de los cuales:
*17 corresponden a VPD
* 6 de información adicional</t>
  </si>
  <si>
    <t>A corte 29 de febrero de 2020 el grupo de Geomatica ha revisado 43 documentos de información geográfica de los cuales:
*28 corresponden a VPD
* 15 de información adicional</t>
  </si>
  <si>
    <t>A corte 31 de marzo de 2020 el grupo de Geomatica ha revisado 55 documentos de información geográfica de los cuales:
*38 corresponden a VPD
* 17 de información adicional</t>
  </si>
  <si>
    <t>A corte 30 de abril de 2020 el grupo de Geomatica ha revisado 63 documentos de información geográfica de los cuales:
*41 corresponden a VPD
* 22 de información adicional</t>
  </si>
  <si>
    <t>A corte 30 de mayo de 2020 el grupo de Geomatica ha revisado 74 documentos de información geográfica de los cuales:
*50 corresponden a VPD
*24 de información adicional</t>
  </si>
  <si>
    <t>A corte 30 de junio de 2020 el grupo de Geomatica ha revisado 87 documentos de información geográfica de los cuales:
*61 corresponden a VPD
*26 de información adicional</t>
  </si>
  <si>
    <t>A corte 31 de julio de 2020 el grupo de Geomatica ha revisado 105 documentos de información geográfica de los cuales:
*77 corresponden a VPD
*28 de información adicional</t>
  </si>
  <si>
    <t>A corte 31 de agosto de 2020 el grupo de Geomatica ha revisado 146 documentos de información geográfica de los cuales:
*117 corresponden a VPD
*29 de información adicional</t>
  </si>
  <si>
    <t>Valoración Económica</t>
  </si>
  <si>
    <t>Porcentaje de Conceptos técnicos de evaluación que incluyen el componente de valoración económica en la etapa de evaluación de licenciamiento ambiental</t>
  </si>
  <si>
    <t>(# de conceptos técnicos de evaluación finalizados que incluyen el componente de valoración económica/Total de conceptos técnicos de evaluación revisados por profesionales de valoración económica) * 100</t>
  </si>
  <si>
    <t>YOLANDA CASALLAS ABRIL [Líder]</t>
  </si>
  <si>
    <t>Durante el mes de enero fueron asignados un total de 30 expedientes para la evaluación de DAA, licencia Ambiental, Modificación de licencia en valoración económica , de estos trámites fueron finalizados desde valoración económica 5 expedientes.</t>
  </si>
  <si>
    <t>A corte 29 de febrero de 2020 se han asignado un total de 36  expedientes para la evaluacion del componente de valoración económica, de los cuales 12 han sido revisados por el grupo y  8 de estos conceptos tecnicos finalizados y numerados desde los sectores.</t>
  </si>
  <si>
    <t>A corte 31 de marzo de 2020 se han asignado un total de 37 expedientes para la evaluacion del componente de valoración económica (incluidas nuevas licencias, modificaciones de licencia, modificaciones de PMA, respuesta a recursos de reposicion y evaluacion de DAA) de los cuales 18 han sido revisados por el grupo y  14 de estos conceptos tecnicos han sido finalizados y numerados desde los sectores.</t>
  </si>
  <si>
    <t>A corte abril de 2020,  se han asignado un total de 40  expedientes para la evaluacion del componente valoración económica  (incluidas nuevas licencias, modificaciones de licencia, modificaciones de PMA, respuesta a recursos de reposicion y evaluacion de DAA), de los cuales el grupo reviso 20 CT y 18 fueron finalizados y numerados desde los sectores.</t>
  </si>
  <si>
    <t>A corte mayo de 2020,  se han asignado un total de 44  expedientes para la evaluacion del componente valoración económica  (incluidas nuevas licencias, modificaciones de licencia, modificaciones de PMA, respuesta a recursos de reposicion y evaluacion de DAA), de los cuales el grupo reviso 23 CT y 22 fueron finalizados y numerados desde los sectores.</t>
  </si>
  <si>
    <t>A corte 30 de junio de 2020,  se han asignado un total de 52  expedientes para la evaluacion del componente valoración económica  (incluidas nuevas licencias, modificaciones de licencia, modificaciones de PMA, respuesta a recursos de reposicion y evaluacion de DAA), de los cuales el grupo reviso 28 CT y 27 fueron finalizados y numerados desde los sectores.</t>
  </si>
  <si>
    <t>A corte 31 de julio de 2020,  se han asignado un total de 60  expedientes para la evaluacion del componente valoración económica  (incluidas nuevas licencias, modificaciones de licencia, modificaciones de PMA, respuesta a recursos de reposicion y evaluacion de DAA), de los cuales el grupo ha realizado la revisión de 35 CTde los cuales 32  fueron finalizados y numerados desde los sectores.</t>
  </si>
  <si>
    <t>A corte 31 de agosto de 2020,  se han asignado un total de 75  expedientes para la evaluacion del componente valoración económica  (incluidas nuevas licencias, modificaciones de licencia, modificaciones de PMA, respuesta a recursos de reposicion y evaluacion de DAA), de los cuales el grupo ha realizado la revisión de 37 CT de los cuales 34 fueron finalizados y numerados desde los sectores.</t>
  </si>
  <si>
    <t>Promedio de avance en metas de Producto SES</t>
  </si>
  <si>
    <t>Promedio de avance en metas de Gestión SES</t>
  </si>
  <si>
    <t>Promedio de avance en metas de Producto SELA</t>
  </si>
  <si>
    <t>Promedio de avance en metas de Gestión SELA</t>
  </si>
  <si>
    <t>REPORTE AVANCE MENSUAL AGOSTO</t>
  </si>
  <si>
    <t>GRUPO / REGIÓN</t>
  </si>
  <si>
    <t>Seguimiento</t>
  </si>
  <si>
    <t>Subdirección de Seguimiento de Licenciamiento Ambiental</t>
  </si>
  <si>
    <t>Subdirección de Seguimiento</t>
  </si>
  <si>
    <t>Actos administrativos expedidos para resolver el seguimiento a proyectos licenciados.</t>
  </si>
  <si>
    <t># de actos administrativos que acogen el seguimiento realizado a los proyectos licenciados.</t>
  </si>
  <si>
    <t>Visitas técnicas de seguimiento a proyectos con licenciamiento ambiental</t>
  </si>
  <si>
    <t># de Visitas técnicas de seguimiento a proyectos con licenciamiento ambiental</t>
  </si>
  <si>
    <t>ANA MERCEDES CASAS [Subdirector(a) de Seguimiento]</t>
  </si>
  <si>
    <t>A corte 30 de abril de 2020 se han expedido556 actos administrativos que acogen el seguimiento a proyectos licenciados, entre rezagos y vigencia actual</t>
  </si>
  <si>
    <t>A corte de abril, la subdirección ha avanzado en realizar 273 visitas a los proyectos en seguimiento, el retraso en el avance de visitas se debe a la emergencia presentada por el COVID-19</t>
  </si>
  <si>
    <t>Con corte a corte 31 de mayo de 2020 se han expedido 790 actos administrativos que acogen el seguimiento a proyectos licenciados, los cuales 658 corresponden a vigencia actual y 132 a rezagos.</t>
  </si>
  <si>
    <t>Con corte 31 de mayo de 2020 la SSLA ha realizado 275 visitas de seguimiento</t>
  </si>
  <si>
    <t>A corte 30 de junio se han expedido 1130 actos administrativos que acogen el seguimiento a proyectos licenciados, los cuales 984 corresponden a vigencia actual y 146 a rezagos.</t>
  </si>
  <si>
    <t>A junio se han realizado 278 visitas, las cuales han disminuido por la situación actual por COVID-19</t>
  </si>
  <si>
    <t>A corte 31 de julio  de 2020, La SSLA ha expedido 1444 actos administrativos de los cuales 146 corresponden a rezagos y 1297 de esta vigencia</t>
  </si>
  <si>
    <t xml:space="preserve">A corte 31 de julio de  2020, se realizaron 310 visitas de seguimiento a los proyectos licenciados </t>
  </si>
  <si>
    <t>A corte 31 de agosto  de 2020, La SSLA ha expedido 1710 actos administrativos de los cuales 146 corresponden a rezagos y 1564 de esta vigencia</t>
  </si>
  <si>
    <t xml:space="preserve">A corte 31 de agosto de  2020, se realizaron 349 visitas de seguimiento a los proyectos licenciados </t>
  </si>
  <si>
    <t>Conceptos técnicos de seguimiento a licencias ambientales</t>
  </si>
  <si>
    <t># de Conceptos técnicos de seguimiento a licencias ambientales</t>
  </si>
  <si>
    <t>A corte de abril, el equipo asignado a la región ha avanzado en realizar 723 conceptos técnicos a los proyectos en etapa de seguimiento</t>
  </si>
  <si>
    <t>Con corte 31 de mayo de 2020 la SSLA ha elaborado 994 Concepto Técnicos.</t>
  </si>
  <si>
    <t>A junio se han realizado 1279 CT que corresponden a vigencia actual</t>
  </si>
  <si>
    <t>A corte 31 de julio de 2020, se expedieron 1538 concepto técnicos de seguimiento</t>
  </si>
  <si>
    <t>A corte 31 de agosto de 2020, se expedieron 1791 concepto técnicos de seguimiento</t>
  </si>
  <si>
    <t>Porcentaje de seguimientos de licenciamiento ambiental con oralidad</t>
  </si>
  <si>
    <t>Número de seguimientos finalizados con oralidad / Número total de seguimientos realizados de licenciamiento ambiental</t>
  </si>
  <si>
    <t>A corte de abril, se han efectuado 34 oralidades de 556 seguimientos finalizados</t>
  </si>
  <si>
    <t>Con corte 31 de mayo de 2020 la SSLA ha realizado 72 actas de seguimiento</t>
  </si>
  <si>
    <t>A junio se han realizado el 24% de seguimientos con oralidad (se excluyen los seguimientos del grupo de agroquímicos, dado que no les aplica)</t>
  </si>
  <si>
    <t>A corte 31 de julio de 2020, se realizarón 176 actas de control y seguimiento</t>
  </si>
  <si>
    <t>A corte 31 de agosto de 2020, se realizarón 252 actas de control y seguimiento</t>
  </si>
  <si>
    <t>Alto Magdalena-Cauca</t>
  </si>
  <si>
    <t>DAVID GREGORIO FLOREZ OLAYA [Coordinador(a)]</t>
  </si>
  <si>
    <t>A corte 30 de abril de 2020 se han expedido 46 actos administrativos que acogen el seguimiento a proyectos licenciados, los cuales 35 corresponden a vigencia actual y 10 a rezagos.</t>
  </si>
  <si>
    <t>A corte de abril, el equipo asignado a la región ha avanzado en realizar 47 visitas a los proyectos en seguimiento, el retraso en el avance de visitas se debe a la emergencia presentada por el COVID-19</t>
  </si>
  <si>
    <t>A corte 31 de mayo de 2020 se han expedido 71 actos administrativos que acogen el seguimiento a proyectos licenciados, los cuales 59 corresponden a vigencia actual y 12 a rezagos.</t>
  </si>
  <si>
    <t>Con corte 31 de mayo de 2020 la Región ha realizado 48 visitas de seguimiento</t>
  </si>
  <si>
    <t xml:space="preserve">A corte 30 de junio  de 2020, la Region Alto Magdalena- Cauca,  han expedido 110  actos administrativos que acogen el seguimiento a proyectos licenciados, de los cuales 13 corresponden a rezago vigencia 2019, se han realizado 97  a vigencia actual, discriminados en 34 actas de oralidad, 57 autos de seguimiento y 6 resoluciones </t>
  </si>
  <si>
    <t>A corte 30 de junio de  2020, se realizaron 50  visitas de seguimiento a los proyectos licenciados por  la Region Alto Magdalena - Cauca</t>
  </si>
  <si>
    <t xml:space="preserve">A corte 31 de julio  de 2020, la Region Alto Magdalena- Cauca,  han expedido 141  actos administrativos que acogen el seguimiento a proyectos licenciados, de los cuales 13 corresponden a rezago vigencia 2019, se han realizado 128  a vigencia actual, discriminados en 57 actas de oralidad, 64 autos de seguimiento y 7 resoluciones </t>
  </si>
  <si>
    <t>A corte 31 de julio de  2020, se realizaron 56  visitas de seguimiento a los proyectos licenciados por  la Region Alto Magdalena - Cauca</t>
  </si>
  <si>
    <t>A corte 31 de agosto  de 2020, la Region Alto Magdalena- Cauca,  ha expedido 158  actos administrativos que acogen el seguimiento a proyectos licenciados, de los cuales 13 corresponden a rezago vigencia 2019 ( 1 acta de oralidad, 11 autos de seguimiento y 1 resolución), se han realizado 145  a vigencia actual, discriminados en 68 actas de oralidad, 70 autos de seguimiento y 7 resoluciones.</t>
  </si>
  <si>
    <t>A corte 31 de agosto de  2020, se realizaron 65  visitas de seguimiento a los proyectos licenciados por  la Region Alto Magdalena - Cauca, de las cuales 16 han sido visitas guiadas</t>
  </si>
  <si>
    <t>Conceptos técnicos de seguimiento con visita realizado a proyectos programados en la vigencia actual</t>
  </si>
  <si>
    <t># de conceptos técnicos de seguimiento con visita aprobados en la vigencia actual</t>
  </si>
  <si>
    <t>A corte de abril, el equipo asignado a la región ha avanzado en realizar 41 conceptos técnicos a los proyectos que han tenido visita en etapa de seguimiento</t>
  </si>
  <si>
    <t>Con corte 31 de mayo de 2020 la región ha elaborado 49 CT con visita.</t>
  </si>
  <si>
    <t>A corte 30 de junio de   de 2020, la Region Alto Magdalena - Cauca  ha expidido 53 CT con visita de los cuales 50 corresponden a vigencia actual</t>
  </si>
  <si>
    <t>A corte 31 de julio de 2020, la Region Alto Magdalena - Cauca  ha expidido 55 CT con visita</t>
  </si>
  <si>
    <t>A corte 31 de agosto de 2020, la Region Alto Magdalena - Cauca  ha expidido 60 CT con visita</t>
  </si>
  <si>
    <t>Conceptos técnicos de seguimiento documental de proyectos priorizados en la vigencia actual</t>
  </si>
  <si>
    <t># de conceptos técnicos de seguimiento documental aprobados en la vigencia actual</t>
  </si>
  <si>
    <t>A corte de abril, el equipo asignado a la región ha avanzado en realizar 15 conceptos técnicos de seguimiento documental</t>
  </si>
  <si>
    <t xml:space="preserve">Con corte 31 de mayo de 2020 la región ha elaborado 37 CT documental de seguimiemto    </t>
  </si>
  <si>
    <t>A corte  30 de junio  de 2020,  la Region Alto Magdalena Cauca,  ha expidido 67  CT documental vigencia actual</t>
  </si>
  <si>
    <t>A corte  31 de julio de 2020,  la Region Alto Magdalena Cauca,  ha expidido 84 CT documental vigencia actual</t>
  </si>
  <si>
    <t>A corte 31 de agosto de 2020, la Region Alto Magdalena Cauca,  ha expidido 99 CT documental vigencia actual</t>
  </si>
  <si>
    <t>Caribe-Pacifico</t>
  </si>
  <si>
    <t>LAURA EDITH SANTOYO [Coordinadora]</t>
  </si>
  <si>
    <t>A corte 30 de abril de 2020 se han expedido 40 actos administrativos que acogen el seguimiento a proyectos licenciados, los cuales 19 corresponden a vigencia actual y 20 a rezagos.</t>
  </si>
  <si>
    <t>A corte 30 de abril de 2020 la Región ha realizado 77 visitas de seguimiento</t>
  </si>
  <si>
    <t>A corte 31 de mayo de 2020 se han expedido 68 actos administrativos que acogen el seguimiento a proyectos licenciados, los cuales 43 corresponden a vigencia actual y 25 a rezagos.</t>
  </si>
  <si>
    <t>Con corte 31 de mayo de 2020 la Región ha realizado 77 visitas de seguimiento</t>
  </si>
  <si>
    <t>A corte 30 de junio se han expedido 157 actos administrativos que acogen el seguimiento a proyectos licenciados, los cuales 122 corresponden a vigencia actual y 35 a rezagos.</t>
  </si>
  <si>
    <t>A corte 30 de junio de 2020 la Región ha realizado 78 visitas de seguimiento</t>
  </si>
  <si>
    <t>A corte 31 de julio se han expedido 227 actos administrativos que acogen el seguimiento a proyectos licenciados, los cuales 192 corresponden a vigencia actual y 35 a rezagos.</t>
  </si>
  <si>
    <t>A corte 31 de julio de 2020 la Región ha realizado 84 visitas de seguimiento</t>
  </si>
  <si>
    <t>A corte 31 de agosto se han expedido 281 actos administrativos que acogen el seguimiento a proyectos licenciados, los cuales 246 corresponden a vigencia actual, discriminados en 59 actas de oralidad, 170 autos de seguimiento y 17 resoluciones y 35 a rezagos (3 actas de oralidad y 32 autos de seguimiento)</t>
  </si>
  <si>
    <t>A corte 31 de agosto de 2020 la Región ha realizado 78 visitas de seguimiento presenciales y 26 visitas guiadas, total 104 visitas</t>
  </si>
  <si>
    <t>A corte 30 de abril de 2020 la región ha elaborado 66  CT con visita, de los cuales 62 corresponde a vigencia actual. No se incluye en el avance 4 Ct que corresponden a rezago 2019.</t>
  </si>
  <si>
    <t>Con corte 31 de mayo de 2020 la región ha elaborado 70 CT con visita.</t>
  </si>
  <si>
    <t>A corte 30 de junio de 2020 la región ha elaborado 77 que corresponde a vigencia actual.</t>
  </si>
  <si>
    <t>A corte 31 de julio de 2020 la región ha elaborado 80 CT con visita.</t>
  </si>
  <si>
    <t>A corte 31 de agosto de 2020 la región ha elaborado 88 CT con visitade la vigencia actual</t>
  </si>
  <si>
    <t>LAURA EDITH SANTOYO [Coordinadora]]</t>
  </si>
  <si>
    <t xml:space="preserve">A corte 30 de abril de 2020 la región ha elaborado 36 CT documental de seguimiemto    </t>
  </si>
  <si>
    <t xml:space="preserve">Con corte 31 de mayo de 2020 la región ha elaborado 72 CT documental de seguimiemto    </t>
  </si>
  <si>
    <t xml:space="preserve">A corte 30 de junio de 2020 la región ha elaborado 113 CT documental de seguimiemto    </t>
  </si>
  <si>
    <t xml:space="preserve">A corte 31 de julio de 2020 la región ha elaborado 164 CT documental de seguimiemto    </t>
  </si>
  <si>
    <t xml:space="preserve">A corte 31 de agosto de 2020 la región ha elaborado  197 CT documental de seguimiemto    </t>
  </si>
  <si>
    <t>Medio Magdalena-Cauca Catatumbo</t>
  </si>
  <si>
    <t>GISELA GUIJARRO CARDOZO [Coordinador(a)]</t>
  </si>
  <si>
    <t>A corte 30 de abril de 2020 se han expedido 66 actos administrativos que acogen el seguimiento a proyectos licenciados, los cuales 42 corresponden a vigencia actual y 20 a rezagos.</t>
  </si>
  <si>
    <t xml:space="preserve">A 30 de abril la región MMCC lleva realizadas 70 visitas de 219 programadas </t>
  </si>
  <si>
    <t>A corte 31 de mayo de 2020 se han expedido 80 actos administrativos que acogen el seguimiento a proyectos licenciados, los cuales 61 corresponden a vigencia actual y 22 a rezagos.</t>
  </si>
  <si>
    <t xml:space="preserve">Con corte a 31 de mayo la región MMCC lleva realizadas 71 visitas </t>
  </si>
  <si>
    <t>A 30 de junio la region MMCC expidió 126 Actos Administrativos conformados por 104 de vigencia actual (31 actas, 59 Autos y 14 resoluciones)  y 22 rezagos (4 actas, 17 Autos y 1 resolucion)</t>
  </si>
  <si>
    <t>A 30 de junio la region MMCC ha realizado 72 visitas de las 219 programadas</t>
  </si>
  <si>
    <t>A 31 de julio la region MMCC expidió 161 Actos Administrativos conformados por 139 de vigencia actual (46 actas, 79 Autos y 14 resoluciones)  y 22 rezagos (4 actas, 17 Autos y 1 resolucion)</t>
  </si>
  <si>
    <t>A 31 de julio la region MMCC ha realizado 85 visitas de las 219 programadas</t>
  </si>
  <si>
    <t>A 31 de Agosto la region MMCC expidio 185 Actos Administrativos conformados por 163 de vigencia actual (53 actas, 94 Autos y 16 resoluciones)  y 22 rezagos (4 actas, 17 Autos y 1 resolucion)</t>
  </si>
  <si>
    <t>A 31 de Agosto la region MMCC lleva realizadas 95 visitas de las 219 programadas conformadas por (73 visitas presenciales y 22 guiadas)</t>
  </si>
  <si>
    <t xml:space="preserve">A 30 de abril la región MMCC lleva realizadas 62 conceptos técnicos con visita de 70 visitas realizadas </t>
  </si>
  <si>
    <t xml:space="preserve">Con corte a 31 de mayo la región MMCC lleva realizados 66 conceptos técnicos con visita de 71 visitas realizadas </t>
  </si>
  <si>
    <t>A 30 de Junio la region MMCC ha realizado 69 conceptos técnicos con visita de las 72 visitas realizadas (se hicieron 3 CT de visitas de rezagos que no se incluyen)</t>
  </si>
  <si>
    <t>A 31 de Julio la region MMCC ha realizado 71 conceptos técnicos con visita</t>
  </si>
  <si>
    <t>A 31 de Agosto la region MMCC  lleva realizados 80 conceptos tecnicos con visita de las 97  realizadas</t>
  </si>
  <si>
    <t xml:space="preserve">A 30 de abril la región MMCC lleva realizadas 15 conceptos técnicos documentales de 27 programadas </t>
  </si>
  <si>
    <t xml:space="preserve">Con corte a 31 de mayo la región MMCC lleva realizadas 34 conceptos técnicos documentales de 27 programadas </t>
  </si>
  <si>
    <t>A 30 de Junio la region MMCC ha realizado 61 conceptos tecnicos de los 27 programados, debido a la emergencia sanitaria del COVID-19</t>
  </si>
  <si>
    <t>A 31 de Julio la region MMCC ha realizado 85 conceptos tecnicos de los 27 programados, debido a la emergencia sanitaria del COVID-19</t>
  </si>
  <si>
    <t>A 31 de Agosto la region MMCC lleva realizados 105 conceptos tecnicos de los 27 programados.</t>
  </si>
  <si>
    <t>Orinoquía-Amazonas</t>
  </si>
  <si>
    <t>NANCY PATRICIA CURREA GÓMEZ[Coordinador(a)]</t>
  </si>
  <si>
    <t>A corte 30 de abril de 2020 se han expedido 70 actos administrativos que acogen el seguimiento a proyectos licenciados, los cuales 7 corresponden a vigencia actual y 63 a rezagos.</t>
  </si>
  <si>
    <t>A 30 de abril la región Orinoquía lleva realizadas 79 visitas de 270 previstas para el año</t>
  </si>
  <si>
    <t>A corte 31 de mayo de 2020 se han expedido 93 actos administrativos que acogen el seguimiento a proyectos licenciados, los cuales 20 corresponden a vigencia actual y 73 a rezagos.</t>
  </si>
  <si>
    <t>Con corte a 31 de mayo la región Orinoquía lleva realizadas 79 visitas de 270 previstas para el año</t>
  </si>
  <si>
    <t>A corte 30 de junio de 2020 se han expedido 121 actos administrativos que acogen el seguimiento a proyectos licenciados, los cuales 45 corresponden a vigencia actual y 76 a rezagos.</t>
  </si>
  <si>
    <t>Con corte a 30 de junio  la región Orinoquía lleva realizadas 78 visitas de 270 previstas para el año</t>
  </si>
  <si>
    <t>A corte 31 de julio de 2020 se han expedido 156 actos administrativos que acogen el seguimiento a proyectos licenciados, los cuales 80 corresponden a vigencia actual y 76 a rezagos.</t>
  </si>
  <si>
    <t>Con corte a 31 de julio la región Orinoquía lleva realizadas 84 visitas de 270 previstas para el año</t>
  </si>
  <si>
    <t>A corte 31 de agosto de 2020 se han expedido 218 actos administrativos que acogen el seguimiento a proyectos licenciados, los cuales 142 corresponden a vigencia actual de los cuales 61 oralidades, 61 autos y 20 resoluciones  y 76 a rezagos (3 actas, 72 autos y 1 resolución).</t>
  </si>
  <si>
    <t>Con corte a 31 de agosto la región Orinoquía lleva realizadas 85 visitas de las cuales 5 han sido guiadas.</t>
  </si>
  <si>
    <t xml:space="preserve">A 30 de abril la región Orinoquía lleva realizados 66 conceptos técnicos con visita de 270 previstos para el año </t>
  </si>
  <si>
    <t xml:space="preserve">Con corte a 31 de mayo la región Orinoquía lleva realizados 76 conceptos técnicos con visita de 270 previstos para el año </t>
  </si>
  <si>
    <t xml:space="preserve">Con corte a 30 de junio la región Orinoquía lleva realizados 78 conceptos técnicos con visita de 270 previstos para el año </t>
  </si>
  <si>
    <t xml:space="preserve">Con corte a 31 de julio la región Orinoquía lleva realizados 82 conceptos técnicos con visita de 270 previstos para el año </t>
  </si>
  <si>
    <t>Con corte a 31 de agosto la región Orinoquía lleva realizados 84 conceptos técnicos con visita</t>
  </si>
  <si>
    <t xml:space="preserve">A 30 de abril la región Orinoquía lleva realizados 20 conceptos técnicos documentales de 270 previstos para el año  </t>
  </si>
  <si>
    <t>Con corte a 31 de mayo la región Orinoquía lleva realizados 52 conceptos técnicos documentales por encima de previstos para el año inicialmente</t>
  </si>
  <si>
    <t xml:space="preserve">Con corte a 30 de junio la región Orinoquía lleva realizados 89 conceptos técnicos documentales de 23 previstos para el año  </t>
  </si>
  <si>
    <t xml:space="preserve">Con corte a 31 de julio la región Orinoquía lleva realizados 129 conceptos técnicos documentales de 23 previstos para el año  </t>
  </si>
  <si>
    <t xml:space="preserve">Con corte a 31 de agosto la región Orinoquía lleva realizados 169 conceptos técnicos documentales </t>
  </si>
  <si>
    <t>Agroquímicos y Proyectos Especiales</t>
  </si>
  <si>
    <t>LIZ MARINELA TELLEZ (Coordinadora)</t>
  </si>
  <si>
    <t>A 30 de abril el grupo de Agroquímicos avanzó hasta 340 actos administrativos  de 1205 programados como meta</t>
  </si>
  <si>
    <t>A 30 de abril el grupo de Agroquímicos avanzó 404 conceptos técnicos  de 1205 programados como meta</t>
  </si>
  <si>
    <t>A 31 de Mayo el grupo de Agroquímicos avanzó hasta 475 actos administrativos  de 1205 programados como meta</t>
  </si>
  <si>
    <t>Con corte a 31 de Mayo el grupo de Agroquímicos avanzó hasta 538 conceptos técnicos de 1205 programados como meta</t>
  </si>
  <si>
    <t>A 30 de Junio el grupo de Agroquímicos expidió 616 actos administrativos de 1205 programados como meta</t>
  </si>
  <si>
    <t>Con corte a 30 de junio el grupo de Agroquímicos ha realizado 675 conceptos técnicos de 1205 programados como meta</t>
  </si>
  <si>
    <t>A 31 de Julio el grupo de Agroquímicos expidió 758 actos administrativos de 1205 programados como meta</t>
  </si>
  <si>
    <t>Con corte a 31 de julio el grupo de Agroquímicos ha realizado 788 conceptos técnicos de 1205 programados como meta</t>
  </si>
  <si>
    <t>A 31 de Agosto el grupo de Agroquímicos expidió 868 actos administrativos de 1205 programados como meta</t>
  </si>
  <si>
    <t>Con corte a 31 de agosto el grupo de Agroquímicos ha realizado 909 conceptos técnicos de 1205 programados como meta</t>
  </si>
  <si>
    <t>Compensación y 1%</t>
  </si>
  <si>
    <t>Número de Actos administrativos numerados que incluyen el componente de inversión y 1% en cumplimiento Art. 321 PND</t>
  </si>
  <si>
    <t>Número de actos administrativos que acogen el seguimiento realizado a los expedientes priorizados con la obligación de inversión 1%</t>
  </si>
  <si>
    <t>YESENIA VASQUEZ AGUILERA [Líder]</t>
  </si>
  <si>
    <t>Durante el mes de Abril: Se Adelanto 70 Oficios  de solictud  de información complementaria derivada del análisis de información en virtud del Articulo 321 de la Ley 1955 y  64 Resoluciones de las cuales 1 es de No aceptación de acogimiento y 9 autos de seguimiento al 1% y 1  de auto archiva por extemporaneidad. Sumados a los 102 A.A. de meses anteriores nos da el avance acumulado de 246 A.A.</t>
  </si>
  <si>
    <t>Durante el mes de mayo: Se Adelanto 49 Oficios  de solictud  de información complementaria derivada del análisis de información en virtud del Articulo 321 de la Ley 1955 y  20 Resoluciones  de acogimiento y 27 autos de seguimiento al 1% y 3  Autos de desistimiento</t>
  </si>
  <si>
    <t>Durante el mes de junio: Se Adelanto 9 Oficios  de solicitud  de información complementaria derivada del análisis de información en virtud del Articulo 321 de la Ley 1955 y  19 Resoluciones  de acogimiento y 8 autos de seguimiento al 1% y 6  Autos de desistimiento</t>
  </si>
  <si>
    <t xml:space="preserve">Durante el mes de julio: Se Adelanto 3 Oficios  de solicitud  de información complementaria derivada del análisis de información en virtud del Articulo 321 de la Ley 1955 y  20 Resoluciones  de acogimiento y 28 autos de seguimiento al 1% </t>
  </si>
  <si>
    <t>Durante el mes de agosto: Se Adelanto 6 Oficios  de solicitud  de información complementaria derivada del análisis de información en virtud del Articulo 321 de la Ley 1955 y  22 Resoluciones  de acogimiento y 18 autos de seguimiento al 1% y acompañamiento a 2 Actas de seguimiento</t>
  </si>
  <si>
    <t>Avance estrategia para la inversión del 1% y compensación en territorio</t>
  </si>
  <si>
    <t>Numero de áreas donde se desarrollen acciones de conservación, preservación y restauración con cargo al 1% y a la compensación ambiental/Total de áreas habilitadas por la estrategia para Compensación y 1%</t>
  </si>
  <si>
    <t>Se ha avanzado en 675,52 Ha de 3150 estblecidas como meta producto</t>
  </si>
  <si>
    <t>Se ha avanzado en 685,52 Ha de 3150 estblecidas como meta producto</t>
  </si>
  <si>
    <t>Se ha avanzado en 1131,34 Ha de 3150 estblecidas como meta producto</t>
  </si>
  <si>
    <t>Se ha avanzado en 1726,67 Ha de 3150 establecidas como meta producto</t>
  </si>
  <si>
    <t>Se ha avanzado en 1965,14 Ha de 3150 establecidas como meta producto</t>
  </si>
  <si>
    <t>Número de actos administrativos que acogen el seguimiento realizado a los expedientes priorizados de Inversión y 1% en licenciamiento ambiental</t>
  </si>
  <si>
    <t>Número de pronunciamientos sobre proyectos que tienen la obligación de compensación, recursos de reposición y sancionatorios</t>
  </si>
  <si>
    <t>Durante el mes de abril: Se Adelanto 18  Actos administrativos. 17 de seguimiento y 1  Recurso de reposición. Sumados a los 62 A.A. de meses anteriores nos da el avance acumulado de 80 A.A.</t>
  </si>
  <si>
    <t>Durante el mes de mayo se adelantaron 15 Actos administrativos, sumados a los 84 efectuados de enero a abril, el avance acumulado asciende a 99 A..A</t>
  </si>
  <si>
    <t>Durante el mes de junio: Se Adelanto 6 Actos administrativos. 3 de seguimiento y 3 Recursos de reposición</t>
  </si>
  <si>
    <t>Durante el mes de julio: Se Adelanto 13  Actos administrativos. 3 de seguimiento y 10  Recursos de reposición</t>
  </si>
  <si>
    <t>Durante el mes de agosto: Se Adelanto 21  Actos administrativos. 11 de seguimiento y 10  Recursos de reposición</t>
  </si>
  <si>
    <t>Número de seguimientos finalizados desde el componente de riesgos y contingencias</t>
  </si>
  <si>
    <t>Número de actos administrativos finalizados desde el componente de riesgos y Contingencias</t>
  </si>
  <si>
    <t>Número de Conceptos técnicos de seguimiento priorizados por los sectores finalizados desde el componente de riesgos y contingencias</t>
  </si>
  <si>
    <t>Número de Conceptos técnicos de seguimiento finalizados desde el componente de Riegos y Contingencias</t>
  </si>
  <si>
    <t>A corte  30 de abril de 2020, el grupo no ha revisado desarrollado este indicador teniendo en cuenta que el revisor jurídico no ha ingresado a la entidad por la reestructuración y por el aislamiento preventivo por el COVID-19.</t>
  </si>
  <si>
    <t>A corte  30 de abril de 2020, el grupo ha revisado 148 CT con los sectores que incluye el componente de Riesgos y Contingencias.</t>
  </si>
  <si>
    <t>A corte 31 de mayo de 2020, el grupo no ha desarrollado este indicador teniendo en cuenta que el revisor jurídico ingresó a la entidad el 26 de mayo sin embargo, a corte de 02 de junio se encuentra en el proceso de sesíon de contrato  por otra oportunidad laboral.</t>
  </si>
  <si>
    <t>Con corte a corte  31 de mayo de 2020, el grupo ha revisado 208 CT con los sectores que incluye el componente de Riesgos y Contingencias.</t>
  </si>
  <si>
    <t>A corte 30 de junio de 2020, el grupo no haavanzado en este indicador teniendo en cuenta que  aún no cuenta con ejecutor/ revisor jurídico.</t>
  </si>
  <si>
    <t>A corte 30 de junio de 2020, el grupo ha revisado 245 CT con los sectores que incluye el componente de Riesgos y Contingencias.</t>
  </si>
  <si>
    <t>A corte 31 de julio de 2020, el grupo no ha reportado avance de este indicador teniendo en cuenta que  aún no cuenta con ejecutor jurídico.</t>
  </si>
  <si>
    <t>A corte  31 de julio de 2020, el grupo ha revisado 308 CT con las regiones que incluyen el componente de Riesgos y Contingencias.</t>
  </si>
  <si>
    <t>A corte 31 de agosto de 2020, el grupo no ha reportado avance de este indicador teniendo en cuenta que  aún no cuenta con ejecutor jurídico.</t>
  </si>
  <si>
    <t>A corte  31 de agosto de 2020, el grupo ha revisado  375 Conceptos Técnicos con las regiones que incluyen el componente de Riesgos y Contingencias.</t>
  </si>
  <si>
    <t>Seguimiento a expedientes de vigencias anteriores por contingencias recurrentes</t>
  </si>
  <si>
    <t># de actos administrativos que acogen el seguimiento realizado a los expedientes priorizados de contingencias</t>
  </si>
  <si>
    <t>A corte  30 de abril de 2020, el grupo ha revisado 3 CT priorizados  que incluye el componente de Riesgos y Contingencias, de los cuales 1 se ha acogido con AA.</t>
  </si>
  <si>
    <t>A corte  31 de mayo de 2020, el grupo ha revisado 4 CT priorizados  que incluye el componente de Riesgos y Contingencias, de los cuales 1 se ha acogido con AA</t>
  </si>
  <si>
    <t>A corte  30 de junio  de 2020, el grupo ha desarrollado  6 CT priorizados  que incluye el componente de Riesgos y Contingencias, de los cuales 5 se han acogido con AA.</t>
  </si>
  <si>
    <t>A corte  31 de julio de 2020, el grupo ha desarrollado  6 CT priorizados  que incluye el componente de Riesgos y Contingencias, de los cuales 5 se ha acogido con AA.</t>
  </si>
  <si>
    <t>A corte  31 de agosto de 2020, el grupo ha desarrollado  8 Conceptos Técnicos priorizados  que incluyen el componente de Riesgos y Contingencias, de los cuales 5 se han acogido con Acto Administrativo.</t>
  </si>
  <si>
    <t>Documentos de revisión de información geográfica de proyectos de seguimiento</t>
  </si>
  <si>
    <t># de documentos de revisión de información geográfica de proyectos</t>
  </si>
  <si>
    <t>1622 ICA revisados de 289 allegados en abril y 500 de rezago, gestionando el 57.93% de lo programado en el año. Pendientes 789.</t>
  </si>
  <si>
    <t>2064 ICA revisados de 344 allegados en mayo y 503 de rezago, gestionando el 73.71% de lo programado en el año. Pendientes 847.</t>
  </si>
  <si>
    <t xml:space="preserve">2504 ICA revisados de 365 allegados en junio y 691 de rezago, gestionando el 89.43% de lo programado en el año. </t>
  </si>
  <si>
    <t xml:space="preserve">3046 ICA revisados, gestionando el 108.79% de lo programado en el año. </t>
  </si>
  <si>
    <t xml:space="preserve">3444 ICA revisados, gestionando el 123% de lo programado en el año. </t>
  </si>
  <si>
    <t>Proyectos licenciados con Indice de Desempeño Ambiental</t>
  </si>
  <si>
    <t>Número de proyectos en seguimiento con aplicación de la metodología del Indice de Desempeño Ambiental</t>
  </si>
  <si>
    <t>180 SDE elaborados, para el cálculo del IDA. Se gestionó un 13.2% de lo programado en el año. Este dato es informativo, teniendo en cuenta que el IDA será medido a partir del segundo semestre de 2020.</t>
  </si>
  <si>
    <t>263 SDE elaborados, para el cálculo del IDA. Se gestionó un 19.2% de lo programado en el año. Este dato es informativo, teniendo en cuenta que el IDA será medido a partir del segundo semestre de 2020.</t>
  </si>
  <si>
    <t>319 SDE elaborados, para el cálculo del IDA. Se gestionó un 23.37% de lo programado en el año. Este dato es informativo, teniendo en cuenta que el IDA será medido a partir del segundo semestre de 2020.</t>
  </si>
  <si>
    <t>408 SDE elaborados y finalizados en SILA.</t>
  </si>
  <si>
    <t xml:space="preserve">497 SDE elaborados, para el cálculo del IDA. Se gestionó un 36.41% de lo programado en el año. </t>
  </si>
  <si>
    <t>Documentos de Seguimiento Documental Espacial de proyectos en etapa de seguimiento</t>
  </si>
  <si>
    <t># de documentos de Seguimiento Documental Espacial de proyectos en etapa de seguimiento</t>
  </si>
  <si>
    <t>180 SDE elaborados y finalizados en SILA, 77 memorandos informando al sector la Verificación Geográfica y Documental. Se ha gestionado un 19% de lo programado en el año.</t>
  </si>
  <si>
    <t>263 SDE elaborados y finalizados en SILA, 123 memorandos informando al sector la Verificación Geográfica y Documental. Se ha gestionado un 28.3% de lo programado en el año.</t>
  </si>
  <si>
    <t>319 SDE elaborados y finalizados en SILA, 127 memorandos informando al sector la Verificación Geográfica y Documental. Se ha gestionado un 32.67% de lo programado en el año.</t>
  </si>
  <si>
    <t xml:space="preserve">408 SDE elaborados. Se gestionó un 29.89% de lo programado en el año. </t>
  </si>
  <si>
    <t>497 SDE elaborados y finalizados en SILA, 144 memorandos informando al sector la Verificación Geográfica y Documental. Se ha gestionado un 46.96% de lo programado en el año.</t>
  </si>
  <si>
    <t>Porcentaje de Conceptos técnicos de seguimiento finalizados que incluyen el componente de valoración económica en  licenciamiento ambiental</t>
  </si>
  <si>
    <t>(# de conceptos técnicos de seguimiento finalizados que incluyen el componente de valoración económica/Total de conceptos técnicos de seguimiento revisados por profesionales de valoración económica) * 100</t>
  </si>
  <si>
    <t>A corte abril de 2020,  se han asignado un total de 107  expedientesen la etapa de seguimiento  del componente valoración económica, de los cuales el grupo revisó 76 CT y 70  fueron finalizados y numerados desde los sectores.</t>
  </si>
  <si>
    <t>A corte 31 de mayo se han asignado un total de 148 expedientes para el seguimiento del componente de valoración económica. desde las regiones de seguimiento se han finalizado con numeración 100 conceptos técnicos. desde valoración económica se han revisado y finalizado un total de 107 conceptos, de estos se han finalizado y númerado 97 C.T.</t>
  </si>
  <si>
    <t>Con corte 30 de junio se han tenido un total de 166 asignaciones. Desde el grupo de valoración económica se ha realizado la revisión del componente valoración económica de 131 conceptos técnicos, de los cuales se han finalizado y numerado un total de 121. Durante el mes de junio se finalizaron y numeraron un total de 27 conceptos técnicos con componente de valoración económica</t>
  </si>
  <si>
    <t>Con corte 31 de julio se han tenido un total de 203 asignaciones. Se han finalizado y numerado un total de 147 conceptos técnicos de seguimiento con el componente valoración económica desde las regiones. Y desde el grupo de valoración económica se ha realizado la revisión de 166 conceptos técnicos . Durante el mes de julio se finalizaron y numeraron un total de 22 conceptos técnicos con componente de valoración económica</t>
  </si>
  <si>
    <t>Con corte 31 de agosto se han tenido un total de 220 asignaciones. Se han finalizado y numerado un total de 176 conceptos técnicos de seguimiento con el componente valoración económica desde las regiones. Y desde el grupo de valoración económica se ha finalizado la revisión de 180 conceptos técnicos . Durante el mes de agosto se finalizaron y numeraron un total de 23 conceptos técnicos con componente de valoración económica</t>
  </si>
  <si>
    <t>Promedio de avance en metas de Producto SSLA</t>
  </si>
  <si>
    <t>Promedio de avance en metas de Gestión SSLA</t>
  </si>
  <si>
    <t>REPORTE AVANCE MENSUAL SEPTIEMBRE</t>
  </si>
  <si>
    <t xml:space="preserve">A corte 30 de septiembre de  2020 se han expedido 269 actos administrativos para resolver las solicitudes de evaluación de licencianto ambiental. El indicador registra bajo porcentaje de avance, lo anterior debido a la reduccion en la radicacion de solicitudes de licenciemiento por motivo de la emergencia presentada por COVID-19. 
Se culminaron las mesas de trabajo con los sectores y la OAP, en las cuales se definieron las metas de acuerdo a la situacion actual de la entidad, solicitud de modificacion que fue radicada ante la OAP. </t>
  </si>
  <si>
    <t xml:space="preserve">A corte 30 de septiembre de 2020 se han realizado 38 visitas tecnicas  para el proceso de evaluación de licenciamiento ambiental.  
El indicador registra bajo porcentaje de avance, lo anterior debido a la reduccion en la radicacion de solicitudes de licenciemiento por motivo de la emergencia presentada por COVID-19. 
Se culminaron las mesas de trabajo con los sectores y la OAP, en las cuales se definieron las metas de acuerdo a la situacion actual de la entidad, solicitud de modificacion que fue radicada ante la OAP. </t>
  </si>
  <si>
    <t xml:space="preserve">A corte  30 de septiembre de 2020 se han elaborado 220 conceptos técnicos para resolver las solicitudes de evaluación de licencias ambientales. 
El indicador registra bajo porcentaje de avance, lo anterior debido a la reduccion en la radicacion de solicitudes de licenciemiento por motivo de la emergencia presentada por COVID-19. 
Se culminaron las mesas de trabajo con los sectores y la OAP, en las cuales se definieron las metas de acuerdo a la situacion actual de la entidad, solicitud de modificacion que fue radicada ante la OAP. </t>
  </si>
  <si>
    <t>A corte 30 septiembre de 2020 la ANLA debía resolver 72 solicitudes de licenciamiento ambiental;  (41) Nuevas, (31) Modificaciones, las cuales se resolvieron oportunamente</t>
  </si>
  <si>
    <t xml:space="preserve">A corte 30 de septiembre de  2020 el sector de hidrocarburos ha expedido 16 actos administrativos para resolver las solicitudes de evaluación de licencias ambientales </t>
  </si>
  <si>
    <t>A corte 30 de septiembre de 2020 se han realizado 5 visitas tecnicas  para el proceso de evaluación de licencias ambientales</t>
  </si>
  <si>
    <t>A corte 30 de septiembre de 2020 se han elaborado 11 conceptos técnicos para resolver las solicitudes de evaluación de licencias ambientales</t>
  </si>
  <si>
    <t>A corte 30 de septiembre de  2020 el sector debía resolver 16 solicitudes de licenciamiento ambientales;  (10) Nuevas, (6) Modificaciones, las cuales se resolvieron oportunamente.</t>
  </si>
  <si>
    <t>A corte 30 de septiembre de 2020 el sector de hidrocarburos debia realizar 5 visitas tecnicas, las cuales se realizaron oportunamente.</t>
  </si>
  <si>
    <t xml:space="preserve">A corte 30 de septiembre de 2020 el sector de infraestructura ha expedido 14 actos administrativos para resolver las solicitudes de evaluación de licencias ambientales </t>
  </si>
  <si>
    <t>A corte 30 de septiembre de 2020 se han realizado 19 visitas tecnicas  para el proceso de evaluación de licencias ambientales</t>
  </si>
  <si>
    <t>A corte 30 de septiembre de 2020 el sector ha elaborado 11 conceptos técnicos para resolver las solicitudes de evaluación de licencias ambientales</t>
  </si>
  <si>
    <t>A corte 30 de septiembre de 2020 el sector debía resolver 14 solicitudes de licenciamiento ambiental; (3) Nuevas, (11) Modificaciones, las cuales se resolvieron oportunamente.</t>
  </si>
  <si>
    <t>A corte 30 de septiembre de 2020 el sector de infraestructura debia realizar 18 visitas tecnicas, las cuales se realizaron oportunamente.</t>
  </si>
  <si>
    <t xml:space="preserve">A corte 30 de septiembre de 2020 el sector de energia ha expedido 15 actos administrativos para resolver las solicitudes de evaluación de licencias ambientales </t>
  </si>
  <si>
    <t>A corte 30 de septiembre de 2020 el sector ha realizado 6 visitas tecnicas para el proceso de evaluación de licencias ambientales</t>
  </si>
  <si>
    <t>A corte 30 de septiembre de 2020 el sector, ha expedido 14 conceptos tecnicos para resolver las solicitudes de evaluación de licencias ambientales</t>
  </si>
  <si>
    <t>A Lunes, 30 de septiembre de 2020  el sector  debía resolver 12 solicitudes de licenciamiento ambiental;  (5) Nuevas, (7) Modificaciones, las cuales se resolvieron oportunamente.</t>
  </si>
  <si>
    <t>A corte 30 de septiembre de 2020  el sector de energia tenia que realizar 4 visitas tecnicas de evaluacion,  las cuales se realizon oportunamente.</t>
  </si>
  <si>
    <t xml:space="preserve">A corte 30 de septiembre de 2020 el sector de mineria ha expedido 7 actos administrativos para resolver las solicitudes de evaluación de licencias ambientales </t>
  </si>
  <si>
    <t>A corte 30 de septiembre de 2020 el sector ha realizado 5  visitas tecnicas para el proceso de evaluación de licencias ambientales</t>
  </si>
  <si>
    <t>A corte 30 de septiembre de 2020 el sector ha expedido 6 conceptos tecnicos para resolver las solicitudes de evaluación de licencias ambientales</t>
  </si>
  <si>
    <t>A corte 30 de septiembre de 2020 el sector debía resolver 6 solicitudes de licenciamiento ambiental; (2) Nuevas, (4) Modificaciones, las cuales fueron resueltas oportunamente.</t>
  </si>
  <si>
    <t>A corte 30 de septiembre de 2020 el sector de mineria tenia  que realizar 4 visitas tecnicas de evaluacion, de las cuales se realizaron 3 oportunamente.</t>
  </si>
  <si>
    <t xml:space="preserve">A corte 30 de septiembre de 2020 el sector de Agroquimicos ha expedido 217 actos administrativos para resolver las solicitudes de evaluación de licencias ambientales </t>
  </si>
  <si>
    <t>A corte 30 de septiembre de 2020 el sector realizo 3 visitas tecnicas para el proceso de evaluación de licencias ambientales</t>
  </si>
  <si>
    <t xml:space="preserve">A corte 30 de septiembre de 2020 el sector, ha expedido 178 CT para resolver las solicitudes de evaluación de licencias ambientales </t>
  </si>
  <si>
    <t>A 30 de septiembre de 2020 el sector debía resolver 24 solicitudes de licenciamiento ambietal; (22) Nuevas, (2) Modificaciones, las cuales fueron resueltas oportunamente.</t>
  </si>
  <si>
    <t>A corte 30 de septiembre de 2020 el sector de Agroquimicos tenia 2 visitas con vencimiento de terminos, las cuales se realizaron en terminos</t>
  </si>
  <si>
    <t>A corte  30 de septiembre de 2020, el grupo ha revisado 53 CT que incluye el componente de Riesgos y Contingencias, de los cuales 52 se han acogido con AA.</t>
  </si>
  <si>
    <r>
      <t>A corte 30 de septiembre de 2020 el grupo de Geomatica ha revisado 173 documentos de información geográfica de los cuales:
*</t>
    </r>
    <r>
      <rPr>
        <sz val="9"/>
        <color rgb="FFFF0000"/>
        <rFont val="Calibri"/>
        <family val="2"/>
        <scheme val="minor"/>
      </rPr>
      <t>139</t>
    </r>
    <r>
      <rPr>
        <sz val="9"/>
        <color theme="1"/>
        <rFont val="Calibri"/>
        <family val="2"/>
        <scheme val="minor"/>
      </rPr>
      <t xml:space="preserve"> corresponden a VPD
*34 de información adicional</t>
    </r>
  </si>
  <si>
    <t>A corte 30 de septiembre de 2020,  se han asignado un total de 81  expedientes para la evaluacion del componente valoración económica  (incluidas nuevas licencias, modificaciones de licencia, modificaciones de PMA, respuesta a recursos de reposicion y evaluacion de DAA), de los cuales el grupo ha realizado la revisión de 47 CT de los cuales 41 fueron finalizados y numerados desde los sectores.</t>
  </si>
  <si>
    <t xml:space="preserve">A corte 30 de septiembre de  2020, se realizaron 414 visitas de seguimiento a los proyectos licenciados </t>
  </si>
  <si>
    <t>A corte 30 de septiembre de 2020, se realizarón 326 actas de control y seguimiento</t>
  </si>
  <si>
    <t>A corte 30 de septiembre  de 2020, el grupo Alto Magdalena-Cauca  ha expedido 181  actos administrativos que acogen el seguimiento a proyectos licenciados, de los cuales 13 corresponden a rezago vigencia 2019 ( 1 acta de oralidad, 11 autos de seguimiento y 1 resolución), se han realizado 168 para vigencia actual, discriminados en 83 actas de oralidad, 78 autos de seguimiento y 7 resoluciones.</t>
  </si>
  <si>
    <t>A corte 30 de septiembre de 2020, el grupo Alto Magdalena-Cauca  ha realizado 78 visitas de seguimiento, de las cuales 29 han sido visitas guiadas</t>
  </si>
  <si>
    <t>A corte 30 de septiembre de 2020, el grupo Alto Magdalena-Cauca  ha realizado  69 CT con visita</t>
  </si>
  <si>
    <t>A corte 30 de septiembre de 2020, el grupo Alto Magdalena-Cauca  ha realizado 115 CT documentales</t>
  </si>
  <si>
    <t>A corte 30 de septiembre de 2020, el grupo Caribe-Pacifico ha realizado 125 visitas de seguimiento, de las cuales 45 han sido visitas guiadas</t>
  </si>
  <si>
    <t>A corte 30 de septiembre de 2020, el grupo Caribe-Pacifico ha realizado  105 CT con visita</t>
  </si>
  <si>
    <t>A corte 30 de septiembre de 2020, el grupo Caribe-Pacifico ha realizado 222 CT documentales</t>
  </si>
  <si>
    <t>A corte 30 de septiembre  de 2020, el grupo Medio Magdalena-Cauca Catatumbo ha expedido 220  actos administrativos que acogen el seguimiento a proyectos licenciados, de los cuales 22 corresponden a rezago vigencia 2019 (4 acta de oralidad, 17 autos de seguimiento y 1  resolución), se han realizado 198 para vigencia actual,  discriminados en 66 actas de oralidad, 111 autos de seguimiento y 21 resoluciones.</t>
  </si>
  <si>
    <t>A corte 30 de septiembre de 2020,  el grupo Medio Magdalena-Cauca Catatumbo ha realizado 119 visitas de seguimiento, de las cuales 45 han sido visitas guiadas</t>
  </si>
  <si>
    <t>A corte 30 de septiembre de 2020, el grupo Medio Magdalena-Cauca Catatumbo ha realizado 94 CT con visita</t>
  </si>
  <si>
    <t>A corte 30 de septiembre de 2020, sel grupo Medio Magdalena-Cauca Catatumbo ha realizado 128 CT documentales</t>
  </si>
  <si>
    <t>A corte 30 de septiembre  de 2020, el grupo Orinoquía-Amazonas ha expedido 277  actos administrativos que acogen el seguimiento a proyectos licenciados, de los cuales 76 corresponden a rezago vigencia 2019 (3 acta de oralidad,  72 autos de seguimiento y 1 resolución), se han realizado 201 para vigencia actual, discriminados en 82 actas de oralidad, 98 autos de seguimiento y 21 resoluciones.</t>
  </si>
  <si>
    <t>A corte 30 de septiembre de 2020, el grupo Orinoquía-Amazonas ha realizado 92 visitas de seguimiento, de las cuales 12 han sido visitas guiadas</t>
  </si>
  <si>
    <t>A corte 30 de septiembre de 2020,  el grupo Orinoquía-Amazonas ha realizado  86 CT con visita</t>
  </si>
  <si>
    <t>A corte 30 de septiembre de 2020,  el grupo Orinoquía-Amazonas ha realizado 189 CT documentales</t>
  </si>
  <si>
    <t>A 30 de septiembre el grupo de Agroquímicos expidió 979 actos administrativos de 1205 programados como meta</t>
  </si>
  <si>
    <t>Con corte a 30 de septiembre  el grupo de Agroquímicos se ha realizado 1007 conceptos técnicos de 1205 programados como meta</t>
  </si>
  <si>
    <t>Durante el mes de septiembre: Se Adelanto 3 Oficios  de solicitud  de información complementaria derivada del análisis de información en virtud del Articulo 321 de la Ley 1955 y  23 Resoluciones  de acogimiento y 15 autos de seguimiento al 1% y acompañamiento a 1 Acta de seguimiento</t>
  </si>
  <si>
    <t>Se ha avanzado en 3269,28 Ha de 3150 establecidas como meta producto</t>
  </si>
  <si>
    <t>Durante el mes de septiembre:  Se Adelanto 36  Actos administrativos.  8 de seguimiento y 28  Recursos de reposición</t>
  </si>
  <si>
    <t>A corte 30 de septiembre de 2020, el grupo no ha reportado avance de este indicador teniendo en cuenta que  aún no cuenta con ejecutor jurídico.</t>
  </si>
  <si>
    <t>A corte  30 de septiembre de 2020, el grupo ha revisado 445 Conceptos Técnicos con las regiones que incluyen el componente de Riesgos y Contingencias.</t>
  </si>
  <si>
    <t>A corte  30 de septiembre de 2020, el grupo ha desarrollado 10 Conceptos Técnicos priorizados  que incluyen el componente de Riesgos y Contingencias, de los cuales 7 se han acogido con Acto Administrativo.</t>
  </si>
  <si>
    <t xml:space="preserve">3860 ICA revisados, gestionando el 138% de lo programado en el año. </t>
  </si>
  <si>
    <t xml:space="preserve">567 proyectos con IDA calculado. Se gestionó un 41,5% de lo programado en el año. </t>
  </si>
  <si>
    <t>585 SDE elaborados y finalizados en SILA, 165 memorandos informando al sector la Verificación Geográfica y Documental. Se ha gestionado un 55% de lo programado en el año.</t>
  </si>
  <si>
    <t>Con corte 30 de septiembre se han tenido un total de 251 asignaciones,  desde el grupo de valoración económica se ha finalizado la revisión de 209 conceptos técnicos, de los cuales se han finalizado y numerado un total de 198 conceptos técnicos de seguimiento con el componente valoración económica desde las regiones.Durante el mes de septiembre se finalizaron y numeraron un total de 21 conceptos técnicos con componente de valoración económica</t>
  </si>
  <si>
    <t>A corte 30 de septiembre  de 2020, La SSLA ha expedido 1986 actos administrativos</t>
  </si>
  <si>
    <t>A corte 30 de octubre de 2020, se expedieron 2015 concepto técnicos de seguimiento</t>
  </si>
  <si>
    <t>REPORTE AVANCE MENSUAL ENERO_2020</t>
  </si>
  <si>
    <t>REPORTE AVANCE MENSUAL FEBRERO_2020</t>
  </si>
  <si>
    <t>REPORTE AVANCE MENSUAL MARZO_2020</t>
  </si>
  <si>
    <t>REPORTE AVANCE MENSUAL ABRIL_2020</t>
  </si>
  <si>
    <t>REPORTE AVANCE MENSUAL MAYO_2020</t>
  </si>
  <si>
    <t>REPORTE AVANCE MENSUAL JUNIO_2020</t>
  </si>
  <si>
    <t>REPORTE AVANCE MENSUAL JULIO_2020</t>
  </si>
  <si>
    <t>REPORTE AVANCE MENSUAL AGOSTO_2020</t>
  </si>
  <si>
    <t>REPORTE AVANCE MENSUAL SEPTIEMBRE_2020</t>
  </si>
  <si>
    <t>Actuaciones sancionatorias</t>
  </si>
  <si>
    <t>N/A</t>
  </si>
  <si>
    <t>Oficina Asesora Jurídica</t>
  </si>
  <si>
    <t>Sancionatorios</t>
  </si>
  <si>
    <t>Unidad de actos administrativos expedidos en procesos sancionatorios ambientales competencia de ANLA</t>
  </si>
  <si>
    <t>No. Actos Administrativos sancionatorios firmados</t>
  </si>
  <si>
    <t>Concepto técnico sancionatorio acogidos</t>
  </si>
  <si>
    <t>No. de actos administrativos firmados en procesos sancionatorios ambientales de competencia de la ANLA acogiendo conceptos técnicos de la etapa correspondiente</t>
  </si>
  <si>
    <t>DANIEL RICARDO PAEZ DELGADO [Jefe de Oficina Asesora Juridica]</t>
  </si>
  <si>
    <t>Se emitieron 59 actos administrativos para el mes de enero vigencia 2020, distribuidos en los dos indicadores medibles en enero, de la siguiente manera: Indicador 1 se emitieron 27 actos administrativos acogiendo CT de inicio y para el indicador 3 se emitieron 32 actos administrativos de gestión entre las etapas del proceso sancionatorio.
E1_SANCIONATORIO_ACTOS ADMINISTRATIVOS FIRMADOS_ENERO_2020</t>
  </si>
  <si>
    <t>Para el primer indicador se emitieron 25 autos de apertura de investigación y 2 autos de indagación preliminar.</t>
  </si>
  <si>
    <t>Se emitieron 56 actos administrativos para el mes de febrero vigencia 2020, distribuidos en los tres indicadores medibles en febrero, de la siguiente manera: Indicador 1 se emitieron 21 actos administrativos acogiendo CT de inicio, indicador 2 se emitieron 4 resoluciones de fondo y para el indicador 3 se emitieron 31 actos administrativos de gestión entre las etapas del proceso sancionatorio.
E1_SANCIONATORIO_ACTOS ADMINISTRATIVOS FIRMADOS_FEBRERO_2020</t>
  </si>
  <si>
    <t>Para el primer indicador se emitieron 20 autos de apertura de investigación y 1 indagación preliminar acogiendo CT.</t>
  </si>
  <si>
    <t>Se emitieron 65 actos administrativos para el mes de marzo vigencia 2020, distribuidos en los tres indicadores medibles en marzo, de la siguiente manera: Indicador 1 se emitieron 27 actos administrativos acogiendo CT de inicio, indicador 2 se emitieron 5 desiciones de fondo y para el indicador 3 se emitieron 33 actos administrativos de gestión entre las etapas del proceso sancionatorio.
E1_SANCIONATORIO_ACTOS ADMINISTRATIVOS FIRMADOS_MARZO_2020</t>
  </si>
  <si>
    <t>Para el primer indicador se emitieron 26 autos de apertura de investigación y 1 resolución que impone medida preventiva acogiendo CT.</t>
  </si>
  <si>
    <t>Se emitieron 63 actos administrativos para el mes de abril vigencia 2020, distribuidos en los tres indicadores medibles en abril, de la siguiente manera: Indicador 1 se emitieron 25 actos administrativos acogiendo CT de inicio, indicador 2 se emitieron 5 desiciones de fondo y para el indicador 3 se emitieron 33 actos administrativos de gestión entre las etapas del proceso sancionatorio.
E1_SANCIONATORIO_ACTOS ADMINISTRATIVOS FIRMADOS_ABRIL_2020</t>
  </si>
  <si>
    <t>Para el primer indicador se emitieron 23 autos de apertura de investigación 1  auto de indagación preliminar y 1 resolución que impone medida preventiva acogiendo CT.</t>
  </si>
  <si>
    <t>Se emitieron 68 actos administrativos para el mes de mayo vigencia 2020, distribuidos en los tres indicadores medibles en mayo, de la siguiente manera: Indicador 1 se emitieron 25 actos administrativos acogiendo CT de inicio, indicador 2 se emitieron 4 decisiones de fondo y para el indicador 3 se emitieron 39 actos administrativos de gestión entre las etapas del proceso sancionatorio.
E1_SANCIONATORIO_ACTOS ADMINISTRATIVOS FIRMADOS_MAYO_2020</t>
  </si>
  <si>
    <t>Para el primer indicador se emitieron 25 autos de apertura de investigación acogiendo CT.</t>
  </si>
  <si>
    <t>Se emitieron 71 actos administrativos para el mes de junio vigencia 2020, distribuidos en los tres indicadores medibles en junio, de la siguiente manera: Indicador 1 se emitieron 25 actos administrativos acogiendo CT de inicio, indicador 2 se emitieron 2 decisiones de fondo y para el indicador 3 se emitieron 44 actos administrativos de gestión entre las etapas del proceso sancionatorio.
E1_SANCIONATORIO_ACTOS ADMINISTRATIVOS FIRMADOS_JUNIO_2020</t>
  </si>
  <si>
    <t>Para el primer indicador se emitieron 24 autos de apertura de investigación y 1 resolución que impone medida preventiva acogiendo CT.</t>
  </si>
  <si>
    <t>Se emitieron 80 actos administrativos para el mes de julio vigencia 2020, distribuidos en los tres indicadores medibles en julio, de la siguiente manera: Indicador 1 se emitieron 25 actos administrativos acogiendo CT de inicio, indicador 2 se emitieron 8 decisiones de fondo y para el indicador 3 se emitieron 47 actos administrativos de gestión entre las etapas del proceso sancionatorio.
E1_SANCIONATORIO_ACTOS ADMINISTRATIVOS FIRMADOS_JULIO_2020</t>
  </si>
  <si>
    <t>Para el primer indicador se emitieron 24 autos de apertura de investigación y 1 auto de indagación preliminar acogiendo CT.</t>
  </si>
  <si>
    <t>Se emitieron 74 actos administrativos para el mes de agosto vigencia 2020, distribuidos en los tres indicadores de la siguiente manera: Indicador 1 se emitieron 25 actos administrativos acogiendo CT de inicio, indicador 2 se emitieron 4 decisiones de fondo y para el indicador 3 se emitieron 45 actos administrativos de gestión entre las etapas del proceso sancionatorio.
E1_SANCIONATORIO_ACTOS ADMINISTRATIVOS FIRMADOS_AGOSTO_2020</t>
  </si>
  <si>
    <t>Para el primer indicador se emitieron 25 autos de apertura de investigación.</t>
  </si>
  <si>
    <t>Se emitieron 70 actos administrativos para el mes de septiembre vigencia 2020, distribuidos en los tres indicadores de la siguiente manera: Indicador 1 se emitieron 25 actos administrativos acogiendo CT de inicio, indicador 2 se emitieron 6 decisiones de fondo y para el indicador 3 se emitieron 39 actos administrativos de gestión entre las etapas del proceso sancionatorio.
E1_SANCIONATORIO_ACTOS ADMINISTRATIVOS FIRMADOS_SEPTIEMBRE_2020</t>
  </si>
  <si>
    <t>Para el primer indicador se emitieron 24 autos de apertura de investigación y 1 resolución que impone medida preventiva.</t>
  </si>
  <si>
    <t>Decisiones de fondo</t>
  </si>
  <si>
    <t>No. de actos administrativos de decisiones de fondo firmados en procesos sancionatorios ambientales de competencia de la ANLA</t>
  </si>
  <si>
    <t>EL INDICADOR DE GESTIÓN 2 "DECISIONES DE FONDO" SE MIDE A PARTIR DE FEBRERO Y HASTA DICIEMBRE DE 2020</t>
  </si>
  <si>
    <t>Para el segundo indicador se emitieron 2 resoluciones de Cesación del proceso sancionatorio, 1 resolución de Exoneración de responsabilidad y 1 resolución que Impone Sanción.</t>
  </si>
  <si>
    <t>Para el segundo indicador se emitieron 2 resoluciones de Cesación del proceso sancionatorio, 1 auto de archivo de indagación preliminar  y 2 resoluciones que resuelven recurso de reposición a sanción.</t>
  </si>
  <si>
    <t>Para el segundo indicador se emitieron 2 resoluciones de Cesación del proceso sancionatorio, 1 resolución que impone sanción, 1 resolución que declara caducidad  y 1 resolución que resuelve recurso de reposición a sanción.</t>
  </si>
  <si>
    <t>Para el segundo indicador se emitieron 3 resoluciones de Cesación del proceso sancionatorio y 1 auto archivo de indagación preliminar.</t>
  </si>
  <si>
    <t>Para el segundo indicador se emitieron 2 resoluciones de Cesación del proceso sancionatorio.</t>
  </si>
  <si>
    <t>Para el segundo indicador se emitieron 4 resoluciones de Cesación del proceso sancionatorio, 3 resoluciones que resuelven recurso y 1 resolución que declara la caducidad.</t>
  </si>
  <si>
    <t>Para el segundo indicador se emitieron 3 resoluciones de Cesación del proceso sancionatorio y 1 resolución que resuelve recurso.</t>
  </si>
  <si>
    <t>Para el segundo indicador se emitieron 2 resoluciones de Cesación del proceso sancionatorio, 1 auto de archivo de indagación preliminar, 1 resolución que declara la caducidad, 1 resolución que impone sanción y 1 resolución que resuelve recurso.</t>
  </si>
  <si>
    <t>Impulso procesal en los procesos Sancionatorios Ambientales</t>
  </si>
  <si>
    <t>No. de actos administrativos firmados en procesos sancionatorios ambientales de competencia de la ANLA con avance entre etapas</t>
  </si>
  <si>
    <t>Para el tercer indicador se emitieron 8 autos que decreta, rechaza o niega pruebas, 5 auto de aclaración, 6 autos de formulación de cargos, 5 autos de archivo de proceso sancionatorio, 2 resolución que levanta medida preventiva, 1 auto de cobro sancionatorio, 1 auto de traslado por competencia, 1 auto que ordena diligencia, 1 auto por el que se fija fecha para la práctica de una prueba, 1 auto por el que resuelve recurso y 1 auto que vincula persona a investigación.</t>
  </si>
  <si>
    <t>Para el tercer indicador se emitieron 17 autos que decreta, rechaza o niega pruebas, 11 autos de formulación de cargos, 1 auto de archivo de proceso sancionatorio, 1 resolución que levanta medida preventiva, 1 auto por el que resuelve recurso.</t>
  </si>
  <si>
    <t>Para el tercer indicador se emitieron 27 autos de formulación de cargos, 2 autos que decreta, rechaza o niega pruebas, 1 auto de aclaración, 1 auto de prorroga del periodo probatorio, 1 auto que ordena diligencia dentro de investigación sancionatoria y 1 resolución que niega levantamiento de medida.</t>
  </si>
  <si>
    <t>Para el tercer indicador se emitieron 19 autos de formulación de cargos, 5 autos que decreta, rechaza o niega pruebas, 1 auto de aclaración, 1 auto de traslado por competencia, 2 autos que reconocen tercer interviniente, 1 auto que resuelve recurso de reposición, 2 auto que ordena diligencia dentro de investigación sancionatoria y 2 resoluciones que levantan medida preventiva.</t>
  </si>
  <si>
    <t>Para el tercer indicador se emitieron 10 autos de formulación de cargos, 14 autos que decreta, rechaza o niega pruebas, 1 auto de acumulación, 5 autos de archivo de proceso sancionatorio, 7 auto que resuelve recurso de reposición, 1 auto que ordena diligencia dentro de investigación sancionatoria y 1 resolución que levantan medida preventiva.</t>
  </si>
  <si>
    <t>Para el tercer indicador se emitieron 15 autos de formulación de cargos, 11 autos de archivo de proceso sancionatorio, 10 autos que decreta, rechaza o niega pruebas, 2 auto de aclaración, 2 autos que reconocen tercer interviniente, 1 auto que resuelve recurso de reposición, 1 auto que ordena diligencia dentro de investigación sancionatoria, 1 auto vincula persona a una investigación y 1 resolución que levantan medida preventiva.</t>
  </si>
  <si>
    <t>Para el tercer indicador se emitieron 16 autos de formulación de cargos, 7 autos de archivo de proceso sancionatorio, 8 autos que decreta, rechaza o niega pruebas, 6 autos de aclaración, 3 auto que resuelve recurso de reposición, 3 resoluciones que levantan medida preventiva, 2 resoluciones que resuelven solicitud de revocatoria, 1 auto que reconocen tercer interviniente y  1 resolución que aclara resolución .</t>
  </si>
  <si>
    <t>Para el tercer indicador se emitieron 20 autos de archivo de proceso sancionatorio, 13 autos que decreta, rechaza o niega pruebas, 4 auto que resuelve recurso de reposición, 3 autos de formulación de cargos, , 3 autos que vinculan persona a investigación, 1 auto de aclaración y 1 auto que reconocen tercer interviniente.</t>
  </si>
  <si>
    <t>Para el tercer indicador se emitieron 19 autos de archivo de proceso sancionatorio, 10 autos que decreta, rechaza o niega pruebas, 5 autos de formulación de cargos, 2 autos de aclaración, 1 auto que vincula persona a investigación, 1 auto de revocatoria,  y 1 auto que ordena diligencia dentro de investigación.</t>
  </si>
  <si>
    <t>Contribuir a la implementación de un modelo de gestión pública efectivo, orientado a resultados y a la satisfacción de sus grupos de interés</t>
  </si>
  <si>
    <t>Defensa jurídica</t>
  </si>
  <si>
    <t>Apoyo</t>
  </si>
  <si>
    <t>Gestión jurídica</t>
  </si>
  <si>
    <t>Procesos judiciales</t>
  </si>
  <si>
    <t>Tasa de éxito procesal</t>
  </si>
  <si>
    <t>Número de procesos en contra de la entidad terminados (ejecutoriado) con fallo favorable / Total numero de procesos en contra de la entidad terminados</t>
  </si>
  <si>
    <t>Para el mes de enero de 2020 se emitieron seis fallos ejecutoriados de los cuales 5 son favorables para la entidad:
E1_JUDICIALES 2014-00071
E2_JUDICIALES 2015-00019
E3_JUDICIALES 2017-00449
E4_JUDICIALES 2017-00606
E5_JUDICIALES 2009-00301
E6_JUDICIALES 2018-704 DESFAVORABLE</t>
  </si>
  <si>
    <t xml:space="preserve">Para el mes de febrero de 2020, se emitieron dos fallos uno  favorable  y  uno desfavorable ejecutoriado.
E1_JUDICIALES 2016-07850 FAVORABLE 1 INST
E2_JUDICIALES 2016-00114 DESFAVORABLE 2 INST
</t>
  </si>
  <si>
    <t xml:space="preserve">Para el mes de marzo de 2020 no se emitió ningún  fallo, en consecuencia queda un total de 8 fallos y 6 de ellos favorables 
</t>
  </si>
  <si>
    <t xml:space="preserve">Para el mes de abril de 2020, no se emitió ningún  fallo, en consecuencia queda un total de 8 fallos y 6 de ellos favorables. </t>
  </si>
  <si>
    <t xml:space="preserve">Para el mes de mayo de 2020, se emitieron cinco fallos ejecutoriados los cuales  son favorables para la entidad:
E1_JUDICIALES_FALLOS MAYO_2020
</t>
  </si>
  <si>
    <t xml:space="preserve">Para el mes de Junio de 2020, no se emitió ningún  fallo, en consecuencia queda un total de 13 fallos y 11 de ellos favorables. </t>
  </si>
  <si>
    <t xml:space="preserve">Para el mes de julio de 2020, se emitieron cuatro fallos ejecutoriados los cuales  son favorables para la entidad:
E1_JUDICIALES_FALLOS_JULIO_2020
</t>
  </si>
  <si>
    <t>Para el mes de agosto de 2020, se emitieron tres fallos dos  favorables  y  uno desfavorable ejecutoriados.
E1_JUDICIALES_FALLOS_AGOSTO_2020</t>
  </si>
  <si>
    <t xml:space="preserve">Para el mes de Septiembre de 2020, no se emitió ningún  fallo, en consecuencia queda un total de 20 fallos y 17 de ellos favorables. </t>
  </si>
  <si>
    <t>Conceptos jurídicos</t>
  </si>
  <si>
    <t>Implementación Plan de Acción de Comité de Conciliación</t>
  </si>
  <si>
    <t>Porcentaje de avance de actividades de acuerdo con el cronograma</t>
  </si>
  <si>
    <t>De acuerdo con el Plan de Acción de Comité de Conciliación estaban programadas 20 actividades que se cumplieron en su totalidad.
E5_JUDICIALES_Plan de Acción Comité de Conciliación 2020</t>
  </si>
  <si>
    <t>De acuerdo con el Plan de Acción de Comité de Conciliación estaban programadas 22 actividades que se cumplieron en su totalidad.
E2_JUDICIALES_Plan de Acción Comité de Conciliación 2020</t>
  </si>
  <si>
    <t>De acuerdo con el Plan de Acción de Comité de Conciliación estaban programadas 24 actividades que se cumplieron en su totalidad.
E2_JUDICIALES_Plan de Acción Comité de Conciliación 2020
E3_JUDICIALES_EVIDENCIAS COMITÉ DE CONCILIACIÓN_MARZO 2020</t>
  </si>
  <si>
    <t>De acuerdo con el Plan de Acción de Comité de Conciliación estaban programadas 28 actividades que se cumplieron en su totalidad.
E1_JUDICIALES_Plan de Acción Comité de Conciliación 2020
E2_JUDICIALES_EVIDENCIAS COMITÉ DE CONCILIACIÓN_ABRIL 2020</t>
  </si>
  <si>
    <t>De acuerdo con el Plan de Acción de Comité de Conciliación estaban programadas 21 actividades que se cumplieron en su totalidad.
E2_JUDICIALES_PA Comité de Conciliación 2020 seguimiento Mayo</t>
  </si>
  <si>
    <t>De acuerdo con el Plan de Acción de Comité de Conciliación estaban programadas 22 actividades que se cumplieron en su totalidad.
E1_JUDICIALES_PA Comité de Conciliación 2020 seguimiento Junio</t>
  </si>
  <si>
    <t>De acuerdo con el Plan de Acción de Comité de Conciliación estaban programadas 29 actividades que se cumplieron en su totalidad.
E2_JUDICIALES_PA Comité de Conciliación 2020 seguimiento Julio</t>
  </si>
  <si>
    <t>De acuerdo con el Plan de Acción de Comité de Conciliación estaban programadas 20 actividades que se cumplieron en su totalidad.
E2_JUDICIALES_PA Comité de Conciliación 2020 seguimiento Agosto</t>
  </si>
  <si>
    <t>De acuerdo con el Plan de Acción de Comité de Conciliación estaban programadas 20 actividades que se cumplieron en su totalidad.
E1_JUDICIALES_PA Comité de Conciliación 2020 seguimiento Septiembre</t>
  </si>
  <si>
    <t>Direccionamiento Estratégico y Planeación</t>
  </si>
  <si>
    <t>Gestión Presupuestal y eficiencia del gasto público</t>
  </si>
  <si>
    <t>Procesos coactivos</t>
  </si>
  <si>
    <t>Cartera coactiva recuperada hasta la vigencia 2020</t>
  </si>
  <si>
    <t>Total recaudo en banco de cartera coactiva</t>
  </si>
  <si>
    <t>Recaudo en banco cartera coactiva</t>
  </si>
  <si>
    <t>Total recaudo en banco de cartera / meta establecida para la vigencia</t>
  </si>
  <si>
    <t>Durante el periodo de enero de 2020 se recaudo por cobro coactivo $1,807,011,508, representado en  pagos parciales y pagos totales, logrando el 42% de la meta propuesta.
E1_COACTIVO_Base de Datos Financiera_ Ene 2020</t>
  </si>
  <si>
    <t xml:space="preserve">Durante el periodo de enero de 2020 se recaudo por cobro coactivo $1,807,011,508, representado en  pagos parciales y pagos totales, logrando el 42% de la meta propuesta.
</t>
  </si>
  <si>
    <r>
      <rPr>
        <sz val="10"/>
        <rFont val="Calibri"/>
        <family val="2"/>
        <scheme val="minor"/>
      </rPr>
      <t>A febrero de 2020 se recaudo por cobro coactivo y persuasivo $370.606.078, representado en  pagos parciales y pagos totales.</t>
    </r>
    <r>
      <rPr>
        <sz val="10"/>
        <color rgb="FFFF0000"/>
        <rFont val="Calibri"/>
        <family val="2"/>
        <scheme val="minor"/>
      </rPr>
      <t xml:space="preserve">
</t>
    </r>
    <r>
      <rPr>
        <sz val="10"/>
        <rFont val="Calibri"/>
        <family val="2"/>
        <scheme val="minor"/>
      </rPr>
      <t xml:space="preserve">E1_COACTIVO_Base Datos Financiera_ Pagos CC_Feb 2020
E2_COACTIVO_Base Datos Financiera_Pagos CP_Feb 2020
E3_Cuadro Seguimiento Cobro Coactivo
</t>
    </r>
  </si>
  <si>
    <t>Durante el periodo de febrero de 2020 se recaudo por cobro coactivo $216.454.628, representado en  pagos parciales y pagos totales.</t>
  </si>
  <si>
    <r>
      <rPr>
        <sz val="10"/>
        <rFont val="Calibri"/>
        <family val="2"/>
        <scheme val="minor"/>
      </rPr>
      <t>A Marzo de 2020 se recaudo por cobro coactivo   $650.170.439, representado en  pagos parciales y pagos totales.</t>
    </r>
    <r>
      <rPr>
        <sz val="10"/>
        <color rgb="FFFF0000"/>
        <rFont val="Calibri"/>
        <family val="2"/>
        <scheme val="minor"/>
      </rPr>
      <t xml:space="preserve">
</t>
    </r>
    <r>
      <rPr>
        <sz val="10"/>
        <rFont val="Calibri"/>
        <family val="2"/>
        <scheme val="minor"/>
      </rPr>
      <t xml:space="preserve">E1_COACTIVO_BASE FINANCIERA_PAGOS CC_Marzo 2020
E2_COACTIVO_BASE FINANCIERA_PAGOS CP_Marzo 2020
E3_Cuadro_S_Cobro_Coactivo_Metas Marzo 2020
</t>
    </r>
  </si>
  <si>
    <t>Durante el periodo de marzo de 2020 se recaudo por cobro coactivo  $205.223.653, representado en  pagos parciales y pagos totales.</t>
  </si>
  <si>
    <r>
      <rPr>
        <sz val="10"/>
        <rFont val="Calibri"/>
        <family val="2"/>
        <scheme val="minor"/>
      </rPr>
      <t>A Abril de 2020 se recaudo por cobro coactivo   $29.989.493, representado en  pagos parciales y pagos totales.</t>
    </r>
    <r>
      <rPr>
        <sz val="10"/>
        <color rgb="FFFF0000"/>
        <rFont val="Calibri"/>
        <family val="2"/>
        <scheme val="minor"/>
      </rPr>
      <t xml:space="preserve">
</t>
    </r>
    <r>
      <rPr>
        <sz val="10"/>
        <rFont val="Calibri"/>
        <family val="2"/>
        <scheme val="minor"/>
      </rPr>
      <t xml:space="preserve">E1_COACTIVO_BASE FINANCIERA_PAGOS CC_Abril 2020
E2_COACTIVO_BASE FINANCIERA_PAGOS CP_Abril 2020
E3_Cuadro_S_Cobro_Coactivo_Metas Abril 2020
</t>
    </r>
  </si>
  <si>
    <t>Durante el periodo de abril de 2020 se recaudo por cobro coactivo  $16.032.903, representado en  pagos totales.</t>
  </si>
  <si>
    <r>
      <rPr>
        <sz val="10"/>
        <rFont val="Calibri"/>
        <family val="2"/>
        <scheme val="minor"/>
      </rPr>
      <t>A Mayo de 2020 se recaudo por cobro coactivo y persuasivo $542.785.113, representado en  pagos parciales y pagos totales.</t>
    </r>
    <r>
      <rPr>
        <sz val="10"/>
        <color rgb="FFFF0000"/>
        <rFont val="Calibri"/>
        <family val="2"/>
        <scheme val="minor"/>
      </rPr>
      <t xml:space="preserve">
</t>
    </r>
    <r>
      <rPr>
        <sz val="10"/>
        <rFont val="Calibri"/>
        <family val="2"/>
        <scheme val="minor"/>
      </rPr>
      <t>E1_COACTIVO_BASE FINANCIERA_PAGOS CC_Mayo 2020
E2_COACTIVO_BASE FINANCIERA_PAGOS CP_Mayo 2020
E3_COACTIVO_Cuadro_S_Cobro_Coactivo_Metas Mayo 2020</t>
    </r>
  </si>
  <si>
    <t>Durante el periodo de mayo de 2020 se recaudo por cobro coactivo $269.898.639, representado en  pagos parciales y pagos totales.</t>
  </si>
  <si>
    <r>
      <rPr>
        <sz val="10"/>
        <rFont val="Calibri"/>
        <family val="2"/>
        <scheme val="minor"/>
      </rPr>
      <t>A junio de 2020 se recaudo por cobro coactivo y persuasivo $1,008,672,094, representado en  pagos parciales y pagos totales.</t>
    </r>
    <r>
      <rPr>
        <sz val="10"/>
        <color rgb="FFFF0000"/>
        <rFont val="Calibri"/>
        <family val="2"/>
        <scheme val="minor"/>
      </rPr>
      <t xml:space="preserve">
</t>
    </r>
    <r>
      <rPr>
        <sz val="10"/>
        <rFont val="Calibri"/>
        <family val="2"/>
        <scheme val="minor"/>
      </rPr>
      <t>E1_COACTIVO_BASE FINANCIERA_PAGOS CC_Junio 2020
E2_COACTIVO_BASE FINANCIERA_PAGOS CP_Junio 2020
E3_COACTIVO_Cuadro_S_Cobro_Coactivo_Metas Junio 2020</t>
    </r>
  </si>
  <si>
    <t>Durante el periodo de junio de 2020 se recaudo por cobro coactivo $227.575.617, representado en  pagos parciales y pagos totales.</t>
  </si>
  <si>
    <r>
      <rPr>
        <sz val="10"/>
        <rFont val="Calibri"/>
        <family val="2"/>
        <scheme val="minor"/>
      </rPr>
      <t>A julio de 2020 se recaudo por cobro coactivo y persuasivo $279.307.740, representado en  pagos parciales y pagos totales.</t>
    </r>
    <r>
      <rPr>
        <sz val="10"/>
        <color rgb="FFFF0000"/>
        <rFont val="Calibri"/>
        <family val="2"/>
        <scheme val="minor"/>
      </rPr>
      <t xml:space="preserve">
</t>
    </r>
    <r>
      <rPr>
        <sz val="10"/>
        <rFont val="Calibri"/>
        <family val="2"/>
        <scheme val="minor"/>
      </rPr>
      <t>E1_COACTIVO_BASE FINANCIERA_PAGOS CC_Julio 2020
E2_COACTIVO_BASE FINANCIERA_PAGOS CP_Julio 2020
E3_COACTIVO_Cuadro_S_Cobro_Coactivo_Julio 2020
E4_COACTIVO_Cartera traslado Etapa Persuasiva a Coactiva_julio 2020</t>
    </r>
  </si>
  <si>
    <t>Durante el periodo de julio de 2020 se recaudo por cobro coactivo $92.252.670, representado en  pagos parciales y pagos totales.</t>
  </si>
  <si>
    <r>
      <rPr>
        <sz val="10"/>
        <rFont val="Calibri"/>
        <family val="2"/>
        <scheme val="minor"/>
      </rPr>
      <t>En el mes de agosto de 2020 se recaudo por cobro coactivo y persuasivo $743.961.210, representado en  pagos parciales y pagos totales.</t>
    </r>
    <r>
      <rPr>
        <sz val="10"/>
        <color rgb="FFFF0000"/>
        <rFont val="Calibri"/>
        <family val="2"/>
        <scheme val="minor"/>
      </rPr>
      <t xml:space="preserve">
</t>
    </r>
    <r>
      <rPr>
        <sz val="10"/>
        <rFont val="Calibri"/>
        <family val="2"/>
        <scheme val="minor"/>
      </rPr>
      <t>E1_COACTIVO_BASE FINANCIERA_PAGOS CC_agosto 2020
E2_COACTIVO_BASE FINANCIERA_PAGOS CP_agosto 2020
E3_COACTIVO_Cuadro_S_Cobro_Coactivo_agosto 2020
E4_COACTIVO_Cartera traslado Etapa Persuasiva a Coactiva_agosto 2020</t>
    </r>
  </si>
  <si>
    <t>Durante el periodo de agosto de 2020 se recaudo por cobro coactivo $99.125.320, representado en  pagos parciales y pagos totales.</t>
  </si>
  <si>
    <r>
      <rPr>
        <sz val="10"/>
        <rFont val="Calibri"/>
        <family val="2"/>
        <scheme val="minor"/>
      </rPr>
      <t>En el mes de septiembre de 2020 se recaudo por cobro coactivo y persuasivo $1.372.387,840, representado en  pagos parciales y pagos totales.</t>
    </r>
    <r>
      <rPr>
        <sz val="10"/>
        <color rgb="FFFF0000"/>
        <rFont val="Calibri"/>
        <family val="2"/>
        <scheme val="minor"/>
      </rPr>
      <t xml:space="preserve">
</t>
    </r>
    <r>
      <rPr>
        <sz val="10"/>
        <rFont val="Calibri"/>
        <family val="2"/>
        <scheme val="minor"/>
      </rPr>
      <t xml:space="preserve">E1_COACTIVO_BASE FINANCIERA_PAGOS CC_septiembre 2020
E2_COACTIVO_BASE FINANCIERA_PAGOS CP_septiembre 2020
E3_COACTIVO_Cuadro_S_Cobro_Coactivo_septiembre 2020
</t>
    </r>
  </si>
  <si>
    <t>Durante el periodo de septiembre de 2020 se recaudo por cobro coactivo $50,826,200, representado en  pagos parciales y pagos totales.</t>
  </si>
  <si>
    <t>Recaudo en banco cartera persuasiva</t>
  </si>
  <si>
    <t>Total recaudo en banco de cartera / meta establecida para la vigencia\n</t>
  </si>
  <si>
    <t>En el primer mes del año 2020, no se recibio remisiones de autos de cobro por parte de SAF.</t>
  </si>
  <si>
    <t>Se recibe en el segundo mes del año 2020, 184 remisiones por parte de SAF por cobros de seguimiento y por multas, representadas en $4,816,495,550. 
Se recaudo $154,151,450 de la meta establecida para el 2020.</t>
  </si>
  <si>
    <t xml:space="preserve">
Durante el mes de marzo se recaudo por cobro persuasivo $444,946,786 de la meta establecida para el 2020.</t>
  </si>
  <si>
    <t xml:space="preserve">
Durante el mes de abril se recaudo por cobro persuasivo $13.956.590 de la meta establecida para el 2020.</t>
  </si>
  <si>
    <r>
      <rPr>
        <sz val="10"/>
        <rFont val="Calibri"/>
        <family val="2"/>
        <scheme val="minor"/>
      </rPr>
      <t>Se recibe al finalizar el cuarto mes del año 2020, 165 remisiones por parte de SAF por cobros de seguimiento, representados en $3,020,834,114, quedando como cartera total en etapa de cobro persuasivo $3,649,211,905</t>
    </r>
    <r>
      <rPr>
        <sz val="10"/>
        <color rgb="FFFF0000"/>
        <rFont val="Calibri"/>
        <family val="2"/>
        <scheme val="minor"/>
      </rPr>
      <t xml:space="preserve">
</t>
    </r>
    <r>
      <rPr>
        <sz val="10"/>
        <rFont val="Calibri"/>
        <family val="2"/>
        <scheme val="minor"/>
      </rPr>
      <t>Se recaudo $272,886,474 de la meta establecida para el 2020.</t>
    </r>
  </si>
  <si>
    <t xml:space="preserve">
Durante el mes de junio se recaudo por cobro persuasivo $781,096,477  de la meta establecida para el 2020.</t>
  </si>
  <si>
    <r>
      <t xml:space="preserve">
Durante el mes de julio se recaudo por cobro persuasivo $187.055.070  de la meta establecida para el 2020.
Mediante memorando No.  2020118250-3-000 del 24 de julio, el Grupo de Gestión Financiera y Presupuestal, remitió 234 nuevos títulos ejecutivos, por valor de </t>
    </r>
    <r>
      <rPr>
        <u/>
        <sz val="10"/>
        <rFont val="Calibri"/>
        <family val="2"/>
        <scheme val="minor"/>
      </rPr>
      <t>$3.992.926.000</t>
    </r>
  </si>
  <si>
    <t xml:space="preserve">
Durante el mes de agosto se recaudo por cobro persuasivo $644.835.890  de la meta establecida para el 2020.
</t>
  </si>
  <si>
    <t xml:space="preserve">
Durante el mes de septiembre se recaudo por cobro persuasivo $1,321,561,640  de la meta establecida para el 2020.
</t>
  </si>
  <si>
    <t>Promedio Indicador de Producto</t>
  </si>
  <si>
    <t>Promedio Indicador de Gestion</t>
  </si>
  <si>
    <t>ENERO</t>
  </si>
  <si>
    <t>FEBRERO</t>
  </si>
  <si>
    <t>MARZO</t>
  </si>
  <si>
    <t>ACUMULADO PRODUCTO</t>
  </si>
  <si>
    <t>ACUMULADO GESTIÓN</t>
  </si>
  <si>
    <t>AVANCE AL 100% PRODUCTO</t>
  </si>
  <si>
    <t>AVANCE AL 100% GESTIÓN</t>
  </si>
  <si>
    <t>Incrementar la credibilidad en la entidad por parte de sus grupos de interés</t>
  </si>
  <si>
    <t>Servicio al ciudadano</t>
  </si>
  <si>
    <t>Atención al ciudadano</t>
  </si>
  <si>
    <t>SAF</t>
  </si>
  <si>
    <t>Centro de orientación al usuario en implementación</t>
  </si>
  <si>
    <t>Centro de Orientación en implementación</t>
  </si>
  <si>
    <t>JHON COBOS TELLEZ [Coordinador(a)]</t>
  </si>
  <si>
    <t xml:space="preserve">No presenta avance el indicador, teniendo en cuenta que el Plan de trabajo de la implementación del Centro de Orientación se ejecutará una vez se dé el traslado a la nueva sede. </t>
  </si>
  <si>
    <t>No presenta avance el indicador, teniendo en cuenta que el Plan de trabajo de la implementación del Centro de Orientación se ejecutará una vez se dé el traslado a la nueva sede. En el mes de marzo se adelantó reunión con el Grupo de Gestión Administrativa, con el fin de revisar los temas de accesibilidad.</t>
  </si>
  <si>
    <t>-</t>
  </si>
  <si>
    <t>No presenta avance el indicador, teniendo en cuenta que el Plan de trabajo de la implementación del Centro de Orientación se ejecutará una vez se dé el traslado a la nueva sede. En el mes de mayo se adelantó reunión con el Grupo de Gestión Administrativa, con el fin de revisar el primer plano de distribución Centro de Orientación.</t>
  </si>
  <si>
    <t>No presenta avance el indicador, teniendo en cuenta que el Plan de trabajo de la implementación del Centro de Orientación se ejecutará una vez se dé el traslado a la nueva sede. En el mes de junio se presentó el plano definitivo del Centro de Orientación. Se adelantaron las visitas técnicas de los proveedores de digiturno y canal dedicado para coordinar la logística del traslado en el mes de julio.</t>
  </si>
  <si>
    <t>En el mes de julio se llevó a cabo el traslado a la nueva sede;  se debe considerar que la implementación del Centro de Orientación se encuentra en proceso y su apertura depende de las restricciones que se definan en el marco de  la emergencia sanitaria generada por la pandemia del COVID-19.</t>
  </si>
  <si>
    <t>Se dio apertura al Centro de Orientación el 31 de agosto de 2020 con todos los protocolos de bioseguridad, en el marco de la emergencia sanitaria generada por la pandemia del COVID-19.</t>
  </si>
  <si>
    <t xml:space="preserve">Se implementó el Centro de Orientación, se encuentra pendiente la señalización inclusiva, de acuerdo con lo informado por el Grupo de Gestión Administrativa se tiene prevista para el mes de noviembre. </t>
  </si>
  <si>
    <t>Avance en la caracterización grupos de interés</t>
  </si>
  <si>
    <t>(Actividades realizadas * peso porcentual ) / total de actividades</t>
  </si>
  <si>
    <t>Se definieron un total de 4 actividades, así:
1. Ajuste formulario de caracterización
2. Identificación de Entidades Públicas - Autoridades Ambientales (de acuerdo con la priorización).
3. Aplicación de formulario de caracterización.
4. Tabulación y Resultados</t>
  </si>
  <si>
    <t>Se definieron un total de 4 actividades, así:
1. Ajuste formulario de caracterización. 2. Identificación de Entidades Públicas - Autoridades Ambientales (de acuerdo con la priorización). 3. Aplicación de formulario de caracterización. 4. Tabulación y Resultados
De las 4 actividades definidas, se llevaron a cabo 2: ajuste al formulario de caracterización de las Autoridades Ambientales y la identificación de las Autoridades para la aplicación del Instrumento.</t>
  </si>
  <si>
    <t>Se definieron un total de 4 actividades, así:
1. Ajuste formulario de caracterización. 2. Identificación de Entidades Públicas - Autoridades Ambientales (de acuerdo con la priorización). 3. Aplicación de formulario de caracterización. 4. Tabulación y Resultados
El 6 de mayo se remitió el formulario de caracterización a las Autoridades Ambientales, una vez se complete la información se procederá a elaborar el respectivo documento con los resultados.</t>
  </si>
  <si>
    <t>Se definieron un total de 4 actividades, así:
1. Ajuste formulario de caracterización. 2. Identificación de Entidades Públicas - Autoridades Ambientales (de acuerdo con la priorización). 3. Aplicación de formulario de caracterización. 4. Tabulación y Resultados
El 6 de mayo se remitió el formulario de caracterización a 39 Autoridades Ambientales.
Con corte a 30 de junio se encuentra pendiente la respuesta de 6 CARs.
Una vez se complete la información se procederá a elaborar el respectivo documento con los resultados.</t>
  </si>
  <si>
    <t>Se definieron un total de 4 actividades, así:
1. Ajuste formulario de caracterización. 2. Identificación de Entidades Públicas - Autoridades Ambientales (de acuerdo con la priorización). 3. Aplicación de formulario de caracterización. 4. Tabulación y Resultados
El 6 de mayo se remitió el formulario de caracterización a 39 Autoridades Ambientales. El 24 de julio se reiteró la solicitud, y con corte a 30 de julio se encuentra pendiente la respuesta de 5 CARs.
Una vez se complete la información se procederá a elaborar el respectivo documento con los resultados.</t>
  </si>
  <si>
    <t>Se definieron un total de 4 actividades, así:
1. Ajuste formulario de caracterización. 2. Identificación de Entidades Públicas - Autoridades Ambientales (de acuerdo con la priorización). 3. Aplicación de formulario de caracterización. 4. Tabulación y Resultados
El 6 de mayo se remitió el formulario de caracterización a 39 Autoridades Ambientales. El 24 de julio se reiteró la solicitud; en el mes de agosto se estableció contacto telefónico con las autoridades pendientes de respuesta (5 en total, 15% del total), sin embargo, a 31 de agosto, no se recibió respuesta. El documento con los resultados se encuentra en elaboración.</t>
  </si>
  <si>
    <t>Se definieron un total de 4 actividades, así:
1. Ajuste formulario de caracterización. 2. Identificación de Entidades Públicas - Autoridades Ambientales (de acuerdo con la priorización). 3. Aplicación de formulario de caracterización. 4. Tabulación y Resultados
En el mes de septiembre se elaboró el documento con  los resultados de la Caracterización de Autoridades Ambientales, se encuentra en revisión. Pendiente publicación en página web.</t>
  </si>
  <si>
    <t>Aumentar la Satisfacción de los Usuarios frente a los trámites y Servicios</t>
  </si>
  <si>
    <t>Incrementar en 5 puntos el grado de satisfacción de los usuarios externos frente a los trámites y Servicios</t>
  </si>
  <si>
    <t>Resultados Encuesta de Satisfacción 2019</t>
  </si>
  <si>
    <t>Fortalecimiento de los canales de atención.</t>
  </si>
  <si>
    <t>Implementar 3 nuevos canales de atención a los usuarios y/o ciudadanos</t>
  </si>
  <si>
    <t>No está programado para el mes de enero</t>
  </si>
  <si>
    <t>Se implementaran 3 nuevos canales:
1. Virtual hold
2. Click to call
3. Chatbot</t>
  </si>
  <si>
    <t>En el primer trimestre se aplicó la encuesta de satisfacción de usuarios. En el mes de junio del 2020 se completó la muestra de la encuesta de satisfacción correspondiente a la medición del segundo semestre de 2019, presentando como resultado una satisfacción general del 83,2%. En el mes de Julio de 2020 se aplicará la encuesta de satisfacción correspondiente a la medición del primer semestre de 2020, los resultados se presentarán en el ultimo trimestre del año.</t>
  </si>
  <si>
    <t>Se implementaron 3 nuevos canales:
1. Virtual hold
2. Click to call
3. Chatbot</t>
  </si>
  <si>
    <t>En el primer trimestre se aplicó la encuesta de satisfacción de usuarios. En el mes de junio del 2020 se completó la muestra de la encuesta de satisfacción correspondiente a la medición del segundo semestre de 2019, presentando como resultado una satisfacción general del 83,2%. En el mes de Agosto de 2020 se aplicará la encuesta de satisfacción correspondiente a la medición del primer semestre de 2020, los resultados se presentarán en el ultimo trimestre del año.</t>
  </si>
  <si>
    <t>En el mes de Agosto de 2020 se aplicó la encuesta de satisfacción correspondiente a la medición del primer semestre de 2020, los resultados se presentarán en el ultimo trimestre del año.</t>
  </si>
  <si>
    <t>Caracterización de los conflictos de competencia de la Autoridad Nacional de Licencias Ambiental</t>
  </si>
  <si>
    <t>Número de actividades elaboradas/Número de actividades programadas</t>
  </si>
  <si>
    <t>Numero</t>
  </si>
  <si>
    <t xml:space="preserve">Se llevó a cabo la primera actividad del Plan de Trabajo correspondiente al Análisis de información recolectada en 2019 sobre denuncias ambientales, requerimientos de entes de control  y resultados de las acciones de presencia territorial y, la definición y métodos para la caracterización de los conflictos para la ANLA. </t>
  </si>
  <si>
    <t>En el segundo trimestre se llevó a cabo la segunda actividad del plan de trabajo de manera parcial, teniendo en cuenta que el documento se encuentra en revisión y ajustes que se alimentarán con las recomendaciones de expertos del PNUD.</t>
  </si>
  <si>
    <t>En el tercer trimestre se llevó a cabo la tercera actividad del plan de trabajo: revisión del documento de PNUD con experiencias internacionales en manejo de conflictos. 
Se avanza en la propuesta de guía de articulación interna denominada "Ruta de acción para diálogos constructivos y diálogos territoriales", como parte de la metodología para la transformación positiva de conflictos.</t>
  </si>
  <si>
    <t>Porcentajes de peticiones, quejas, reclamos y sugerencias (PQRS) atendidas de manera oportuna</t>
  </si>
  <si>
    <t>N° de PQRS ordinarios respondidos en los términos legales / N° de PQRS ordinarios recibidos.</t>
  </si>
  <si>
    <t>Base de datos Control de tiempos DPE 2019</t>
  </si>
  <si>
    <t xml:space="preserve">Recibidos en agosto atendido en enero 1
Recibidos en septiembre atendido en enero 1
Recibidos en octubre atendido en enero 3
Recibidos en noviembre atendido en enero 4
Recibidos en diciembre atendido en enero 84
Recibidos en enero atendido en enero 368
Recibidos en agosto para elaborar auto de desistimiento. 4
Recibidos en septiembre para elaborar auto de desistimiento. 8
Recibidos en octubre para elaborar auto de desistimiento. 3
Recibidos en diciembre para elaborar auto de desistimiento. 1
Recibidos en diciembre se encuentran en trámite dentro del término. 2 
Recibidos en enero se encuentran en trámite dentro del término. 210
Nota 1: se aclara que de los 12 registros de octubre reportados en diciembre pendientes para elaborar auto de desistimiento, en 4 de ellos el profesional a cargo identificó que el usuario cumplió con el requerimiento en el término establecido, y la solicitud fue remitida al expediente, por lo tanto no es necesario elaborar auto de desistimiento.
Nota 2: se aclara que de los 7 registros de noviembre reportados en diciembre pendientes para elaborar auto de desistimiento, en 3 de ellos el profesional a cargo identificó que el usuario cumplió con el requerimiento en el término establecido, y la solicitud fue remitida al expediente, por lo tanto no es necesario elaborar auto de desistimiento.
Nota 3: se aclara que de los 95 registros de diciembre reportados en el mismo mes, 1 de ellos el profesional a cargo identificó que el usuario cumplió con el requerimiento en el término establecido, y la solicitud fue remitida al expediente, 
con 4 registros se evidencia que tenían respuesta en el mes de diciembre (2019203035-1-000, 2019202811-1-000, 2019206508-1-000, 2019202704-1-000), 3 fueron reasignados al expediente (2019200394-1-000, 2019205346-1-000, 2019206837-1-000) 1 fue anulado (2019205064-1-000) y 1 reasignado a la SIPTA ( 2019206726-1-000)
</t>
  </si>
  <si>
    <t>En los meses de Enero y febrero el Grupo de Atención al Ciudadano respondió en terminos legales 718 PQRS, de un total de recibidos de 724, es decir, se respondieron fuera de termino 6 PQRS.</t>
  </si>
  <si>
    <t xml:space="preserve"> Ene-Mar de 2020: Con corte al primer trimestre del año 2020 la Entidad recibió 2.134 peticiones, quejas, reclamos y sugerencias Ordinarias, de las cuales se atendieron dentro de termino 2.109, representando un porcentaje de cumplimiento del 98,8%. En el mes de enero se recibieron 255 PQRS y se atendieron dentro de término 254 (99,60%); el acumulado en el mes de febrero correspondió a 1174 PQRS recibidos y  1157 PQRS atendidos dentro de término (98,55%) y en el mes de marzo correspondió a 2134 PQRS recibidos y 2109 PQRS atendidos dentro de término (98,82%).
En relación con las peticiones verbales recibidas a traves de los canales telefónico, chat y presencial en el trimestre se recibieron 6.308 , las cuales de atendieron de manera inmediata. (Enero 1.982, febrero 2.219 y marzo 2.107). Dado que la respuesta es inmediata, no se tiene en cuenta en el calculo del indicador. 
Para el I trimestre la Subdirección de Mecanismos de Participación Ciudadana Ambiental atendió el 80% de las peticiones, quejas, reclamos y sugerencias ordinarias que ingresaron a la Entidad.</t>
  </si>
  <si>
    <t xml:space="preserve"> Ene-Abr de 2020: Con corte al 30 de abril del 2020 la Entidad recibió 2.858 peticiones, quejas, reclamos y sugerencias Ordinarias, de las cuales se atendieron dentro de termino 2.822, es decir, se respondieron fuera de termino 36 PQRS. Representando un porcentaje de cumplimiento del 98,7%. </t>
  </si>
  <si>
    <t>Ene-May de 2020: Con corte al 31 de mayo del 2020 la Entidad recibió 3.609 peticiones, quejas, reclamos y sugerencias Ordinarias, de las cuales se atendieron dentro de termino 3.573, es decir, se respondieron fuera de termino 36 PQRS. Representando un porcentaje de cumplimiento del 99%. 
Se aclara que 5 radicados reportados en el mes de abril como vencidos cambiaron el estado de acuerdo con la siguiente información:
2020033835: se respondió en tiempo con otro radicado de entrada 2020061021-1-000 (en tiempo)
2020034680: prórroga, salió respuesta sin radicado asociado al inicial. (en tiempo)
2020034885: prórroga, posteriormente se identificó como actividad informativa. (en tiempo)
2020039702: traslado, salió respuesta sin radicado asociado al inicial. (en tiempo)
2020052016: se cambió la actividad y se reasignó a trámite dentro del expediente LAM2469.</t>
  </si>
  <si>
    <t>Ene-Jun de 2020: Con corte al 30 de junio del 2020 la Entidad recibió 4.442 peticiones, quejas, reclamos y sugerencias Ordinarias, de las cuales se atendieron dentro de termino 4.403, es decir, se respondieron fuera de termino 39 PQRS. Representando un porcentaje de cumplimiento del 99,1%. 
En relación con las peticiones verbales recibidas a traves de los canales telefónico, chat y presencial en el trimestre se recibieron 4.558, las cuales de atendieron de manera inmediata. (Abril 1.459, mayo 1.576 y junio 1.523). Dado que la respuesta es inmediata, no se tiene en cuenta en el calculo del indicador.
Para el I semestre la Subdirección de Mecanismos de Participación Ciudadana Ambiental atendió el 79% de las peticiones, quejas, reclamos y sugerencias ordinarias que ingresaron a la Entidad.</t>
  </si>
  <si>
    <t xml:space="preserve">Ene-Jul de 2020: Con corte al 31 de julio del 2020 la Entidad recibió 5.544 peticiones, quejas, reclamos y sugerencias Ordinarias, de las cuales se atendieron dentro de termino 5.486, es decir, se respondieron fuera de termino 58 PQRS. Representando un porcentaje de cumplimiento del 99%. 
Teniendo en cuenta que el Decreto 491 del 28 de marzo de 2020, amplió los términos para la atención de los derechos de petición, de los 58 derechos de petición reportados como vencidos a 31 de julio de 2020, con la aplicación del decreto efectivamente se vencieron 28 de estos, lo que indica que el porcentaje de cumplimiento en el indicador de oportunidad corresponde al 99,5%. </t>
  </si>
  <si>
    <t xml:space="preserve">Ene-Ago de 2020: Con corte al 31 de agosto del 2020 la Entidad recibió 6.604 peticiones, quejas, reclamos y sugerencias Ordinarias, de las cuales se atendieron dentro de termino 6.543, es decir, se respondieron fuera de termino 61 PQRS. Representando un porcentaje de cumplimiento del 99,1%. 
Teniendo en cuenta que el Decreto 491 del 28 de marzo de 2020, amplió los términos para la atención de los derechos de petición, de los 61 derechos de petición reportados como vencidos a 31 de agosto de 2020, con la aplicación del decreto efectivamente se vencieron 28 de estos, lo que indica que el porcentaje de cumplimiento en el indicador de oportunidad corresponde al 99,6%. </t>
  </si>
  <si>
    <t xml:space="preserve">Ene-Sep de 2020: Con corte al 30 de septiembre del 2020 la Entidad recibió 8.102 peticiones, quejas, reclamos y sugerencias Ordinarias, de las cuales se atendieron dentro de termino 8.020, es decir, se respondieron fuera de termino 82 PQRS. Representando un porcentaje de cumplimiento del 99%. 
Teniendo en cuenta que el Decreto 491 del 28 de marzo de 2020, amplió los términos para la atención de los derechos de petición, de los 82 derechos de petición reportados como vencidos a 30 de septiembre de 2020, con la aplicación del decreto efectivamente se vencieron 39 de estos, lo que indica que el porcentaje de cumplimiento en el indicador de oportunidad corresponde al 99,5%. </t>
  </si>
  <si>
    <t>PROMEDIO ATENCIÓN AL CIUDADANO</t>
  </si>
  <si>
    <t>Indicador de producto total*</t>
  </si>
  <si>
    <t>Indicador de Gestion total*</t>
  </si>
  <si>
    <t>Indicador de Gestion total</t>
  </si>
  <si>
    <t>37,7%</t>
  </si>
  <si>
    <t xml:space="preserve">*Incluye el indicador : Notificaciones por medios electrónicos / notificaciones realizadas </t>
  </si>
  <si>
    <t>t</t>
  </si>
  <si>
    <t>t-1</t>
  </si>
  <si>
    <t>Fortalecimiento organizacional y simplificación de procesos</t>
  </si>
  <si>
    <t>SES</t>
  </si>
  <si>
    <t>RASP</t>
  </si>
  <si>
    <t>Porcentaje de cambios menores y giros ordinarios resueltos oportunamente</t>
  </si>
  <si>
    <t>(Número de Cambios menores y giros ordinarios resueltos en términos /Total de Cambios menores y giros ordinarios con vencimiento de términos) * 100</t>
  </si>
  <si>
    <t>ANDREA ESTEBAN TORRES [Coordinador(a)]</t>
  </si>
  <si>
    <t>Durante el mes de Enero de 2020, se tuvieron 53 actividades con vencimiento de terminos, de las cuales 50 Cambios mejores y(o Giros Ordinarios se respondieron oportunamente. Esta gestión arroja una porcentaje de oportunidad del 94%.</t>
  </si>
  <si>
    <t>A corte febrero de 2020, se tuvieron 101 actividades con vencimiento de terminos, de las cuales 98 Cambios mejores y Giros Ordinarios se respondieron oportunamente. Esta gestión arroja una porcentaje de oportunidad del 97%.</t>
  </si>
  <si>
    <t>A corte 31 de marzo de 2020, se tuvieron 141 actividades con vencimiento de terminos, de las cuales 134 Cambios mejores y Giros Ordinarios se respondieron oportunamente. Esta gestión arroja una porcentaje de oportunidad del 97%.</t>
  </si>
  <si>
    <t>Durante el mes de Abril se presentaron un total de 60 actividades.  Del total de estas actividades, 59 actividades fueron finalizadas dentro de los términos establecidos, 1  fueron finalizadas vencidas, esto arroja un porcentaje de oportunidad del 98,3% para el mes de Abril. En total acumulado a Abril se han recibido un total de 221 solicitudes, de las cuales 213 han sido respondidas dentro de los términos establecidos, 8 vencidas.  Esta gestión arroja una porcentaje de oportunidad del 96,3%.</t>
  </si>
  <si>
    <t>Durante el mes de Mayo se presentaron un total de 38 actividades.  Del total de estas actividades, 36 actividades fueron finalizadas dentro de los términos establecidos, 2  fueron finalizadas vencidas, esto arroja un porcentaje de oportunidad del 94,7% para el mes de Mayo. En total acumulado a Mayo se han recibido un total de 264 solicitudes, de las cuales 254 han sido respondidas dentro de los términos establecidos y  10 vencidas.  Esta gestión arroja una porcentaje de oportunidad del 96,21%.</t>
  </si>
  <si>
    <t>Durante el mes de Junio se presentaron un total de 53 actividades.  Del total de estas actividades, 52 actividades fueron finalizadas dentro de los términos establecidos, 1  fue finalizada vencida, esto arroja un porcentaje de oportunidad del 98,11% para el mes de Junio. En total acumulado a Junio se han recibido un total de 317 solicitudes, de las cuales 306 han sido respondidas dentro de los términos establecidos y  11 vencidas.  Esta gestión arroja una porcentaje de oportunidad del 96,53%.</t>
  </si>
  <si>
    <t>Durante el mes de Julio se presentaron un total de 91 actividades.  Del total de estas actividades, 89 actividades fueron finalizadas dentro de los términos establecidos, 2  fue finalizada vencida, esto arroja un porcentaje de oportunidad del 97,8% para el mes de Julio. En total acumulado a Julio se han recibido un total de 408 solicitudes, de las cuales 395 han sido respondidas dentro de los términos establecidos y  13 vencidas.  Esta gestión arroja una porcentaje de oportunidad del 96,81%.</t>
  </si>
  <si>
    <r>
      <t xml:space="preserve">Durante el mes de Agosto se presentaron un total de 60 actividades.  Del total de estas actividades, 59 actividades fueron finalizadas dentro de los términos establecidos 1  fue finalizada vencida, esto arroja un porcentaje de oportunidad del 98,3% para el mes de Agosto. En total acumulado a Agosto se han recibido un total de 468 solicitudes, de las cuales 453 han sido respondidas dentro de los términos establecidos y  15 vencidas.  Esta gestión arroja una porcentaje de oportunidad del 96,79%.
</t>
    </r>
    <r>
      <rPr>
        <sz val="11"/>
        <color rgb="FFC00000"/>
        <rFont val="Calibri"/>
        <family val="2"/>
        <scheme val="minor"/>
      </rPr>
      <t>Se debe tener ren cuenta que a partir del mes de Agosto de 2020, la meta para este indicador ha sido modificada a 90%.</t>
    </r>
  </si>
  <si>
    <t>Durante el mes de Septiembre se presentaron un total de 56 actividades.  Del total de estas actividades, 55 actividades fueron finalizadas dentro de los términos establecidos y  1  fue finalizada vencida, esto arroja un porcentaje de oportunidad del 98,2% para el mes de Septiembre. En total acumulado a Septiembre se han recibido un total de 524 solicitudes, de las cuales 508 han sido respondidas dentro de los términos establecidos y  16 vencidas.  Esta gestión arroja una porcentaje de oportunidad del 96,95%.
Se debe tener ren cuenta que a partir del mes de Agosto de 2020, la meta para este indicador ha sido modificada a 90%.</t>
  </si>
  <si>
    <t>Porcentaje de cumplimiento de los términos para la verificación preliminar de los ICA</t>
  </si>
  <si>
    <t>(Número ICAS revisados oportunamente /número de ICAS recibidos con vencimiento de términos) * 100</t>
  </si>
  <si>
    <t>Durante el periodo se tuvieron un total de 182 actividades con vencimiento en el mes de Enero de 2020.  Del total de estas actividades, 115 actividades fueron finalizadas dentro de los términos establecidos</t>
  </si>
  <si>
    <t>A corte febrero de 2020, se tuvieron un total de 413 actividades con vencimiento, de las cuales 274 actividades fueron finalizadas dentro de los términos establecidos</t>
  </si>
  <si>
    <t>A corte marzo de 2020, se tuvieron un total de 613 actividades con vencimiento, de las cuales 449 actividades fueron finalizadas dentro de los términos establecidos</t>
  </si>
  <si>
    <t>Durante el mes de Abril se presentaron un total de 242 actividades.  Del total de estas actividades, 142 actividades fueron finalizadas dentro de los términos establecidos, 30 fueron finalizadas vencidas y 70 activas vencidas; esto arroja un porcentaje de oportunidad del 58,7% para el mes de Abril.  En total acumulado el total acumulado a Abril se han recibido 890 solicitudes; esta gestión arroja una porcentaje de oportunidad del 68,5%, para el acumulado del año, con 610 solicitudes en términos y 280 vencidas.</t>
  </si>
  <si>
    <t>Durante el mes de Mayo se presentaron un total de 299 actividades.  Del total de estas actividades, 181 actividades fueron finalizadas dentro de los términos establecidos, 72 fueron finalizadas vencidas y 46 activas vencidas; esto arroja un porcentaje de oportunidad del 60,5% para el mes de Abril.  En total acumulado el total acumulado a Mayo se han recibido 1209 solicitudes; esta gestión arroja una porcentaje de oportunidad del 72,8%, para el acumulado del año, con 880 solicitudes en términos y 283 vencidas.</t>
  </si>
  <si>
    <t>Durante el mes de Junio  se presentaron un total de 317 actividades.  Del total de estas actividades, 174 actividades fueron finalizadas dentro de los términos establecidos, 104 fueron finalizadas vencidas y 39 activas vencidas; esto arroja un porcentaje de oportunidad del 54,9% para el mes de Junio.  En total acumulado el total acumulado a Junio se han recibido 1537 solicitudes; esta gestión arroja una porcentaje de oportunidad del 72,3%, para el acumulado del año, con 1111 solicitudes en términos, 387 vencidas y 39 activas vencidas .</t>
  </si>
  <si>
    <t>Durante el mes de Julio se presentaron un total de 517 actividades.  Del total de estas actividades, 273 actividades fueron finalizadas dentro de los términos establecidos, 186 fueron finalizadas vencidas y 58 activas vencidas; esto arroja un porcentaje de oportunidad del 52,8% para el mes de Julio.  En total acumulado el total acumulado a Julio se han recibido 2052 solicitudes, de las cuales 1419 han sido gestionadas dentro de terminos, 575 vencidas y 58 activas vencidas ; esta gestión arroja una porcentaje de oportunidad del 69,2%, para el acumulado del año.</t>
  </si>
  <si>
    <t>Durante el mes de Agosto se presentaron un total de 339 actividades.  Del total de estas actividades, 136 actividades fueron finalizadas dentro de los términos establecidos, 173 fueron finalizadas vencidas y 30 activas vencidas; esto arroja un porcentaje de oportunidad del 40,1% para el mes de Agosto.  En total acumulado el total acumulado a Agosto se han recibido 2398 solicitudes, de las cuales 1620 han sido gestionadas dentro de términos, 748 vencidas y se tienen 30 activas vencidas a la fecha; esta gestión arroja una porcentaje de oportunidad del 67,6%, para el acumulado del año.</t>
  </si>
  <si>
    <t>Durante el mes de Septiembre se presentaron un total de 236 actividades.  Del total de estas actividades, 151 actividades fueron finalizadas dentro de los términos establecidos y 85 fueron finalizadas vencidas; esto arroja un porcentaje de oportunidad del 63,9% para el mes de Septiembre  En total acumulado el total acumulado a Septiembre se han recibido 2719 solicitudes, de las cuales 1644 han sido gestionadas dentro de términos, 1020 vencidas y se tienen 55 activas vencidas a la fecha; esta gestión arroja una porcentaje de oportunidad del 60,4%, para el acumulado del año.</t>
  </si>
  <si>
    <t>Porcentaje de autos de inicio emitidos oportunamente</t>
  </si>
  <si>
    <t>(Número de Autos de inicio emitidos en términos / número de Autos emitidos con vencimiento de términos)*100</t>
  </si>
  <si>
    <t>A corte 31 de enero de 2020, debian emitirse 2  autos de inicio de las VPD ingresadas y aprobadas en el mes, los cuales fueron expedidos oportunamente. Por ser un indicador que se mide por primera vez en la entidad, para su calculo solo se toma informacion a partir de la vigencia 2020.</t>
  </si>
  <si>
    <t>A corte 29 de febrero de 2020 debian emitirse 17 autos de inicio de las VPD ingresadas y aprobadas en el periodo, de los cuales 7 fueron expedidos oportunamente.</t>
  </si>
  <si>
    <t>A corte 31 de marzo de 2020 debian emitirse 24 autos de inicio de las VPD ingresadas y aprobadas en el periodo, de los cuales 13 fueron expedidos oportunamente.</t>
  </si>
  <si>
    <t>Durante el mes de Abril se gestionaron 3 autos de inicio, los cuales todos fueron atendidos dentro de los términos establecidos, esto arroja un porcentaje de oportunidad del 100%. Se debe tener en cuenta que 2 de los autos eran del sector de agroquímicos y no requerían visita, por esta razón se gestionaron en términos; y uno queda pendiente debido a directriz emitida por la entidad de no realizar visitas.  En total acumulado a Abril se presentan 25  autos de inicio con 16 gestionados dentro de los términos y esto arroja un porcentaje de oportunidad del 64%.</t>
  </si>
  <si>
    <t>Durante el mes de Mayo se gestionaron 4 autos de inicio, de los cuales 1 fue atendido fuera de los términos establecidos y los otros 3 se encuentran pendientes debido a la directriz de la entidad de no realizar visitas tecnicas a los usuarios; esto arroja un porcentaje de oportunidad del 0%.  En total acumulado a Mayo se presentan 29 autos de inicio con 16 gestionados dentro de los términos y esto arroja un porcentaje de oportunidad del 55,1%.</t>
  </si>
  <si>
    <t>Durante el mes de Junio se presentaron 6 autos de inicio, de los cuales 2 se encuentran pendientes debido a la directriz de la entidad de no realizar visitas técnicas a los usuarios, y 4 se atendieron (por solicitud de la subdirección de Evaluación) con fecha de finalización dentro de los términos establecidos; esto arroja un porcentaje de oportunidad del 66,6% para el mes de Junio.  En total acumulado corte Junio se presentan 35 autos de inicio con 20 gestionados dentro de los términos y esto arroja un porcentaje de oportunidad del 57,1%.</t>
  </si>
  <si>
    <t>Durante el mes de Juio se presentaron 8 autos de inicio, de los cuales 3 se gestionaron dentro de los terminos establecios, y los otros 5 se encuentran pendientes debido a la directriz de la entidad de no realizar visitas técnicas a los usuario; esto arroja un porcentaje de oportunidad del 37,5% para el mes de Julio.  En total acumulado corte Julio se presentan 43 autos de inicio con 19 gestionados dentro de los términos y esto arroja un porcentaje de oportunidad del 44,1%.</t>
  </si>
  <si>
    <t>Durante el mes de Agosto se presentaron 21 autos de inicio, de los cuales 2 se gestionaron dentro de los términos establecidos (agroquímicos sin visita técnica), 6 fueron expedidos por fuera de términos por Covid19, y los otros 13 se encuentran pendientes debido a la directriz de la entidad de no realizar visitas técnicas a los usuario, por Covid19; esto arroja un porcentaje de oportunidad del 9,5% para el mes de Agosto.  En total acumulado corte Julio se presentan 64 autos de inicio con 21 gestionados dentro de los términos y esto arroja un porcentaje de oportunidad del 32,8%.</t>
  </si>
  <si>
    <t>Durante el mes de Septiembre se presentaron 10 autos de inicio, de los cuales 3 se gestionaron dentro de los términos establecidos (agroquímicos sin visita técnica), 6 fueron expedidos por fuera de términos por Covid19, y 1 se encuentra pendiente debido a la directriz de la entidad de no realizar visitas técnicas a los usuario, por Covid19; esto arroja un porcentaje de oportunidad del 30%% para el mes de Septiembre.  En total acumulado corte Septiembre se presentan 74 autos de inicio con 24 gestionados dentro de los términos y esto arroja un porcentaje de oportunidad del 32,4%.</t>
  </si>
  <si>
    <t>Porcentaje de VPD con respuesta oportuna</t>
  </si>
  <si>
    <t>(Numero VPD finalizados en términos / número de VPD con vencimiento de términos)*100</t>
  </si>
  <si>
    <t>A corte 31 de enero de 2020, han ingresado a la entidad 14 VPD, de las cuales 6 tenian vencimiento de teriminos y fueron revisadas oprotunamente. Dando como resultado 2 VPD aprobadas. Por ser un indicador que se mide por primera vez en la entidad, para su calculo solo se toma informacion a partir de la vigencia 2020.</t>
  </si>
  <si>
    <t xml:space="preserve">A corte 29 de febrero de 2020, 44 VPD tenian vencimiento de teriminos de las cuales 33 fueron revisadas oprotunamente. </t>
  </si>
  <si>
    <t xml:space="preserve">A corte 31 de marzo de 2020, 57 VPD tenian vencimiento de teriminos de las cuales 47 fueron revisadas oprotunamente. </t>
  </si>
  <si>
    <t>Durante el mes de Abril se gestionaron 4 VPD, de las cuales las 4 fueron atendidas en términos, obteniendo un porcentaje de oportunidad del 100% par el mes de Marzo. En el total acumulado a Abril se han recibido un total de 61 solicitudes, de las cuales 54 han sido gestionadas a tiempo y 7 vencidas, obteniendo un porcentaje de oportunidad del 88,5%.</t>
  </si>
  <si>
    <t>Durante el mes de Mayo se gestionaron 12 VPD, de las cuales las 12 fueron atendidas en términos, obteniendo un porcentaje de oportunidad del 100% par el mes de Mayo. En el total acumulado a Mayo se han recibido un total de 73 solicitudes, de las cuales 66 han sido gestionadas a tiempo y 7 vencidas, obteniendo un porcentaje de oportunidad del 90,4%.</t>
  </si>
  <si>
    <t>Durante el mes de Junio se gestionaron 12 BPD, de las cuales las 12 fueron atendidas en términos, obteniendo un porcentaje de oportunidad del 100% para el mes de Junio. En el total acumulado a Junio se han recibido un total de 85 solicitudes, de las cuales 78 han sido gestionadas a tiempo y 7 vencidas, obteniendo un porcentaje de oportunidad del 91,7%.</t>
  </si>
  <si>
    <t>Durante el mes de Julio se gestionaron 26 VPD, de las cuales las 26 fueron atendidas en términos, obteniendo un porcentaje de oportunidad del 100% para el mes de Julio. En el total acumulado a Junio se han recibido un total de 111 solicitudes, de las cuales 104 han sido gestionadas a tiempo y 7 vencidas, obteniendo un porcentaje de oportunidad del 93,6%.</t>
  </si>
  <si>
    <t>Durante el mes de Agosto se gestionaron 47 VPD, de las cuales las 47 fueron atendidas en términos, obteniendo un porcentaje de oportunidad del 100% para el mes de Agosto. En el total acumulado a Agosto se han recibido un total de 158 solicitudes, de las cuales 151 han sido gestionadas a tiempo y 7 vencidas, obteniendo un porcentaje de oportunidad del 95,5%.</t>
  </si>
  <si>
    <t>Durante el mes de Septiembre se gestionaron 29 VPD, de las cuales las 29 fueron atendidas en términos, obteniendo un porcentaje de oportunidad del 100% para el mes de Septiembre. En el total acumulado a Septiembre se han recibido un total de 187 solicitudes, de las cuales 180 han sido gestionadas a tiempo y 7 vencidas, obteniendo un porcentaje de oportunidad del 96,2%.</t>
  </si>
  <si>
    <t>Gestión documental</t>
  </si>
  <si>
    <t>Porcentaje de Derechos de petición a solicitudes prioritarias finalizados oportunamente</t>
  </si>
  <si>
    <t>(Numero de DPE finalizados en términos / Total DPE con vencimiento de terminos)*100</t>
  </si>
  <si>
    <t>Durante el mes de Enero de 2020, se finalizaron 68 derechos de petición dentro de los términos establecidos. De un total de 68 actividades con vencimiento en el mes. Esta gestión arroja una porcentaje de oportunidad del 97,7%.</t>
  </si>
  <si>
    <t>A corte febrero de 2020, se finalizaron 178 derechos de petición dentro de los términos establecidos. De un total de 178 actividades con vencimiento en el periodo. Esta gestión arroja una porcentaje de oportunidad del 100%.</t>
  </si>
  <si>
    <t>A corte marzo de 2020, se finalizaron 305 derechos de petición dentro de los términos establecidos. De un total de 308 actividades con vencimiento en el periodo. Esta gestión arroja una porcentaje de oportunidad del 99%.</t>
  </si>
  <si>
    <t>Durante el mes de Abril se presentaron un total de 109 actividades.  Del total de estas actividades, 107 actividades fueron finalizadas dentro de los términos establecidos, 1 fueron finalizadas vencidas y a fecha de corte 1 se encontraba activa vencida.  Esto arroja un porcentaje de oportunidad del 98,2% para el mes de Abril. En total acumulado a Abril se han recibido un total de 444 solicitudes, de las cuales 439 han sido respondidas dentro de los términos establecidos, 5 vencidas.  Esta gestión arroja una porcentaje de oportunidad del 98,9%.</t>
  </si>
  <si>
    <t>Durante el mes de Mayo se presentaron un total de 85 actividades.  Del total de estas actividades, 84 actividades fueron finalizadas dentro de los términos establecidos, 1 fueron finalizadas vencidas.  Esto arroja un porcentaje de oportunidad del 98,98% para el mes de Mayo. En total acumulado a Mayo se han recibido un total de 555 solicitudes, de las cuales 550 han sido respondidas dentro de los términos establecidos, 5 vencidas.  Esta gestión arroja una porcentaje de oportunidad del 99,1%.</t>
  </si>
  <si>
    <t>Durante el mes de Junio se presentaron un total de 114 actividades.  Del total de estas actividades, 113 actividades fueron finalizadas dentro de los términos establecidos, 1 fue finalizada vencida.  Esto arroja un porcentaje de oportunidad del 99,1% para el mes de Junio. En total acumulado a Junio se han recibido un total de 701 solicitudes, de las cuales 694 han sido respondidas dentro de los términos establecidos, 7 vencidas. Esta gestión arroja una porcentaje de oportunidad del 99% acumulado corte Junio.</t>
  </si>
  <si>
    <t>Durante el mes de Julio se presentaron un total de 130 actividades.  Del total de estas actividades, 127 actividades fueron finalizadas dentro de los términos establecidos, 3 fueron finalizadas vencida.  Esto arroja un porcentaje de oportunidad del 97,7% para el mes de Julio. En total acumulado a Junio se han recibido un total de 873 solicitudes, de las cuales 863 han sido respondidas dentro de los términos establecidos, 10 vencidas. Esta gestión arroja una porcentaje de oportunidad del 98,9% acumulado corte Junio.</t>
  </si>
  <si>
    <r>
      <t xml:space="preserve">Durante el mes de Agosto se presentaron un total de 126 actividades.  Del total de estas actividades, 125 actividades fueron finalizadas dentro de los términos establecidos,  1 fue finalizada vencida.  Esto arroja un porcentaje de oportunidad del 99,2% para el mes de Julio. En total acumulado a Agosto se han recibido un total de 1029 solicitudes, de las cuales 1018 han sido respondidas dentro de los términos establecidos y 11 vencidas. Esta gestión arroja una porcentaje de oportunidad del 98,9% acumulado corte Junio.
</t>
    </r>
    <r>
      <rPr>
        <sz val="11"/>
        <color rgb="FFC00000"/>
        <rFont val="Calibri"/>
        <family val="2"/>
        <scheme val="minor"/>
      </rPr>
      <t>Se debe tener en cuenta que a partir del mes de Agosto de 2020, la meta para este indicador ha sido modificada a 95%.</t>
    </r>
  </si>
  <si>
    <t>Durante el mes de Septiembre se presentaron un total de 177 actividades.  Del total de estas actividades, 176 actividades fueron finalizadas dentro de los términos establecidos y 1 fue finalizada vencida.  Esto arroja un porcentaje de oportunidad del 99,4% para el mes de Septiembre. En total acumulado a Septiembre se han recibido un total de 1270 solicitudes, de las cuales 1258 han sido respondidas dentro de los términos establecidos y 12 vencidas. Esta gestión arroja una porcentaje de oportunidad del 99,1% acumulado corte Septiembre.
Se debe tener en cuenta que a partir del mes de Agosto de 2020, la meta para este indicador ha sido modificada a 95%.</t>
  </si>
  <si>
    <t>Porcentaje de Solicitudes prioritarias de entes de control (ECOS) finalizados oportunamente</t>
  </si>
  <si>
    <t>(Número de ECO finalizados en términos / número de ECO con vencimiento de términos)*100</t>
  </si>
  <si>
    <t>Durante el mes de Enero de 2020, se finalizaron 42 derechos de petición dentro de los términos establecidos de un total de 43 actividades con vencimiento en el  periodo evaluado. Esta gestión arroja una porcentaje de oportunidad del 100%.</t>
  </si>
  <si>
    <t>A corte febrero de 2020, se finalizaron 104 ECOS dentro de los términos establecidos de un total de 107 actividades con vencimiento en el  periodo evaluado. Esta gestión arroja una porcentaje de oportunidad del 97,2%.</t>
  </si>
  <si>
    <t>A corte marzo de 2020, se finalizaron 171 ECOS dentro de los términos establecidos de un total de 174 actividades con vencimiento en el  periodo evaluado. Esta gestión arroja una porcentaje de oportunidad del 98.3%.</t>
  </si>
  <si>
    <t>Durante el mes de Abril se presentaron un total de 30 actividades.  Del total de estas actividades, 30 actividades fueron finalizadas dentro de los términos establecido y no se presentaron vencimientos, esto arroja un porcentaje de oportunidad del 100% para el mes de Abril. En total acumulado a Abril se han recibido un total de 200 solicitudes, de las cuales 198 han sido respondidas dentro de los términos establecidos y 2 vencidas.  Esta gestión arroja una porcentaje de oportunidad del 99%.</t>
  </si>
  <si>
    <t>Durante el mes de Mayo se presentaron un total de 54 actividades.  Del total de estas actividades, 56 actividades fueron finalizadas dentro de los términos establecido y no se presentaron vencimientos, esto arroja un porcentaje de oportunidad del 100% para el mes de Mayo. En total acumulado a Mayo se han recibido un total de 262 solicitudes, de las cuales 259 han sido respondidas dentro de los términos establecidos y 3 vencidas.  Esta gestión arroja una porcentaje de oportunidad del 98,9%.</t>
  </si>
  <si>
    <t>Durante el mes de Junio se presentaron un total de 59 actividades.  Del total de estas actividades, 59 actividades fueron finalizadas dentro de los términos establecido y no se presentaron vencimientos, esto arroja un porcentaje de oportunidad del 100% para el mes de Junio. En total acumulado a Junio se han recibido un total de 329 solicitudes, de las cuales 326 han sido respondidas dentro de los términos establecidos y 3 vencidas.  Esta gestión arroja una porcentaje de oportunidad del 99,1% acumulado corte Junio.</t>
  </si>
  <si>
    <t>Durante el mes de Julio se presentaron un total de 74 actividades.  Del total de estas actividades, 74 actividades fueron finalizadas dentro de los términos establecido y no se presentaron vencimientos, esto arroja un porcentaje de oportunidad del 100% para el mes de Julio. En total acumulado a Julio se han recibido un total de 411 solicitudes, de las cuales 408 han sido respondidas dentro de los términos establecidos y 3 vencidas.  Esta gestión arroja una porcentaje de oportunidad del 99,3% acumulado corte Junio.</t>
  </si>
  <si>
    <r>
      <t xml:space="preserve">Durante el mes de Agosto se presentaron un total de 111 actividades.  Del total de estas actividades, 110 actividades fueron finalizadas dentro de los términos establecido y 1 fue finalizada vencida, esto arroja un porcentaje de oportunidad del 99,1% para el mes de Agosto. En total acumulado a Agosto se han recibido un total de 535 solicitudes, de las cuales 532 han sido respondidas dentro de los términos establecidos y 3 vencidas.  Esta gestión arroja una porcentaje de oportunidad del 99,4% acumulado corte Junio.
</t>
    </r>
    <r>
      <rPr>
        <sz val="11"/>
        <color rgb="FFC00000"/>
        <rFont val="Calibri"/>
        <family val="2"/>
        <scheme val="minor"/>
      </rPr>
      <t>Se debe tener en cuenta que a partir del mes de Agosto de 2020, la meta para este indicador ha sido modificada a 95%.</t>
    </r>
  </si>
  <si>
    <t>Durante el mes de Septiembre se presentaron un total de 110 actividades.  Del total de estas actividades, 110 actividades fueron finalizadas dentro de los términos establecido, esto arroja un porcentaje de oportunidad del100% para el mes de Septiembre En total acumulado a Septiembre se han recibido un total de 670 solicitudes, de las cuales 667 han sido respondidas dentro de los términos establecidos y 3 vencidas.  Esta gestión arroja una porcentaje de oportunidad del 99,6% acumulado corte Septiembre.
Se debe tener en cuenta que a partir del mes de Agosto de 2020, la meta para este indicador ha sido modificada a 95%.</t>
  </si>
  <si>
    <t>Indicador de producto total</t>
  </si>
  <si>
    <t>REPORTE AVANCE MENSUAL</t>
  </si>
  <si>
    <t>Avance indicador de producto enero</t>
  </si>
  <si>
    <t>Avance indicador de gestión enero</t>
  </si>
  <si>
    <t>Avance indicador de producto febrero</t>
  </si>
  <si>
    <t>Avance indicador de gestión febrero</t>
  </si>
  <si>
    <t>Avance indicador de producto marzo</t>
  </si>
  <si>
    <t>Avance indicador de gestión marzo</t>
  </si>
  <si>
    <t>Avance indicador de producto abril</t>
  </si>
  <si>
    <t>Avance indicador de gestión abril</t>
  </si>
  <si>
    <t>Avance indicador de producto mayo</t>
  </si>
  <si>
    <t>Avance indicador de gestión mayo</t>
  </si>
  <si>
    <t>Avance indicador de producto junio</t>
  </si>
  <si>
    <t>Avance indicador de producto julio</t>
  </si>
  <si>
    <t>Avance indicador de producto agosto</t>
  </si>
  <si>
    <t>Avance indicador de producto septiembre</t>
  </si>
  <si>
    <t>Información y Comunicación</t>
  </si>
  <si>
    <t>Transparencia, acceso a la información pública y lucha contra la corrupción</t>
  </si>
  <si>
    <t>Estratégico</t>
  </si>
  <si>
    <t>Gestión de tecnologías comunicaciones y seguridad de la información</t>
  </si>
  <si>
    <t>Comunicaciones estratégicas</t>
  </si>
  <si>
    <t>Comunicaciones</t>
  </si>
  <si>
    <t>Productos comunicacionales elaborados</t>
  </si>
  <si>
    <t>Canales de comunicación en servicio</t>
  </si>
  <si>
    <t>No. Canales gestionados en servicio</t>
  </si>
  <si>
    <t>ANDREA LUCIA ARANGO HERNANDEZ [Jefe de Comunicaciones]</t>
  </si>
  <si>
    <t>En el mes de enero se implementó la campaña de comunicaciones logros ANLA, la cual fue socializada a través de canales como el correo electrónico, ronda e Intranet. Igualmente, fueron apoyadas las solicitudes internas remitidas por la Oficina de Tecnología, Talento Humano., entre otros. Igualmente, las actividades del Equipo de Comunicaciones se centraron en la planeación, la generación de contenidos internos principalmente, con el fin socializar los logros de la entidad. Por lo anterior, se presentó una baja producción de gestión con medios de comunicación y generación de contenidos en redes sociales.</t>
  </si>
  <si>
    <t>En el mes de enero, los canales de comunicación que se emplearon fueron: el correo electrónico, la ronda semanal, la Intranet, El Director nos cuenta, Facebook, Twitter, LinkedIn y la página web.</t>
  </si>
  <si>
    <t>En el mes de febrero se generaron contenidos internos y externos relacionados con los logros de la ANLA en 2019 como contar con sus procesos de seguimiento y control ambiental al 100%, y el diseño de herramientas de control que le permitieron a la entidad comprender lo que pasaba en los territorios.</t>
  </si>
  <si>
    <t>En el mes de febrero, los canales de comunicación que se emplearon fueron: el correo electrónico, la ronda semanal, la Intranet, El Director nos cuenta, la cartelera, el fondo de escritorio, Facebook, Twitter, LinkedIn, YouTube y la página web.</t>
  </si>
  <si>
    <t>En el mes de marzo se generaron contenidos internos y externos relacionados con las medidas adoptadas por la entidad frente al COVID-19 y la reestructuración, entre otros. A su vez,en materia de comunicaciones internas se generaron diferentes comunicaciones y piezas gráficas sobre el trabajo en casa.</t>
  </si>
  <si>
    <t>En el mes de marzo, los canales de comunicación que se emplearon fueron: el correo electrónico, la ronda semanal, la Intranet, El Director nos cuenta, la cartelera, el fondo de escritorio, Facebook, Twitter, LinkedIn, YouTube, la página web y correos externos a periodistas de medios de comunicación.</t>
  </si>
  <si>
    <t>En el mes de abril se generaron contenidos internos y externos relacionados con las medidas adoptadas por la entidad frente al COVID-19 y la reestructuración, entre otros. A su vez,en materia de comunicaciones internas se generaron diferentes comunicaciones y piezas gráficas relacionadas con las campañas de reestructuración y de trabajo en casa</t>
  </si>
  <si>
    <t>En el mes de abril, los canales de comunicación que se emplearon fueron: el correo electrónico, la Ronda, la Intranet, El Director nos cuenta, el fondo de escritorio, Facebook, Twitter, LinkedIn, la página web y correos externos a periodistas de medios de comunicación.</t>
  </si>
  <si>
    <t>En el mes de mayo se generaron contenidos internos y externos relacionados con las apuestas de la ANLA, así como diferentes comunicados de prensa y videos relacionados con  las reuniones informativas del trámite de modificación del Plan de Manejo Ambiental (PMA) solicitado por la Policía Nacional en relación con el PECIG.</t>
  </si>
  <si>
    <t>En el mes de mayo, los canales de comunicación que se emplearon fueron: el correo electrónico para colaboradores de la ANLA, la Ronda, la Intranet, el fondo de escritorio, Facebook, Twitter, LinkedIn, YouTube, la página web y correos externos a periodistas de medios de comunicación.</t>
  </si>
  <si>
    <t>En el mes de junio se generaron contenidos internos relacionados con las apuestas de la ANLA, el Día Mundial del Medio Ambiente y el coronavirus. A su vez, se generaron diferentes comunicados de prensa relacionados con las apuestas de la ANLA por la biodiversidad, el curso de licenciamiento ambiental y la expedición de certificaciones ambientales otorgadas por la Autoridad Nacional de Licencias Ambientales por la adquisición de vehículos que operan con gas natural vehicular .</t>
  </si>
  <si>
    <t>En el mes de junio los canales de comunicación que se emplearon fueron: el correo electrónico para colaboradores de la ANLA, la Ronda, la Intranet, el fondo de escritorio, Facebook, Twitter, LinkedIn, YouTube, la página web y correos externos a periodistas de medios de comunicación.</t>
  </si>
  <si>
    <t xml:space="preserve">En el mes de julio se generaron  comunicados de prensa relacionados con los logros de la ANLA en infraestructura, las apuestas por la biodiversidad y con la aprobación de las certificaciones ambientales a vehículos de carga a Gas Natural Vehicular (GNV), que evitará la emisión de 4.976 toneladas de CO2 al año a la atmósfera. También se generaron contenidos relacionados con la campaña de comunicación interna de rendición de cuentas, logros ANLA y reestructuración..
</t>
  </si>
  <si>
    <t>En el mes de julio los canales de comunicación que se emplearon fueron: el correo electrónico para colaboradores de la ANLA, la Ronda, la Intranet, el fondo de escritorio, Facebook, Twitter, LinkedIn, YouTube, la página web y correos externos a periodistas de medios de comunicación.</t>
  </si>
  <si>
    <t>En el mes de agosto se generaron  comunicados de prensa relacionados con el segundo curso virtual de licenciamiento ambiental, el anunncio de la aprobación de vistos buenos para importación de vehículos y motocicletas que será automática y con la audiencia pública de rendición de cuentas del sector ambiente.
Igualmente, se implementaron campañas de comunicación interna relacionadas con temas como el reporte de oportunidad, el Centro de Orientación y se dio continuidad a la de rendición de cuentas.</t>
  </si>
  <si>
    <t>En el mes de agosto los canales de comunicación que se emplearon fueron: el correo electrónico para colaboradores de la ANLA, la Ronda, la Intranet, el fondo de escritorio, Facebook, Twitter, LinkedIn, YouTube, la página web y correos externos a periodistas de medios de comunicación.</t>
  </si>
  <si>
    <t>En el mes de septiembre se generaron comunicados de prensa relacionados con el aplicativo web para apoyar el control y vigilancia de la extración ilícita de minerales, la publicación de la guía de orientación para los planes de devolución de productos de posconsumo de fámacos o medicamentos vencidos, la reprogramación de la visita de evaluación al proyecto de minería de cobre Quebradona y la inauguración del Centro de Orientación. .
Igualmente, se implementaron campañas de comunicación interna relacionadas con el cumpleaños de la ANLA y se dio continuidad a las campañas de reporte de oportunidad .</t>
  </si>
  <si>
    <t>En el mes de  septiembre los canales de comunicación que se emplearon fueron: el correo electrónico para colaboradores de la ANLA, la Ronda, la Intranet, el fondo de escritorio, la cartelera ,ANLA al día, Facebook, Twitter, LinkedIn, YouTube, la página web y correos externos a periodistas de medios de comunicación.</t>
  </si>
  <si>
    <t>Contenidos publicados en canales de comunicación interno en servicio</t>
  </si>
  <si>
    <t>No. De contenidos publicados en canales de comunicación internos</t>
  </si>
  <si>
    <t>En el mes de enero se implementó la campaña de comunicaciones logros ANLA, la cual fue socializada a través de canales como el correo electrónico, ronda e Intranet. Igualmente, fueron apoyadas las solicitudes internas remitidas por la Oficina de Tecnología, Talento Humano., entre otros.</t>
  </si>
  <si>
    <t>En este mes, se generaron contenidos relacionados con las campañas internas de logros ANLA, la aplicación ANLA y la nueva sede. A su vez, se replicaron contenidos solicitados por la Subdirección Administrativa y Financiera y sus subgrupos (Talento humano, Tecnología, Administrativa, salud y seguridad en el trabajo, entre otros).</t>
  </si>
  <si>
    <t xml:space="preserve">En este mes, se generaron contenidos relacionados con las campañas internas de  reestructuración,coronavirus y trabajo desde casa,  A su vez, se replicaron contenidos solicitados por la Subdirección Administrativa y Financiera y sus subgrupos (Talento humano, Tecnología y Financiera, entre otros). </t>
  </si>
  <si>
    <t xml:space="preserve">En abril, se generaron contenidos relacionados con las campañas internas de  reestructuración, y trabajo en casa.  A su vez, se replicaron contenidos solicitados por la  Oficina Asesora de Planeación, la Oficina Asesora Jurídica, la Subdirección Administrativa y Financiera y sus subgrupos (Talento humano, Tecnología y Financiera, Administrativa, entre otros). </t>
  </si>
  <si>
    <t xml:space="preserve">En mayo se generaron contenidos relacionados con las campañas internas de apuestas de la ANLA y el Nuevo Modelo Interno de Licenciamiento.  A su vez, se replicaron contenidos solicitados por la  Dirección General, la SIPTA, la Subdirección de Mecanismos de Participación Ciudadana Ambiental, la Oficina Asesora de Planeación, la Oficina Asesora Jurídica, la Subdirección Administrativa y Financiera y sus subgrupos (Talento humano, Tecnología y Financiera, Administrativa, entre otros). </t>
  </si>
  <si>
    <t xml:space="preserve">En junio se generaron contenidos relacionados con las campañas internas del Día Mundial del Medio Ambiente, apuestas de la ANLA y coronavirus.  A su vez, se replicaron contenidos solicitados por  la SIPTA, la Subdirección de Mecanismos de Participación Ciudadana Ambiental,  la Subdirección Administrativa y Financiera y sus subgrupos (Talento humano, Tecnología y Financiera, Administrativa, entre otros). </t>
  </si>
  <si>
    <t xml:space="preserve">En julio se generaron contenidos relacionados con la campaña de comunicación interma de rendición de cuentas, logros ANLA y reestructuración.  A su vez, se replicaron contenidos solicitados por  la Dirección General, SIPTA, la Subdirección de Mecanismos de Participación Ciudadana Ambiental,  la Subdirección Administrativa y Financiera y sus subgrupos (Talento humano, Tecnología y Financiera, Administrativa, entre otros). </t>
  </si>
  <si>
    <t xml:space="preserve">En agosto se generaron contenidos relacionados con la campaña de comunicación interma de rendición de cuentas, reporte de oportunidad y Centro de Orientación. A su vez, se replicaron contenidos solicitados por la Dirección General, SIPTA, la Subdirección de Mecanismos de Participación Ciudadana Ambiental,  la Subdirección Administrativa y Financiera y sus subgrupos (Talento humano y Financiera, Administrativa) y la Oficina de Tecnologías de la Información. </t>
  </si>
  <si>
    <t xml:space="preserve">En septiembre se generaron contenidos relacionados con la campaña de comunicación interma del cumpleaños de la ANLA y el reporte de oportunidad. A su vez, se replicaron contenidos solicitados por la Dirección General, SIPTA, la Subdirección de Mecanismos de Participación Ciudadana Ambiental,  la Subdirección Administrativa y Financiera y sus subgrupos (Gestión Humana, Financiera, salud y seguridad en el trabajo) y la Oficina de Tecnologías de la Información. </t>
  </si>
  <si>
    <t>Contenidos publicados en canales de comunicación externo en servicio</t>
  </si>
  <si>
    <t>No. De contenidos publicados realizadas en canales de comunicación externos</t>
  </si>
  <si>
    <t>En este mes, las actividades del Equipo de Comunicaciones se centraron en la planeación, la generación de contenidos internos principalmente, con el fin socializar los logros de la entidad. Por lo anterior, se presentó una baja producción de gestión con medios de comunicación y generación de contenidos en redes sociales. Igualmente, el community manager se integró al equipo el 21 de enero.</t>
  </si>
  <si>
    <t xml:space="preserve">En este mes, se generaron contenidos para redes sociales y página web relacionados con los logros de la entidad en 2019, el seguimiento al Plan Piloto del Aeropuerto El Dorado y Sembrar nos Une, entre otros. </t>
  </si>
  <si>
    <t xml:space="preserve">En este mes, se generaron contenidos para redes sociales y página web relacionados con el coronavirus, la reestructuración de la entidad y el seguimiento al Plan Piloto del Aeropuerto El Dorado, entre otros. </t>
  </si>
  <si>
    <t xml:space="preserve">En este mes, se generaron contenidos para redes sociales y página web relacionados con el coronavirus, los servicios de la entidad en tiemposde COVID-19, apuestas por la biodiverisidad y el seguimiento al Plan Piloto del Aeropuerto El Dorado, entre otros. </t>
  </si>
  <si>
    <t xml:space="preserve">En este mes se generaron contenidos para redes sociales y página web relacionados con el coronavirus, los servicios de la entidad en tiempos de COVID-19 y relacionados con las reuniones informativas del trámite de modificación del Plan de Manejo Ambiental (PMA) solicitado por la Policía Nacional en relación con el PECIG y Doña Juana. </t>
  </si>
  <si>
    <t xml:space="preserve">En este mes se generaron contenidos para redes sociales y página web relacionados con el Día Mundial del Medio Ambiente, coronavirus, los servicios de la entidad en tiempos de COVID-19  y Doña Juana, entre otros. </t>
  </si>
  <si>
    <t xml:space="preserve">En este mes se generaron contenidos para redes sociales y página web relacionados con logros en infraestructura, las apuestas de la bioidiversidad, el coronavirus, los servicios de la entidad en tiempos de COVID-19 , Doña Juana y las oralidades de seguimiento, entre otros. </t>
  </si>
  <si>
    <t>En este mes se generaron contenidos para redes sociales y página web relacionados con el segundo curso virtual de licenciamiento ambiental, el anunicio de la aprobación de vistos buenos para importación de vehículos y motocicletas que será automática, la audiencia pública de rendición de cuentas del sector ambiente.</t>
  </si>
  <si>
    <t xml:space="preserve">En este mes se generaron contenidos para redes sociales y página web relacionados con el aplicativo web para apoyar el control y vigilancia de la extración ilícita de minerales, la publicación de la guía de orientación para los planes de devolución de productos de posconsumo de fámacos o medicamentos vencidos, la reprogramación de la visita de evaluación al proyecto de minería de cobre Quebradona y la inauguración del Centro de Orientación. </t>
  </si>
  <si>
    <t>Espacio principal de rendición de cuentas realizada</t>
  </si>
  <si>
    <t>No. De rendiciones de cuentas realizadas</t>
  </si>
  <si>
    <t>Si bien el espacio de la rendición de cuentas no está previsto para este período,  cabe destacar que se realizaron actividades relacionadas con el tema como la publicación del Informe de Gestión en la página web de la entidad, la socialización del mismo a través de la ronda.</t>
  </si>
  <si>
    <t>Si bien el espacio de la rendición de cuentas no está previsto para este período, se adelantaron reuniones preparatorias de la rendición de cuentas y los espacios con los grupos de interés. Así mismo, cabe destacar que se realizaron actividades relacionadas con el tema como la publicación del comunicado de prensa, la columna de opinión del director de la ANLA (que fue publicada en la edición online e impresa de Portafolio y la Infografía de logros de la ANLA.</t>
  </si>
  <si>
    <t>En este mes, las gestiones de comunicaciones estuvieron enfocadas en informar sobre las medidades adoptadas por la entidad frente al COVID-19,la reestructuración y el trabajo desde casa,entre otros.</t>
  </si>
  <si>
    <t>El evento de la rendiciuón de cuentas está previsto para el En este mes, las gestiones de comunicaciones estuvieron enfocadas en informar sobre las medidades adoptadas por la entidad frente al COVID-19,la reestructuración y el trabajo desde casa,entre otros.</t>
  </si>
  <si>
    <t xml:space="preserve">El evento de la rendición de cuentas está previsto para el segundo semestre del año. En este mes se avanzó en la consolidación de la información y el diseño del Informe de Rendición de Cuentas para abogados y ambientalistas junto con la Oficina Asesora de Planeación. </t>
  </si>
  <si>
    <t>El evento de rendición de cuentas sectorial está previsto para finales de agosto o principios de septiembre de 2020. En junio, se le envío a ambientalistas y abogados informes con los avances de los compromisos socializados en los espacios de diálogo de 2019. En el mes de junio también se estructuró la estrategia de comunicaciones de Rendición de Cuentas de la entidad.</t>
  </si>
  <si>
    <t>La Audiencia Pública de Rendición de cuentas del sector ambiente se realizará el 31 de agosto. En julio se realizaron los encuentros Enlace Díalogos con ambientalistas y abogados, el 9 y el 16 de julio.</t>
  </si>
  <si>
    <t xml:space="preserve">La Audiencia Pública de Rendición de cuentas del sector ambiente se realizó el 31 de agosto. </t>
  </si>
  <si>
    <t>Posicionamiento de la ANLA a nivel externo</t>
  </si>
  <si>
    <t>Noticias con valoración positiva de la ANLA / Total de noticias en las que ANLA aparece</t>
  </si>
  <si>
    <t>Gestión de información de la ANLA para medios de comunicación</t>
  </si>
  <si>
    <t>No. De solicitudes de los medios de comunicación gestionadas</t>
  </si>
  <si>
    <t xml:space="preserve">En el mes de enero, la gestión de Comunicaciones estuvo centrada en labores de planeación, así como en la generación de contenidos relacionados con la campaña de comunicación interna de logros ANLA. Los avances en la gestión con medios de comunicación se reflejarán más en el reporte correspondiente al mes de febrero reportarán avances  la gestión con medios de comunicación se reportarán avances en el mes de febrero </t>
  </si>
  <si>
    <t xml:space="preserve">En el mes de enero, la gestión de Comunicaciones estuvo centrada en labores de planeación. Igualmente, se realizaron acercamientos con peridistas de Semana, El Tiempo, El Espectador, La República, Colombiano, Portafolio, EL Heraldo, La FM, RCN Radio, Valor Analitik y Radio Nacional, medios de comunicación que registraron la sanción a Ecopetrol por Lisama. En este mes los esfuerzos se concentraron también en la generación de contenidos relacionados con la campaña de comunicación interna de logros ANLA. A su vez, los avances en la gestión con medios de comunicación se reflejarán más en el reporte correspondiente al mes de febrero. </t>
  </si>
  <si>
    <t>En el mes de febrero, se generaron comunicados de prensa relacionados con los logros de la ANLA en 2019, la  aprobación de la licencia ambiental al proyecto de energía eólica en La Guajira y con los trámites de licenciamiento ambiental que impliquen intervención de especies en veda, entre otros . De estas noticias la más registrada por los medios de comunicación nacionales y regionales fue la relacionada con la aprobación del proyecto eólico en la Guajira con aproximadamente 25 noticias.</t>
  </si>
  <si>
    <t xml:space="preserve">En el mes de marzo se generaron comunicados de prensa relacionados  la reestructuración de la entidad , las medidas de prevención y contención del coronavirus adoptadas por la entidad, la racionalización de trámites y  la aclaración en el sentido de que la  ANLA no emitió pronunciamiento facultando a EPM para avanzar con las obras que permitan la generación de energía de Hidroituango, entre otros. </t>
  </si>
  <si>
    <t xml:space="preserve">En el mes de marzo se generaron comunicados de prensa relacionados  la reestructuración de la entidad , las medidas de prevención y contención delcoronavirus adoptadas por la entidad, la racionalización de trámites y  la aclaración en el sentido de que la  ANLA no emitió pronunciamiento facultando a EPM para avanzar con las obras que permitan la generación de energía de Hidroituango, entre otros. </t>
  </si>
  <si>
    <t>En el mes de abril se generó un comunicado de prensa relacionado con la alianza entre la ANLA y UPME para temas de licenciamiento ambiental, se atendieron a diversos periodistas con respecto a la audiencia pública ambiental sobre glifosato y se publicó en la página web el micrositio de Coooperación y Relacionamientpo Internacional.</t>
  </si>
  <si>
    <t>En el mes de mayo se generaron comunicados de prensa relacionados con del trámite de modificación del Plan de Manejo Ambiental (PMA) en relación con el PECIG y se atendieron a diversos periodistas con respecto a los fallos judiciales relacionados con la audiencia pública ambiental sobre glifosato. Igualmente, se publicó el micrositio de Seguimiento de Licencias Ambientales.</t>
  </si>
  <si>
    <t>En el mes de mayo se generaron comunicados de prensa relacionados con el trámite de modificación del Plan de Manejo Ambiental (PMA) en relación con el PECIG y se atendieron a diversos periodistas con respecto a los fallos judiciales relacionados con la audiencia pública ambiental sobre glifosato. Igualmente, se publicó el microsiitio de Seguimiento de Licencias Ambientales.</t>
  </si>
  <si>
    <t>En el mes de junio se generaron comunicados de prensa relacionados con las apuestas de la ANLA por la biodiversidad, el curso virtual de licenciamiento ambiental y la aprobación de certificaciones ambientales a vehículos de carga gas natural. Igualmente, en este mes de rediseño el micrositio de Apuestas por la Biodiversidad.</t>
  </si>
  <si>
    <t>En el mes de julio se generaron comunicados de prensa relacionados con los logros de la ANLA en infraestructura, las apuestas por la biodiversidad y con la aprobación de las certificaciones ambientales a vehículos de carga a Gas Natural Vehicular (GNV), que evitará la emisión de 4.976 toneladas de CO2 al año a la atmósfera.</t>
  </si>
  <si>
    <t>En el mes de agosto se generaron comunicados de prensa relacionados relacionados con el segundo curso virtual de licenciamiento ambiental la aprobación de vistos buenos para importación de vehículos y motocicletas que será automática, la audiencia pública de rendición de cuentas del sector ambiente.</t>
  </si>
  <si>
    <t>En el mes de agosto se generaron comunicados de prensa relacionados relacionados con el segundo curso virtual de licenciamiento ambiental, la aprobación de vistos buenos para importación de vehículos y motocicletas que será automática, la audiencia pública de rendición de cuentas del sector ambiente.</t>
  </si>
  <si>
    <t xml:space="preserve">En el mes de septiembre se generaron comunicados de prensa y noticias relacionadas con el aplicativo web para apoyar el control y vigilancia de la extración ilícita de minerales, la publicación de la guía de orientación para los planes de devolución de productos de posconsumo de fámacos o medicamentos vencidos, la reprogramación de la visita de evaluación a proyecto de minería de cobre Quebradona y la inauguración del Centro de Orientación. </t>
  </si>
  <si>
    <t>Efectividad de la comunicación interna</t>
  </si>
  <si>
    <t>Videos de apropiación publicados/campañas priorizadas\n</t>
  </si>
  <si>
    <t>Campañas priorizadas</t>
  </si>
  <si>
    <t>Número de campañas priorizadas publicadas</t>
  </si>
  <si>
    <t>En el mes de enero se produjeron 4 videos en los que se destacaron los logros de la Subdirección Administrativa y Financiera, la Subdirección de Evaluación y Seguimiento, la Subdirección de Instrumentos, Permisos y Trámites, la Oficina Jurídica, los cuales hacen parte de la campaña interna de logros ANLA.</t>
  </si>
  <si>
    <t>En el mes de enero se implementó la campaña de logros de la ANLA, la cual se ha socializado a través de correo electrónico, Intranet, El Director nos Cuenta y el boletín semanal de la ronda.</t>
  </si>
  <si>
    <t>En el mes de febrero se publicó en la Intranet, se envío por correo masivo y se socializaron a través del boletín electrónico de la ronda los logros de la Oficina Asesora de Planeación, con el fin de dar continuidad a la campaña de logros implementada en enero. Igualmente, se grabó y publicó un video en la Intranet relacionado con el aporte de la ANLA a la iniciativa liderada por el MInisterio de Ambiente y Desarrollo Sostenible de "Sembrar nos Une".</t>
  </si>
  <si>
    <t>En el mes de febrero, las campañas internas implementadas fueron logros ANLA, la aplicación ANLA y la nueva sede.</t>
  </si>
  <si>
    <t xml:space="preserve">En el mes de marzo se publicaron en la Intranet y se socializaron por correos 8 videos relacionados con la campaña de  reestructuración de la entidad. </t>
  </si>
  <si>
    <t>En el mes de marzo, las campañas internas implementadas fueron: reestructuración, coronavirus y trabajo desde casa.</t>
  </si>
  <si>
    <t>En el mes de abril no se generaron videos relacionados con las campañas internas, pero se publicó en la Intranet el video del reporte de oportunidad .</t>
  </si>
  <si>
    <t>En el mes de abril, las campañas internas implementadas fueron: reestructuración y trabajo desde casa que se vienen desarrollando desde el mes de marzo.</t>
  </si>
  <si>
    <t xml:space="preserve">En el mes de mayo no se generaron videos relacionados con las campañas internas, pero se generaron videos externos relacionados con las reuniones informativas del trámite de modificación de PECIG. </t>
  </si>
  <si>
    <t>En el mes de mayo, las campañas internas implementadas fueron: las apuestas de la ANLA, el Nuevo Modelo Interno de Licenciamiento Ambiental, el comité de convivencia laboral, la reestructuración y el Coronavirus (estas dos últimas se vienen implementado desde el mes de marzo).</t>
  </si>
  <si>
    <t>En el mes de junio, no se generaron videos relacionados con las campañas internas, pero se generaron videos relacionados con la conmemoración del Día Mundial de Medio Ambiente como el saludo del director con motivo de esta fecha y la crónica de la Ciénaga de la Virgen.</t>
  </si>
  <si>
    <t>En el mes de junio, las campañas internas implementadas fueron: el Día Mundial del Medio Ambiente (celebrado el 5 de junio), las apuestas de la ANLA ( se ha implementado en abril, mayo y junio) y el Coronavirus (se viene implementando desde marzo).</t>
  </si>
  <si>
    <t>En el mes de julio, no se generaron videos relacionados con las campañas internas, pero se generaron videos relacionados con el evento la biodiversidad nos une y con la oferta institucional de la ANLA:</t>
  </si>
  <si>
    <t>En el mes de julio, la campaña de comunicación interna fue la relacionada con la rendición de cuentas y con la reestructuración (que se viene implementado desde el mes de marzo) y logros ANLA ( que se viene implementado desde enero).</t>
  </si>
  <si>
    <t>En agosto se publicó el video relacionado con el reporte de oportunidad.</t>
  </si>
  <si>
    <t>En el mes de agosto, se implementaron las campañas de reporte de oportunidad y el Centro de Orientación (estas dos nuevas) y se dio continuidad a la de rendición de cuentas)</t>
  </si>
  <si>
    <t>En  septiembre se publicó el video relacionado con el cumpleaños de la ANLA.</t>
  </si>
  <si>
    <t>En septiembre, se implementíó la campaña de comunicación interna relacionada con el cumpleaños de la ANLA y se dio continuidad a la de reporte de oportunidad (que se viene implementado desde agosto).</t>
  </si>
  <si>
    <t>Indicador de Gestión total</t>
  </si>
  <si>
    <t>Fortalecer la utilización de medios electrónicos en el proceso de notificación de los actos administrativos expedidos por la Entidad</t>
  </si>
  <si>
    <t xml:space="preserve">Notificaciones por medios electrónicos / notificaciones realizadas </t>
  </si>
  <si>
    <t xml:space="preserve">se evidencia que para el mes de enero el 74% de las notificaciones realizadas en la vigencia fueron por medios electrónicos y un 26% por medios físicos, los cuales corresponden a 284 notificaciones. </t>
  </si>
  <si>
    <t>En el reporte de notificaciones del mes de febrero se evidencia el cumplimiento del 76% en el citado indicador, cuya fuente es la base de datos de la  “Ventanilla Única de Tramites Ambientales - Vital” remitido por el área de tecnología del Grupo de Servicios Administrativos. El acumulado del año es del 75%</t>
  </si>
  <si>
    <t>Se evidencia el cumplimiento del 82% en el citado indicador, de los 1018 usuarios a notificar en el mes de marzo, 1018 fueron notificados a traves de medios electrónicos y 224 medios físicos.  En promedio el acumulado 77,4%.</t>
  </si>
  <si>
    <t>Para este mes, el área notificó a través de medios electrónicos a 1248 usuarios de un total 1251 para un cumplimiento del 99,8%, este resultado obedece a la suspensión temporal de la atención presencial en la entidad para la notificación personal y al cumplimiento por parte de los interesados del Decreto 491 del 2020 en lo referente a suministrar la dirección electrónica para efectos de la notificación.  El acumulado del año es de 83,3%</t>
  </si>
  <si>
    <t>Para el mes de mayo, el área notificó a través de medios electrónicos a 1312 usuarios de un total 1312 para un cumplimiento del 100%, este resultado obedece a la suspensión temporal de la atención presencial en la Entidad para la notificación personal y al cumplimiento por parte de los interesados del Decreto 491 del 2020 en lo referente a suministrar la dirección electrónica para efectos de la notificación.  El acumulado del año es del 86,9%</t>
  </si>
  <si>
    <t>Para el mes de junio, el área notificó a través de medios electrónicos a 1300 usuarios de un total 1300 para un cumplimiento del 100%, este resultado obedece a la suspensión temporal de la atención presencial en la Entidad para la notificación personal y al cumplimiento por parte de los interesados del Decreto 491 del 2020 en lo referente a suministrar la dirección electrónica para efectos de la notificación. El acumulado del año es del 89,2%</t>
  </si>
  <si>
    <t>Para el mes de julio, el área notificó a través de medios electrónicos a 1530 usuarios de un total 1530, para un cumplimiento del 100%, este resultado obedece a la suspensión temporal de la atención presencial en la Entidad para la notificación personal y al cumplimiento por parte de los interesados del Decreto 491 del 2020 en lo referente a suministrar la dirección electrónica para efectos de la notificación.   El acumulado del año es del 91,1%</t>
  </si>
  <si>
    <t>Para el mes de agosto, el área notificó a través de medios electrónicos a 1211 usuarios de un total 1211 para un cumplimiento del 100%, este resultado obedece a la suspensión temporal de la atención presencial en la Entidad para la notificación personal y al cumplimiento por parte de los interesados del Decreto 491 del 2020 en lo referente a suministrar la dirección electrónica para efectos de la notificación. El acumulado es de 92,2%</t>
  </si>
  <si>
    <t xml:space="preserve">Para el mes de septiembre, el área notificó a través de medios electrónicos a 2420 usuarios de un total 2517 para un cumplimiento del 96,1%, este resultado obedece a la reapertura de la atención presencial en la Entidad para la notificación personal y al cumplimiento por parte de los interesados del Decreto 491 del 2020 en lo referente a suministrar la dirección electrónica para efectos de la notificación.  </t>
  </si>
  <si>
    <t>N° de PQRS respondidos por el GAC en los terminos legales durante el periodo / N° de PQRS asignados al GAC</t>
  </si>
  <si>
    <t>En los meses de Enero y febrero se el Grupo de Atención al Ciudadano respondió en terminos legales 718 PQRS, de un total de recibidos de 724, es decir, se respondieron fuera de termino 6 PQRS.</t>
  </si>
  <si>
    <t>En los meses de Enero, febrero y marzo el Grupo de Participación Ciudadana y Atención al Ciudadano respondió en terminos legales 1341 PQRS, de un total de recibidos de 1351, es decir, se respondieron fuera de termino 10 PQRS.</t>
  </si>
  <si>
    <t>Promedio de avance en metas de gestión</t>
  </si>
  <si>
    <t>Promedio Indicadores de Producto</t>
  </si>
  <si>
    <t>Gestión administrativa, financiera y del talento humano</t>
  </si>
  <si>
    <t>Gestión de contratación</t>
  </si>
  <si>
    <t>Contratos</t>
  </si>
  <si>
    <t>Porcentaje de certificaciones realizadas y enviadas</t>
  </si>
  <si>
    <t>N° de certificaciones enviadas a los contratistas por medio de correo electrónico/ contratos terminados en 2019 y 2020 sin certificación</t>
  </si>
  <si>
    <t>MARIA ELMIRA DIAZ ROJAS [Coordinador(a)]</t>
  </si>
  <si>
    <t>Ente indicador se reportan trimestralmente</t>
  </si>
  <si>
    <t>Este indicador tiene periodicidad de reporte trimestral, por lo que el primer reporte se hará en abril de 2020, incluyendo los meses de enero a marzo.</t>
  </si>
  <si>
    <t xml:space="preserve">En el primer trimestre de 2020 se logró enviar 997 certificaciones de un total de 1623 contratos terminados que se deben certificar. </t>
  </si>
  <si>
    <t>Este indicador se reporta de manera trimestral</t>
  </si>
  <si>
    <t>Este indicador se reporta de forma trimestral. Proxímo reporte en Julio, del periodo de abril a junio.</t>
  </si>
  <si>
    <t>En el periodo de abril a junio se realizaron 827 certificados, los cuales se suman a los 997 realizados en el periodo anterior, para un total de 1824 certificados realizados, de 2265 certificados por realizar, correspondientes a los contratos terminados en los años 2019 y 2020.</t>
  </si>
  <si>
    <t>Este indicador se reporta de forma trimestral. Proxímo reporte en octubre, del periodo de julio a septiembre.</t>
  </si>
  <si>
    <t>En el periodo de julio a septiembre se realizaron 356 certificaciones, las cuales se suman a las 1824 realizadas en el periodo anterior, para un total de 2180 certificaciones realizadas, de 2484 certificaciones por realizar, correspondientes a los contratos terminados en los años 2019 y 2020.</t>
  </si>
  <si>
    <t>Porcentaje de contratos por modalidad contratación directa de prestación de servicios y/o apoyo a la gestión atendidos dentro de los tiempos establecidos en el procedimiento</t>
  </si>
  <si>
    <t>No. total de dias de tramite del proceso de contratación directa de prestación de servicios profesionales y/o apoyo a la gestión /No. dias establecidos en el procedimiento de contratación directa de prestación de servicios profesionales y/o apoyo a la gestión</t>
  </si>
  <si>
    <t>En el mes de enero fueron suscritos 566 contratos, de los cuales el 100% fueron firmados dentro de los términos del procedimiento.</t>
  </si>
  <si>
    <t>El mes de febrero se firmaron 135 contratos de Prestación de Servicios Profesionales y/o Apoyo, los cuales se firmaron dentro de los términos en su totalidad.</t>
  </si>
  <si>
    <t>El mes de marzo se firmaron 21 contratos de Prestación de Servicios Profesionales y/o Apoyo, los cuales se firmaron dentro de los términos en su totalidad.</t>
  </si>
  <si>
    <t>El mes de abril se firmaron 6 contratos de Prestación de Servicios Profesionales y/o Apoyo, los cuales se firmaron dentro de los términos en su totalidad.</t>
  </si>
  <si>
    <t>En el mes de mayo se suscribieron un total de 41 contratos de Prestación de servicios Profesionales y/o apoyo a la gestión. La totalidad de estos contratos fue suscrita dentro de los términos oportunos establecidos en el procedimiento.</t>
  </si>
  <si>
    <t>En el mes de Junio se suscribieron un total de 38 contratos de Prestación de servicios Profesionales y/o apoyo a la gestión. La totalidad de estos contratos fue suscrita dentro de los términos oportunos establecidos en el procedimiento.</t>
  </si>
  <si>
    <t xml:space="preserve">En el mes se suscribieron un total de 78 contratos de prestación de servicios profesionales y/o apoyo a la gestión, de los cuales el 100% se realizaron dentro de los tiempos establecidos en el procedimiento. </t>
  </si>
  <si>
    <t xml:space="preserve">En el mes se suscribieron un total de 15 contratos de prestación de servicios profesionales y/o apoyo a la gestión, de los cuales el 100% se realizaron dentro de los tiempos establecidos en el procedimiento. </t>
  </si>
  <si>
    <t>En el mes de septiembre se suscribieron un total de 93 contratos de Prestación de servicios Profesionales y/o apoyo a la gestión. La totalidad de estos contratos fue suscrita dentro de los términos oportunos establecidos en el procedimiento.</t>
  </si>
  <si>
    <t>Porcentaje de liquidaciones realizadas dentro de los términos de ley.</t>
  </si>
  <si>
    <t>N° de liquidaciones realizadas / Solicitudes de liquidación recibidas en debida forma</t>
  </si>
  <si>
    <t xml:space="preserve">Entre los meses de enero y marzo se recibieron 19 solicitudes de liquidación en debida forma, de las cuales se liquidaron 10 contratos. </t>
  </si>
  <si>
    <t>Se recibieron 3 solicitudes de liquidación en debida forma en el periodo de abril a junio, de las cuales se liquidaron las 3. Las pocas solicitudes se deben a la dificultad que se ha tenido para acceder a los documentos físicos, por motivo de la emergencia actual por Covid-19.</t>
  </si>
  <si>
    <t>Se recibieron 3 solicitudes de liquidación en el periodo de julio a septiembre. Sin embargo, dos de estas fueron devueltas para ajustes, por lo que unicamente se liquidó 1. Las pocas solicitudes se deben a la dificultad que se ha tenido para acceder a los documentos físicos, por motivo de la emergencia actual por Covid-19. Así mismo, se ha dificultado el trámite de firmas físicas.</t>
  </si>
  <si>
    <t>Gestión financiera</t>
  </si>
  <si>
    <t>Finanzas y presupuesto</t>
  </si>
  <si>
    <t>Porcentaje de recaudo efectivo</t>
  </si>
  <si>
    <t>Valor Recaudo efectivo / (Meta recaudo vigencia 2020)</t>
  </si>
  <si>
    <t>Recaudo efectivo servicio de seguimiento</t>
  </si>
  <si>
    <t>Valor efectivo recaudado servicio de seguimiento / (Valor proyectado recaudo por servicio de seguimiento)</t>
  </si>
  <si>
    <t>MARTA PATRICIA CRISTANCHO MEDINA [Coordinador(a)]</t>
  </si>
  <si>
    <t>En el mes de enero se recaudó $6.445.640.723 correspondiente al 4% de la meta  $ 145.132.117.462 esperada para la vigencia 2020.</t>
  </si>
  <si>
    <t>En el mes de enero se recaudó por el servicio de  seguimiento $5.593.386.723 correspondiente al 5% de la meta  $ 104.311.415.646,781 esperada para la vigencia 2020.</t>
  </si>
  <si>
    <t>Al mes de febrero se ha recaudado $11.248.540.381 correspondiente al 8% de la meta  $ 145.132.117.462 esperada para la vigencia 2020.</t>
  </si>
  <si>
    <t>Al mes de febrero se ha recaudado por el servicio de  seguimiento  $ 9.251.994.529 correspondiente al 9% de la meta  $ 104.311.415.646,781 esperada para la vigencia 2020.</t>
  </si>
  <si>
    <t>Al mes de marzo se ha recaudado $22,147,193,124 correspondiente al 15% de la meta  $ 145.132.117.462 esperada para la vigencia 2020.</t>
  </si>
  <si>
    <t>Al mes de marzo se ha recaudado por el servicio de  seguimiento  $19,279,085,420 correspondiente al 19% de la meta  $ 104.311.415.646,781 esperada para la vigencia 2020.</t>
  </si>
  <si>
    <t>Al mes de marzo se ha recaudado $ 29.841.449.859 correspondiente al 21% de la meta  $ 145.132.117.462 esperada para la vigencia 2020.</t>
  </si>
  <si>
    <t>Al mes de Abril se ha recaudado por el servicio de  seguimiento  $25.983.570.155 correspondiente al 25% de la meta  $ 104.311.415.646,781 esperada para la vigencia 2020.</t>
  </si>
  <si>
    <t>Al mes de Mayo se ha recaudado $ 35.483.001.577 correspondiente al 24% de la meta  $ 145.132.117.462 esperada para la vigencia 2020.</t>
  </si>
  <si>
    <t>Al mes de Mayo se ha recaudado por el servicio de  seguimiento  $31.274.822.873 correspondiente al 30% de la meta  $ 104.311.415.646,781 esperada para la vigencia 2020.</t>
  </si>
  <si>
    <t>La meta esperada de recaudo de los servicios de evaluación y  seguimiento para la vigencia 2020 fue modificada debido al impacto en la disminución del recaudo obtenido a mayo del 2020, generado por la emergencia económica, social y sanitaria declarada por el Gobierno Nación a causa de la Pandemia por COVID 19.
Esta nueva proyección de recaudo esperado por los servicios de evaluación y seguimiento para la vigencia actual contempla los alivios otorgados a los titulares de una licencia, permiso o instrumento de manejo y control, en cuanto a plazos para pagos y una propuesta de cobro por servicio de seguimiento integral, a fin de prestar varias actividades de seguimiento en un solo proceso
Al mes de Junio se ha recaudado $ 42,197,010,729 correspondiente al 52,43% de la meta  $ 80,479,734,505 esperada para la vigencia 2020.</t>
  </si>
  <si>
    <t>La meta esperada de recaudo de los servicios de seguimiento para la vigencia 2020 fue modificada debido al impacto en la disminución del recaudo obtenido a mayo del 2020, generado por la emergencia económica, social y sanitaria declarada por el Gobierno Nación a causa de la Pandemia por COVID 19.
Esta nueva proyección de recaudo esperado por los servicios de seguimiento para la vigencia actual contempla los alivios otorgados a los titulares de una licencia, permiso o instrumento de manejo y control, en cuanto a plazos para pagos y una propuesta de cobro por servicio de seguimiento integral, a fin de prestar varias actividades de seguimiento en un solo proceso
Al mes de Junio se ha recaudado por el servicio de  seguimiento  $ 36,412,050,025 correspondiente al 52,44% de la meta  $ 69,430,081,393 esperada para la vigencia 2020.</t>
  </si>
  <si>
    <t xml:space="preserve">
Al mes de Julio se ha recaudado $ 48,741,948,892 correspondiente al 61% de la meta  $ 80,479,734,505 esperada para la vigencia 2020.</t>
  </si>
  <si>
    <t xml:space="preserve">
Al mes de Junio se ha recaudado por el servicio de  seguimiento $ 40,795,365,484 correspondiente al 59% de la meta  $ 69,430,081,393 esperada para la vigencia 2020.</t>
  </si>
  <si>
    <t xml:space="preserve">
Al mes de Agosto se ha recaudado $ 54,541,569,687 correspondiente al 68% de la meta  $ 80,479,734,505 esperada para la vigencia 2020.</t>
  </si>
  <si>
    <t xml:space="preserve">
Al mes de Agosto se ha recaudado por el servicio de  seguimiento $ 45,302,697,575 correspondiente al 65% de la meta  $ 69,430,081,393 esperada para la vigencia 2020.</t>
  </si>
  <si>
    <t xml:space="preserve">
Al mes de Septiembre se ha recaudado $63,942,848,409 correspondiente al 79,45% de la meta  $ 80,479,734,505 esperada para la vigencia 2020.</t>
  </si>
  <si>
    <t xml:space="preserve">
Al mes de Septiembre se ha recaudado por el servicio de  seguimiento $ 53,264,885,297 correspondiente al 76,72% de la meta  $ 69,430,081,393 esperada para la vigencia 2020.</t>
  </si>
  <si>
    <t>Avance en la estrategia de sostenibilidad financiera de ANLA</t>
  </si>
  <si>
    <t>(Avance de las actividades* peso porcentual) / total de actividades</t>
  </si>
  <si>
    <t xml:space="preserve">Actualmente la Subdirección Administrativa y Financiera está adelantando el trámite de contratación de la persona encargada de la estrategia de sostenibilidad financiera de ANLA </t>
  </si>
  <si>
    <t>La Subdirección Administrativa y Financiera dio  trámite de contratación de la persona encargada de la estrategia de sostenibilidad financiera de ANLA. El avance se reflejará a partir del próximo mes</t>
  </si>
  <si>
    <t>De acuerdo con el plan de trabajo establecido para desarrollar la estrategia de sostenibilidad financiera de la Anla, a corte de 31 de Mayo de 2020 se han cumplido las actividades programadas "Pre-Requisitos"  y parte de  "Procesamiento de Información" a esta fecha y da un porcentaje acumulado de 28%</t>
  </si>
  <si>
    <t>A corte de 31 de agosto de 2020, se han cumplido con las 15 actividades establecidas en las etapas Pre-Requisitos y Procesamiento de Información del plan de trabajo definido para desarrollar la estrategia de sostenibilidad financiera de la Anla y a esta fecha da un porcentaje acumulado del 60%</t>
  </si>
  <si>
    <t>A corte de 30 de septiembre, se han cumplido con las 16 actividades establecidas en las etapas Pre-Requisitos y Procesamiento de Información del plan de trabajo definido para desarrollar la estrategia de sostenibilidad financiera de la Anla y a esta fecha da un porcentaje acumulado del 64%</t>
  </si>
  <si>
    <t>Avance a la Ejecución presupuestal en obligaciones</t>
  </si>
  <si>
    <t>Valor obligado / valor comprometido</t>
  </si>
  <si>
    <t>El prespuesto vigencia 2020 para el mes de enero registró obligaciones acumulados del 9%; Incluyendo apropiacion vigente de presupuesto de regalias asignada a la ANLA mediante Resolucion 659-2019</t>
  </si>
  <si>
    <t>El prespuesto vigencia 2020 para el mes de febrero registró obligaciones acumulados del 16%; Incluyendo presupuesto comprometido de regalias,apropiacion que fue asignada a la ANLA mediante Resolucion 659-2019</t>
  </si>
  <si>
    <t>El prespuesto vigencia 2020 para el mes de marzo registró obligaciones acumulados del 23%; Incluyendo presupuesto comprometido de regalias,apropiacion que fue asignada a la ANLA mediante Resolucion 659-2019</t>
  </si>
  <si>
    <t>El prespuesto vigencia 2020 para el mes de Abril se registró obligaciones acumulados del 33%; Incluyendo presupuesto comprometido de regalias,apropiacion que fue asignada a la ANLA mediante Resolucion 659-2019</t>
  </si>
  <si>
    <t>El prespuesto vigencia 2020 para el mes de mayo registró obligaciones acumulados del 42%; Incluyendo presupuesto comprometido de regalias,apropiacion que fue asignada a la ANLA mediante Resolucion 659-2019</t>
  </si>
  <si>
    <t>El prespuesto vigencia 2020 acumulado al mes de junio registró obligaciones acumulados del 49,55%; Incluyendo presupuesto comprometido de regalias,apropiacion que fue asignada a la ANLA mediante Resolucion 659-2019</t>
  </si>
  <si>
    <t>El prespuesto vigencia 2020 acumulado al mes de julio registró obligaciones acumulados del 57%; Incluyendo presupuesto comprometido de regalias,apropiacion que fue asignada a la ANLA mediante Resolucion 659-2019</t>
  </si>
  <si>
    <t>El prespuesto vigencia 2020 acumulado al mes de Agosto registró obligaciones acumulados del 62%; Incluyendo presupuesto comprometido de regalias,apropiacion que fue asignada a la ANLA mediante Resolucion 659-2019</t>
  </si>
  <si>
    <t>El prespuesto vigencia 2020 acumulado al mes de Septiembre registró obligaciones acumulados del 68%; Incluyendo presupuesto comprometido de regalias,apropiacion que fue asignada a la ANLA mediante Resolucion 659-2019</t>
  </si>
  <si>
    <t>Avance a la Ejecución presupuestal en compromisos</t>
  </si>
  <si>
    <t>Valor comprometido / programación presupuestal de las dependencias</t>
  </si>
  <si>
    <t>El prespuesto vigencia 2020 para el mes de enero registró compromisos acumulados del 54%; Incluyendo apropiacion vigente de presupuesto de regalias asignada a la ANLA mediante Resolucion 659-2019</t>
  </si>
  <si>
    <t>El prespuesto vigencia 2020 para el mes de febrero registró compromisos acumulados del 60%; Incluyendo apropiacion vigente de presupuesto de regalias asignada a la ANLA mediante Resolucion 659-2019</t>
  </si>
  <si>
    <t>El prespuesto vigencia 2020 para el mes de marzo registró compromisos acumulados del 69%; Incluyendo apropiacion vigente de presupuesto de regalias asignada a la ANLA mediante Resolucion 659-2019</t>
  </si>
  <si>
    <t>El prespuesto vigencia 2020 para el mes de Abril registró compromisos acumulados del 69%; Incluyendo apropiacion vigente de presupuesto de regalias asignada a la ANLA mediante Resolucion 659-2019</t>
  </si>
  <si>
    <t>El prespuesto vigencia 2020 para el mes de mayo registró compromisos acumulados del 70%; Incluyendo apropiacion vigente de presupuesto de regalias asignada a la ANLA mediante Resolucion 659-2019</t>
  </si>
  <si>
    <t>El prespuesto vigencia 2020 acumulado al mes de junio registró compromisos acumulados del 72,58%; Incluyendo apropiacion vigente de presupuesto de regalias asignada a la ANLA mediante Resolucion 659-2019</t>
  </si>
  <si>
    <t>El prespuesto vigencia 2020 acumulado al mes de julio registró compromisos acumulados del 75%; Incluyendo apropiacion vigente de presupuesto de regalias asignada a la ANLA mediante Resolucion 659-2019</t>
  </si>
  <si>
    <t>El prespuesto vigencia 2020 acumulado al mes de Agosto registró compromisos acumulados del 82%; Incluyendo apropiacion vigente de presupuesto de regalias asignada a la ANLA mediante Resolucion 659-2019</t>
  </si>
  <si>
    <t>El prespuesto vigencia 2020 acumulado al mes de Septiembre registró compromisos acumulados del 85%; Incluyendo apropiacion vigente de presupuesto de regalias asignada a la ANLA mediante Resolucion 659-2019</t>
  </si>
  <si>
    <t>Implementación del Gestor Documental</t>
  </si>
  <si>
    <t>Número de actividades desarrolladas/Número de actividades programadas</t>
  </si>
  <si>
    <t>JOSE RAUL NAVARRETE VALBUENA [Coordinador(a)]</t>
  </si>
  <si>
    <t>Se está elaborando la ficha técnica para el proceso de adquisición del Gestor Documental, la cual se encuentra en borrador.</t>
  </si>
  <si>
    <t>Se ajusto la ficha técnica en conjunto con el área de técnologias y se envio a los oferentes para dar inicio al proceso de Estudio de Mercados. Se anexa correo electrónico como evidencia.</t>
  </si>
  <si>
    <t>Se realizó el estudio de mercado y se verificaron los analisis de las diferentes propuestas, generando cuadro comparativo.</t>
  </si>
  <si>
    <t>Se solicitó la eliminación del indicador teniendo en cuenta las condiciones economicas y de salud pública del pais que impiden realizar este proceso durante la vigencia del año 2020.</t>
  </si>
  <si>
    <t>Se encuentra en aprobación por la subdirección el reemplazo del indicador. (Actualización de Instrumentos Archivistivos)</t>
  </si>
  <si>
    <t>En el mes de septiembre se está trabajando en el nuevo indicador propuesto de actualización de instrumentos, se espera aprovación de comité directivo</t>
  </si>
  <si>
    <t>Plan Institucional de Archivos PINAR diseñado y en implementación</t>
  </si>
  <si>
    <t>Tablas de Retención Documental implementadas</t>
  </si>
  <si>
    <t>Tablas de retención documental implementadas</t>
  </si>
  <si>
    <t>Para el mes de enero no se programó proceso de implementación de TRD según cronograma</t>
  </si>
  <si>
    <t>De acuerdo con las actividades planteadas en los cronogramas definidos en el PINAR, se ejecutó la totalidad como se describe en el avance del indicador.</t>
  </si>
  <si>
    <t>Se llevó a cabo el proceso de implementación de TRD en la Oficina de Control Interno.</t>
  </si>
  <si>
    <t>De acuerdo con las actividades planteadas en los cronogramas definidos en el PINAR, se ejecutaron las actividades como se describe en el avance del indicador.</t>
  </si>
  <si>
    <t>Se llevó a cabo el proceso de implementación de TRD del Grupo de Gestión Humana, de acuerdo con lo establecido en el cronograma correspondiente incluido en el PINAR</t>
  </si>
  <si>
    <t>Se llevó a cabo el proceso de implementación de  la Oficina Asesora Juridica de acuerdo con lo establecido en el cronograma correspondiente incluido en el PINAR</t>
  </si>
  <si>
    <t>Se llevó a cabo el proceso de implementación de  la Oficina Asesora Juridica de acuerdo con lo establecido en el cronograma correspondiente incluido en el PINAR y para el mes de julio se generaron 3 actas.</t>
  </si>
  <si>
    <t>Se llevó a cabo el proceso de implementación de  la Subdirección de Evaluación y Seguimiento, Dirección General, Grupo de Hidrocarburos y Grupo de Contratos generando cinco actas que se encuentran en ONE DRIVE.</t>
  </si>
  <si>
    <t>Para el mes de septiembre no hay avance debido a que el mes pasado se adelanto la implementación, sin embargo se encuentra pendiente reunión con el Sector de Hidrocarburos para finalizar y dar cumplimiento con la implementación de dicho sector.</t>
  </si>
  <si>
    <t>Número de metros lineales digitalizados</t>
  </si>
  <si>
    <t>No. de metros lineales de archivo organizados y digitalizados</t>
  </si>
  <si>
    <t>Para el mes de enero no se programó proceso de implementación de Metros lineales digitalizados según cronograma</t>
  </si>
  <si>
    <t>El proceso de digitalización está asociado al proyecto de implementación del gestor Documental, por lo que durante el mes de febrero no hay avance.</t>
  </si>
  <si>
    <t>El proceso de digitalización está asociado al proyecto de implementación del gestor Documental, por lo que durante el mes de Marzo no hay avance.</t>
  </si>
  <si>
    <t>El proceso de digitalización está asociado al proyecto de implementación del gestor Documental, por lo que durante el mes de Mayo no hay avance.</t>
  </si>
  <si>
    <t>Indicador en proceso de actualización</t>
  </si>
  <si>
    <t>El 23 de julio de 2020 fue enviada la modificación del indicador - ( Los cambios se proponen dado que, surge la necesidad de modificar la ejecución del
proyecto en atención a la no disponibilidad de recursos para el mismo, se pasa de digitalizar 350 ml de archivo a organizar 100 ml de archivo).  La decisión de cambiar el indicador se tomará en comité directivo</t>
  </si>
  <si>
    <t>En el mes de septiembre se está trabajando en el nuevo indicador propuesto de organización de archivos, se espera aprovación de comité directivo</t>
  </si>
  <si>
    <t>Número de transferencias documentales formalizadas</t>
  </si>
  <si>
    <t>Transferencias documentales formalizadas/Transferencias Documentales por Formalizar</t>
  </si>
  <si>
    <t>El proceso de digitalización está asociado al proyecto de implementación del gestor Documental, por lo que durante el mes de enero no hay avance.</t>
  </si>
  <si>
    <t>Se llevó a cabo el proceso correspondiente en el Grupo de Atención al Ciudadano</t>
  </si>
  <si>
    <t>Se llevó a cabo la Transferencia Documental correspondiente en el Grupo de Atención al Ciudadano.</t>
  </si>
  <si>
    <t>Teniendo en cuenta la situación actual de aislamiento, para este periodo no se llevo a cabo este proceso, se dará inicio una vez se retorne a la Entidad y  se ajustará el cronograma de Transferencias Documentales.</t>
  </si>
  <si>
    <t>Se realizaron reuniones con la Oficina Asesora de Planeación y con el Grupo Respuestas a Solicitudes Prioritarias donde se levantaron actas y se generarón compromisos  de actualización de Inventarios para posteriormente realizar el transferencia de las cajas.</t>
  </si>
  <si>
    <t>Se realizó reunión con la Subdirección Administrativa y Financiera donde se levantaron actas y se generarón compromisos  de actualización de Inventarios para posteriormente realizar custodia de almacenamiento de información teniendo en cuenta los tiempos de retención establecidos en la TRD.</t>
  </si>
  <si>
    <t>Para el mes de Agosto no hay avance según lo establecido en el Cronograma de Transferencias Documentales.</t>
  </si>
  <si>
    <t>Para el mes de septiembre se adelantó la actividad de transferencia con la Oficina Asesora Juridica el cual un profesional de Gestión Documental se encuentra verificando la información a transferir y brindando apoyo en los procesos que conlleva la transferencia tales como: Creación de hoja de control por cada uno de los expedientes, verificación de foliación, creación de Formato Unico de Inventario Documental.
Se anexa al presente reporte las evidencias de las transferencias formalizadas durante el año la cuales pertenecen a las siguientes áreas: Atención al Ciudadano, Respuesta a Solicitudes Prioritarias - RASP y Oficina Asesora de Planeación -  OAP. Tambien se anexa como evidencia el trabajo realizado en la SAF con Control Interno Disciplinario el cual se determino que debido a que no se ha cumplido los tiempos de retención no se realizará el movimiento de documentos al Archivo Central, estamos a la espera del memorando como soporte final para cerrar dicha actividad.</t>
  </si>
  <si>
    <t>Tablas de Retención Documental actualizadas</t>
  </si>
  <si>
    <t># Total de Tablas de Retención Documental actualizadas / # Total de Tablas de Retención Documental por Actualizar</t>
  </si>
  <si>
    <t>De acuerdo con el cronograma, para el mes de enero no se programó proceso de formalización de transferencias, sin embargo se llevó a cabo transferencia de 131 cajas de archivo correspondientes al Grupo de Finanzas y Presupuesto.</t>
  </si>
  <si>
    <t>No se realizó actualización de las TRD, debido a que este proceso está asociado al cambio de la estructura organizacional de la entidad.</t>
  </si>
  <si>
    <t>Se dio inicio al proceso de la actualización de las TRD a partir de la nueva estructura organizacional, se realizo cuadro comparativo de las dependencias actuales frente a las TRDS convalidadas en el año 2018.</t>
  </si>
  <si>
    <t>El  proceso de  actualización de las TRD a partir de la nueva estructura organizacional, ha avanzado realizando la compilación de la información institucional, validación de funciones, series y subseries documentales de la nueva estructura de la Entidad.</t>
  </si>
  <si>
    <t>El  proceso de  actualización de las TRD a partir de la nueva estructura organizacional, ha avanzado realizando la compilación de la información institucional, validación de funciones, series y subseries documentales de la nueva estructura de la Entidad.
Se ha realizado 9 entrevistas y se han diligenciado 32 encuestas.</t>
  </si>
  <si>
    <t>El  proceso de  actualización de las TRD a partir de la nueva estructura organizacional, ha avanzado realizando la compilación de la información institucional, validación de funciones, series y subseries documentales de la nueva estructura de la Entidad.
Se ha realizado 4 entrevistas y se han diligenciado  116 encuestas.</t>
  </si>
  <si>
    <t>El  proceso de  actualización de las TRD a partir de la nueva estructura organizacional, ha avanzado realizando la compilación de la información institucional, validación de funciones, series y subseries documentales de la nueva estructura de la Entidad.
Se realizó 5 encuestas y Cuadro de Clasificación Documental.
Como evidencia se encuentra documento de Word de las 5 entrevistas, Reporte Final de entrevistas y Cuadro de Clasificación Documental.</t>
  </si>
  <si>
    <t>El  proceso de  actualización de las TRD a partir de la nueva estructura organizacional, ha avanzado realizando la compilación de la información institucional, validación de funciones, series y subseries documentales de la nueva estructura de la Entidad.
Para el mes de septiembre se realizó la propuesta de actualización de las 32 tablas de Retención Documental  para presentar a cada una de las áreas.</t>
  </si>
  <si>
    <t>Gestión administrativa</t>
  </si>
  <si>
    <t>Servicios administrativos</t>
  </si>
  <si>
    <t>Uso adecuado sobre el consumo del recurso papel</t>
  </si>
  <si>
    <t>(Promedio mensual (peso hoja) histórico - Consumo mensual (peso hoja))) / (Promedio anual historico (peso hoja)</t>
  </si>
  <si>
    <t>En el mes de enero, el consumo total fue de 269.496 número de hojas, para un ahorro del 14%, comparado con el promedio anual histórico que es de 313.518 número de hojas.</t>
  </si>
  <si>
    <t>En el mes de febrero, el consumo total fue de 167.213 número de hojas, para un ahorro del 35%, comparado con el promedio anual histórico que es de 313.518 número de hojas. El acumulado es del 24,6%</t>
  </si>
  <si>
    <t>En el mes de marzo, el consumo total fue de 103.640 número de hojas, para un ahorro del 60%, comparado con el promedio anual histórico que es de 313.518 número de hojas.
(la meta se supera teniendo en cuenta la contingencia por el COVID-19 y la ausencia de usuarios internos en la entidad). El acumulado promedio es del 36,3%</t>
  </si>
  <si>
    <t>En el mes de abril, el consumo total fue de 6.937 número de hojas, para un ahorro del 97%, comparado con el promedio anual histórico que es de 313.518 número de hojas.
(la meta se supera teniendo en cuenta la contingencia por el COVID-19 y la ausencia de usuarios internos en la entidad). El acumulado promedio es de 51,5%</t>
  </si>
  <si>
    <t>En el mes de mayo, el consumo total fue de 7.974 número de páginas (No. de hojas por peso: 19 kg), para un ahorro del 97%, comparado con el promedio anual histórico de hoja de 128.751 (No. de hojas por peso: 627 kg)
La meta se supera teniendo en cuenta la contingencia por el COVID-19 y la ausencia de usuarios internos en la entidad. El promedio acumulado es de 60,6%</t>
  </si>
  <si>
    <t>En el mes de junio, el consumo total fue de 4.843 número de páginas (No. de hojas por peso: 12 kg), para un ahorro del 98%, comparado con el promedio anual histórico de hoja de 128.751 (No. de hojas por peso: 627 kg)
La meta se supera teniendo en cuenta la contingencia por el COVID-19 y la ausencia de usuarios internos en la entidad. El acumulado es de 66,9%</t>
  </si>
  <si>
    <t>En el mes de julio, el consumo total fue de 2.912 número de páginas (No. de hojas por peso: 7 kg), para un ahorro del 99%, comparado con el promedio anual histórico de hoja de 128.751 (No. de hojas por peso: 627 kg)
La meta se supera teniendo en cuenta la contingencia por el COVID-19 y la ausencia de usuarios internos en la entidad.</t>
  </si>
  <si>
    <t>En el mes de agosto, el consumo total fue de 5.316 número de páginas (No. de hojas por peso: 13 kg), para un ahorro del 98%, comparado con el promedio anual histórico de hoja de 128.751 (No. de hojas por peso: 627 kg)
La meta se supera teniendo en cuenta la contingencia por el COVID-19 y la ausencia de usuarios internos en la entidad.</t>
  </si>
  <si>
    <t>Grado de satisfacción en casos mesa de ayuda</t>
  </si>
  <si>
    <t>Porcentaje de satisfaccIón en mesa de ayuda</t>
  </si>
  <si>
    <t>Se calificaron en el mes de enero un total de 92 casos, de los cuales 67 fueron de calificación excelente (100/100), 23 casos de calificación bueno (70/100) y 2 casos de calificación regular (30/100) para un total de 91% de satisfacción.</t>
  </si>
  <si>
    <t>Se calificaron en el mes de enero un total de 58 casos, de los cuales 40 fueron de calificación excelente (100/100), 18 casos de calificación bueno (70/100) y 3 casos de calificación regular (30/100) para un total de 94% de satisfacción.</t>
  </si>
  <si>
    <t>Se calificaron en el mes de marzo un total de 41 casos, de los cuales 26 fueron de calificación excelente (100/100), 13 casos de calificación bueno (70/100) y 2 casos de calificación regular (30/100) para un total de 89% de satisfacción.</t>
  </si>
  <si>
    <t>En el mes de abril no se solucionó ningún caso debido a que no asistieron usuarios a las instalaciones de la ANLA, esto con relación a la pandemia generada por el COVID-19.</t>
  </si>
  <si>
    <t>En el mes de mayo no se solucionó ningún caso debido a que no asistieron usuarios a las instalaciones de la ANLA, esto con relación a la pandemia generada por el COVID-19.</t>
  </si>
  <si>
    <t>En el mes de junio no se solucionó ningún caso debido a que actualmente en las instalaciones de la ANLA no se presentan los funcionarios y contratistas de forma normal, esto con relación a la pandemia generada por el COVID-19.</t>
  </si>
  <si>
    <t>En el mes de julio no se solucionó ningún caso por parte del Grupo de Gestión Administrativa, debido a que actualmente en las instalaciones de la ANLA no se presentan los funcionarios y contratistas de forma normal, esto con relación a la pandemia generada por el COVID-19.</t>
  </si>
  <si>
    <t>En el mes de agosto no se solucionó ningún caso por parte del Grupo de Gestión Administrativa, debido a que actualmente en las instalaciones de la ANLA no se presentan los funcionarios y contratistas de forma normal, esto con relación a la pandemia generada por el COVID-19.</t>
  </si>
  <si>
    <t>En el mes de septiembre se realizá cambio en el aplicativo para gestionar los casos de mesa de ayuda, por lo que no se tomará en cuenta el mes de reporte debido a adecuación y definición de entrega de resultados entre el Grupo de Gestión de Tecnologías y Seguridad de la Información y el Grupo de Gestión Administrativa.</t>
  </si>
  <si>
    <t>Porcentaje de cumplimiento del cronograma para el traslado</t>
  </si>
  <si>
    <t>Actividades del cronograma de trabajo realizadas / Actividades del cronograma de trabajo planeadas</t>
  </si>
  <si>
    <t>Se constituyo el Grupo de Recomendación requerido por la Dirección de ANLA.
Se realizo la visita al Edificio 13-35, como propuesta de Areas disponibles ofertadas.
Se realizó el ajuste al estudio previo y estudio del sector, conforme con las nuevas condiciones financieras del contrato.</t>
  </si>
  <si>
    <t xml:space="preserve">Se programaron en el cronograma de traslado de la sede un total de 8 Macroactividades para el periodo, las cuales se cumplieron en su totalidad 4 de ellas </t>
  </si>
  <si>
    <t xml:space="preserve">Se programaron en el cronograma de traslado de la sede un total de 8 Macroactividades para el periodo, las cuales se cumplieron en su totalidad 5 de ellas </t>
  </si>
  <si>
    <t>Una vez formalizado y legalizado el contrato, se inicio la ejecucion del mismo conforme con las obligaciones establecidas. 
Se dio inicio de acuerdo con el cronograma de ejecución, sin embargo las circunstancias relacionadas con la cuarentena y aislamiento obligatorio permanente establecido por el Gobierno Nacional, hechos constitutivos de fuerza mayor, se estima una prorroga del contrato, respecto del desarrollo de las actividades constructivas relacionadas con la adecuación de las areas tomadas en arrendamiento, situacion que prevee un mayor periodo de tiempo del inicialmente pactado.
Durante el mes de Abril se adelantan actividades relacionadas con diseños de areas internas, disposicion y ubicación de oficinas, mobiliario y definicion de numeros de puestos de trabajo.</t>
  </si>
  <si>
    <t>No se tenían macroactividades programadapara el periodo, y de acuerdo a las disposiciones y normas emitidas por el Gobierno Nacional y Distrital relacionadas con el Aislamiento Preventivo Obligatorio en el territorio nacional y particularmente en la ciudad de Bogotá D.C., las partes suscribieron contrato modificatorio No. 1 mediante el cual se formalizan nuevos plazos para el desarrollo de la fase 1 - adecuaciones y se fija como fecha de entrega de las areas adecuadas el día 10 de julio de 2020.
Mediante acta, la supervisión del contrato y el representante legal de Moderline aprueban nuevo cronograma de ejecución de actividades.
Se adelantan actividades de adecuacion en las instalaciones conforme con el cronograma de adecuaciones aprobado.</t>
  </si>
  <si>
    <t xml:space="preserve">De acuerdo a las disposiciones y normas emitidas por el Gobierno Nacional y Distrital relacionadas con el Aislamiento Preventivo Obligatorio en el territorio nacional y particularmente en la ciudad de Bogotá D.C., las partes suscribieron contrato modificatorio No. 1 mediante el cual se formalizan nuevos plazos para el desarrollo de la fase 1 - adecuaciones y se fija como fecha de entrega de las areas adecuadas el día 10 de julio de 2020.
Mediante acta, la supervisión del contrato y el representante legal de Moderline aprueban nuevo cronograma de ejecución de actividades.
Se adelantan actividades de adecuacion en las instalaciones conforme con el cronograma de adecuaciones aprobado.
Se desarrollan las actividades logisticas necesarias para la realización del traslado en conjunto con el contratista Moderline SAS y la firma que realizada la logistica correspondiente. El día 05/07/2020 la SAF realizo socialización ante el comité directivo, de las actividades relacionadas con el procedimiento del traslado de los bienes a las nuevas instalaciones. </t>
  </si>
  <si>
    <t>Se realizó la instalación de la conectividad de la Entidad a través del contrato que presta ETB. La totalidad de puntos de red se encuentran habilitados y en funcionamiento.
Durante los días 11, 12 y 13 de julio se realizó el traslado de los equipos de cómputo de funcionarios y colaboradores de la ANLA.
En reunión de comité directivo se socializaron las actividades para el desarrollo del traslado de los bienes muebles de propiedad de la Entidad a las nuevas instalaciones ANLA.
Durante los días 11, 12 y 13 de julio se realizó el traslado de los equipos de cómputo de funcionarios y colaboradores de la ANLA.
Se realizó entrega de instalaciones que se encontraban en contrato de arrendamiento Edificio CAXDAC pisos 4 y 12-13.</t>
  </si>
  <si>
    <t>Se realizó entrega de instalaciones que se encontraban en contrato de arrendamiento Edificio CAXDAC pisos 4 y 12-13.
Se realizó prórroga del contrato de comodato entre ANLA y MADS, para entrega del edificio Anexo hasta el 15 de octubre de 2020.
Evidencia: Acta entrega instalaciones ANLA - contratista arrendamiento CAXDAC piso 4 y Piso 12 y 13. - Contrato modificatorio convenio MADS.</t>
  </si>
  <si>
    <t>Talento Humano</t>
  </si>
  <si>
    <t>Gestión del Talento humano</t>
  </si>
  <si>
    <t>Talento humano</t>
  </si>
  <si>
    <t>Porcentaje de impacto de los eventos de bienestar</t>
  </si>
  <si>
    <t>Calificación actividad 1 + Calificación actividad 2+ Calificación actividad (n)/ # de actividades calificadas</t>
  </si>
  <si>
    <t>Participación del núcleo familiar de los funcionarios en las actividades de bienestar.</t>
  </si>
  <si>
    <t># servidores que asisten con su núcleo familiar/# Servidores Asistentes total</t>
  </si>
  <si>
    <t>JOHN MAURICIO ARDILA SANTOS [Coordinador(a)]</t>
  </si>
  <si>
    <t>Durante el mes de ENERO realizaron las actividades respectivas para publicación del Programa de bienestar e incentivos, se hace referencia que el cronograma esta para ser realizado con el proceso contractual, en cual se esta trabajando para contratar dicho proceso.</t>
  </si>
  <si>
    <t>Durante el mes de ENERO se realizaron las actividades respectivas para publicación del Programa de bienestar e incentivos, se hace referencia que el cronograma está para ser ejecutado con el proceso contractual, en cual se esta trabajando para contratar dicho proceso.</t>
  </si>
  <si>
    <t>Durante el mes de FEBRERO se evaluó una actividad “Evaluación actividad del programa de bienestar social: Primera Jornada Laboral Continua”  que se realizó en dicho mes, la cual da como puntaje final obtuvo un total de 97,92% cumpliendo así con la meta mensual.</t>
  </si>
  <si>
    <t>Durante el mes de MARZO se evaluaron 6 actividades obtuvo un total de 84% de cumplimiento, a continuación, se listan las actividades:
1.	Jornada de atención y servicios del Teatro Nacional: 91%.
2.	Jornada de atención y servicios de Mary Kay en el marco de la conmemoración del Día Internacional de la Mujer: 80%.
3.	Jornada de atención y servicios de CAFAM: 93%.
4.	Capacitación Planeación Financiera en el marco de la Escuela de Desarrollo Personal y Familiar: 67%.
5.	Jornada de atención y servicios de AGROMIEL: 82%.
6.	Jornada de atención y servicios de FAVI: 90%</t>
  </si>
  <si>
    <t>Durante el mes de abril se realizaron actividades de bienestar virtuales ofrecidas por CAFAM - Caja de Compensación de la entidad teniendo en cuenta la emergencia sanitaria por la que esta atravesando el país, el canal empleado para el desarrollo de las mismas son las redes sociales de la caja ; por lo anterior desde el grupo de Gestión Humana se envió a todos los funcionarios la solicitud de evaluación de satisfacción de estas actividades, teniendo en cuenta que a la fecha no se ha obtenido la cantidad de respuestas requeridas para tener un promedio de impacto este indicador se reportará en el informe del mes de mayo.</t>
  </si>
  <si>
    <t>Al mes de mayo en el cual se obtuvo una calificación del 95% de impacto de la actividad “Taller No. 1 Bienestar Personal, de la teoría a la práctica”  (, vale la pena aclarar que este taller se desarrolló en el marco de la “Escuela de Desarrollo Personal y Familiar” actividad del Programa de Bienestar Social – Sistema de Estímulos 2020.
Adicionalmente durante el mes de mayo se invitó ( a través de correo electrónico y ronda semanal) a los servidores de la entidad a participar de las múltiples actividades de bienestar ofrecidas por CAFAM de forma virtual a través de sus redes sociales, esta programación está conformada por:
-	Actividades deportivas: clases de rumba, aeróbicos, pilates, relajación, gimnasia, Tae Box, entre otros.
-	Actividades de formación artística: fotografía, técnica vocal y teatro musical. 
-	Actividades recreativas dirigidas: juegos familiares, talleres creativos, lectura de cuentos y clases de cocina.</t>
  </si>
  <si>
    <t>“Porcentaje de impacto de los eventos de bienestar” correspondiente al mes de junio en el cual se obtuvo una calificación del 92.3% de impacto de las actividades:
1.	Conferencia beneficios del crédito de libranza del Banco de Occidente: Calificación del 88%.
2.	Capacitación “Cúrate con la música”: Calificación del 98%.
3.	Taller No. 1 Preguntas y respuestas con Colpensiones – Prepensionados: Calificación del 91%.
Adicionalmente  se realizaron las siguientes actividades en busca del mejoramiento de la calidad de vida de los servidores de la entidad:
•	Se gestiono la programación y disfrute de una jornada libre remunerada para cada servidor con el fin de promover el tiempo para compartir en familia; logrando que el 80% de los servidores (67) disfrutaran de este beneficio de salario emocional. El 20% de los servidores (17) no quiso utilizar este beneficio.
•	Durante el mes de junio se invitó diariamente ( a través de correo electrónico) a los servidores de la entidad, invitación a participar en  sesenta y siete (67) actividades de bienestar ofrecidas por CAFAM de forma virtual a través de sus redes sociales, esta programación está conformada por:
-	Actividades deportivas: clases de rumba, aeróbicos, pilates, relajación, gimnasia, Tae Box, entre otros.
-	Actividades de formación artística: fotografía, técnica vocal y teatro musical, entre otros.
-	Actividades recreativas dirigidas: juegos familiares, talleres creativos, lectura de cuentos y clases de cocina, entre otros.
Nota: Como el desarrollo de estas actividades se realiza a través de las redes sociales (Facebook e Instagram) de CAFAM es imposible para el Grupo de Gestión Humana llevar el control de asistencia/participación de los servidores y así mismo poder evaluar el impacto de esta programación.</t>
  </si>
  <si>
    <t>Se apropia nuevo indicador ya que se pide cambio a este indicador de gestión para medir las actividades programadas ajustándose a la situación actual del programa, se procede a describir a continuación las actividades que se han desarrollado durante la vigencia para tener un punto de partida de medición desde el mes de JUNIO:
PRIMER TRIMESTRE
Al termino del primer trimestre se evidencia el cumplimiento de 9 actividades traducidas en un 20.45% de avance cumpliendo con la meta del primer trimestre en actividades, realizando el 100% de las actividades programadas para el trimestre, a continuación, se relacionan las actividades realizadas en este periodo:
FEBRERO
Jornada Laboral Continua FEBRERO
MARZO
Día del contador. MARZO
Jornada de atención y servicios: Teatro Nacional MARZO
Jornada de atención y servicios: Mary Kay MARZO
Dia de la Mujer MARZO
Jornada de atención y servicios CAFAM. MARZO
Capacitación Planeación Financiera MARZO
Jornada de atención y servicios: Agromiel. MARZO
Jornada de atención y servicios: FAVI. MARZO
SEGUNDO TRIMESTRE
Al término del primer trimestre se evidencia el cumplimiento de 11 actividades traducidas en un 25% de avance cumpliendo con la meta del primer trimestre en actividades, realizando el 100% de las actividades programadas para el trimestre, a continuación, se relacionan las actividades realizadas en este periodo:
ABRIL
Día de la Niñez ABRIL
Día de la Secretaria ABRIL
MAYO
Día de la Madre MAYO
Día Nacional de la Familia MAYO
Taller No.1 Bienestar personal, de la teoría a la práctica! MAYO
JUNIO
Día del Padre JUNIO
Día del abogado JUNIO
Conferencia Web Crédito de libranza - Banco de Occidente. JUNIO
Preguntas y respuestas: Colpensiones JUNIO
Capacitación "Cúrate con la música" JUNIO
Curso de Inglés para principiantes. JUNIO
El avance total del indicador al termino del segundo trimestre es del 45,45% frente a las 44 actividades programadas, realizando así a 30 de junio un total de 20 actividades.</t>
  </si>
  <si>
    <t>El “Porcentaje de impacto de los eventos de bienestar” correspondiente al mes de JULIO en el cual se obtuvo una calificación del 88% de impacto de las actividades:
1.	Curso de inglés para principiantes: Clasificación 85%
2.	Capacitación Protocolo de Cocina Sana: Calificación 85%
3.	Taller No. 2 Felicidad – Escuela de desarrollo personal y familiar de la ANLA: Calificación 88%
4.	Capacitación Salud Emocional y Manejo del Estrés: Calificación 92%
5.	Clase de estimulación adecuada para niños de 3 a 8 años: Calificación 93%
6.	Charla Subsidio de Vivienda con CAFAM: Calificación 86%
Con el fin de hacer un reconocimiento a los servidores y su aporte al índice de desempeño institucional, se realizaron las siguientes actividades enmarcadas dentro del Programa de Bienestar:
7.	Día del Servidor Público: Se gestiono ante la caja de compensación un detalle entregado en el domicilio de cada servidor junto con un mensaje de reconocimiento por su labor escrito por el Director de la ANLA.
8.	Día del Economista: Se gestiono ante el equipo de comunicaciones una cybertarjeta para reconocer su dedicación y  compromiso con el progreso económico del país.
9.	Día del Conductor: Se gestiono ante el equipo de comunicaciones una cybertarjeta para reconocer el compromiso y vocación de servicio de los conductores de la entidad.
10.	Día del Antropólogo: Se gestiono ante el equipo de comunicaciones una cybertarjeta para reconocer la importancia de la labor de los antropólogos y sus aportes a la construcción de sociedad.
En conclusión, durante el mes de JULIO se programaron y desarrollaron diez (10) actividades del programa de bienestar social.
Adicionalmente durante el mes de julio se invitó diariamente (a través de correo electrónico) a los servidores a participar en setenta y tres (73) actividades virtuales de bienestar ofrecidas por CAFAM a través de sus redes sociales; con la divulgación de este contenido pretendemos movilizar a los servidores hacia la gestión de su bienestar personal y familiar y con impactar en el mejoramiento de su calidad de vida.</t>
  </si>
  <si>
    <t>Durante el mes de JULIO se realizaron 10 actividades de las cuales 6 actividades fueron de cumplimiento al cronograma de actividades que representan el 13,6363636%
 y 4 actividades adicionales, a continuación, se describen dichas actividades:
ACTIVIDADES CORNOGRAMA
1.	Protocolo de cocina sana.
2.	Escuela de desarrollo personal y familiar - Taller No.2 Felicidad.
3.	Día del Servidor Público
4.	Capacitación Salud emocional y manejo del estrés.
5.	Día del Antropólogo
6.	Escuela deportiva virtual para niños de 3 a 6 años.
ACTIVIDADES ADICIONALES
1.	Curso de inglés para principiantes
2.	Día del Economista: Se gestiono ante el equipo de comunicaciones una cybertarjeta para reconocer su dedicación y compromiso con el progreso económico del país.
3.	Día del Conductor: Se gestiono ante el equipo de comunicaciones una cybertarjeta para reconocer el compromiso y vocación de servicio de los conductores de la entidad.
4.	Charla Subsidio de Vivienda con CAFAM.</t>
  </si>
  <si>
    <t>El “Porcentaje de impacto de los eventos de bienestar” correspondiente al mes de AGOSTO en el cual se obtuvo una calificación del 90% de impacto de las actividades:
1.	Escuela de Desarrollo Personal y Familiar: Taller de Actualidad Tributaria
2.	Taller con @gatoderisa aprendiendo a preparar un alfajor de oreo
3.	Conferencia FNA – Créditos de vivienda.
ACTIVIDADES ADICIONALES
1.	Taller con @gatoderisa aprendiendo a preparar un alfajor de oreo: Esta actividad es nueva, es decir, no esta incluida en el cronograma de trabajo inicial porque fue una cortesía ofrecida por CAFAM. En esta actividad se inscribieron 11 colaboradores, asistieron y diligenciaron la evaluación 5, obteniendo como resultado el 96 % de impacto.
2.	Escuela de Desarrollo Personal y Familiar: Taller de Actualidad Tributaria - Principios básicos para hacer una buena planeación tributaria: Esta actividad es nueva, es decir, no está incluida en el cronograma de trabajo inicial porque fue una cortesía ofrecida por el grupo Skandia. En este taller se inscribieron 93 colaboradores, asistieron 87 y 69 diligenciaron la evaluación, obteniendo como resultado el 89 % de impacto.
3.	Escuela deportiva virtual para niños de 3 a 6 años – Primera Clase: Actividad deportiva y recreativa donde los servidores y sus hijos compartieron tiempo en familia; se inscribieron 9 servidores con hijos entre los 3 y 6 años y asistieron 6. La evaluación de esta actividad se solicitará el 19 de octubre una vez se hayan terminado las 8 clases que conforman esta Escuela.
El promedio acumulado de las capitaciones es de 91,2%</t>
  </si>
  <si>
    <t>Durante el mes de AGOSTO se realizaron 7 actividades de las cuales 4 actividades fueron de cumplimiento al cronograma de actividades que representan el 9,09090909090909%
 y 3 actividades adicionales, a continuación, se describen dichas actividades:
ACTIVIDADES CORNOGRAMA
1.	Taller de prepensionados 1.
2.	Conferencia FNA – Créditos de vivienda.
3.	Día del Ingeniero.
4.	Taller 2. Prepensionados.
ACTIVIDADES ADICIONALES
1.	Taller con @gatoderisa aprendiendo a preparar un alfajor de oreo: Esta actividad es nueva, es decir, no esta incluida en el cronograma de trabajo inicial porque fue una cortesía ofrecida por CAFAM. En esta actividad se inscribieron 11 colaboradores, asistieron y diligenciaron la evaluación 5, obteniendo como resultado el 96 % de impacto.
2.	Escuela de Desarrollo Personal y Familiar: Taller de Actualidad Tributaria - Principios básicos para hacer una buena planeación tributaria: Esta actividad es nueva, es decir, no está incluida en el cronograma de trabajo inicial porque fue una cortesía ofrecida por el grupo Skandia. En este taller se inscribieron 93 colaboradores, asistieron 87 y 69 diligenciaron la evaluación, obteniendo como resultado el 89 % de impacto.
3.	Escuela deportiva virtual para niños de 3 a 6 años – Primera Clase: Actividad deportiva y recreativa donde los servidores y sus hijos compartieron tiempo en familia; se inscribieron 9 servidores con hijos entre los 3 y 6 años y asistieron 6. La evaluación de esta actividad se solicitará el 19 de octubre una vez se hayan terminado las 8 clases que conforman esta Escuela.</t>
  </si>
  <si>
    <t>El “Porcentaje de impacto de los eventos de bienestar” correspondiente al mes de SEPTIEMBRE en el cual se obtuvo una calificación del 93% de impacto de las actividades:
1.	Clase de cocina de Familia	95%
2.	Stand up comedy	92%
3.	Webinar Trabajo en equipo y su impacto en el bienestar laboral	91%
4.	Taller para hacer un terrario en casa	93%</t>
  </si>
  <si>
    <t>Durante el mes de SEPTIEMBRE se realizaron 7 actividades de las cuales 7 actividades fueron de cumplimiento al cronograma de actividades que representan el 15.9090909090909%, a continuación, se describen dichas actividades:
ACTIVIDADES CORNOGRAMA
1.	Escuela deportiva virtual para niños de 3 a 6 años – Segunda y Tercera Clase: Actividad deportiva y recreativa donde los servidores y sus hijos compartieron tiempo en familia; se inscribieron 9 servidores con hijos entre los 3 y 6 años, sin embargo, solo asistieron 3.
2.	Clase de cocina de Familia: clase dirigida por un experto donde enseñó a los servidores a preparar tres tipos diferentes de montaditos/tapas españolas, su significado cultural y la(s) bebida(s) con las cuales se podían acompañar; para el desarrollo de esta actividad se envió a la casa de los 85 servidores de la entidad, un kit de contenía los ingredientes necesarios para realizar la clase y una tarjeta de invitación a la misma; de acuerdo con los registros de conexión 59 servidores participaron en esta actividad, de los cuales 53 diligenciaron el formulario de registro de asistencia y evaluación de la actividad, obteniendo como resultado el 95% de impacto. 
3.	Stand up comedy: Presentación del humorista Lokillo, en la cual se abordaron desde la comedia temas relacionados con la adaptación al trabajo remoto desde casa y su impacto en el trabajo en equipo, la organización del tiempo, las reuniones y demás experiencias virtuales que se realizan desde la casa en tiempos de aislamiento social preventivo; de acuerdo con los registros de conexión 278 colaboradores de la ANLA, participaron en esta actividad, de los cuales 217 diligenciaron el formulario de registro de asistencia y evaluación de la actividad, obteniendo como resultado el 92% de impacto. 
4.	Día del Biólogo: El jueves 17 de septiembre, se envió una cybertarjeta donde se conmemora el Día del Biólogo, a 99 colaboradores de la entidad que desempeñan esta profesión.
5.	Webinar Trabajo en equipo y su impacto en el bienestar laboral: Conferencia web dirigida por el conferencista internacional Andrés Ramírez Ordoñez, Magister en Felicidad, creador de la primera cátedra de felicidad en Colombia, autor de los libros La felicidad es un electrocardiograma  y Entre rodaderos y escaleras, consultor de bienestar y felicidad organizacional para América Latina. Esta actividad de bienestar inició con la intervención del Director General, Rodrigo Suárez Castaño, quien dio la bienvenida a todos los participantes, enfatizando en la apuesta de la administración por promover el bienestar y la calidad de vida de los colaboradores de la familia ANLA; quien destacó que en virtud de ofrecer un trabajo digno, se propuso dos grandes objetivos  la ampliación de la planta de personal y  una nueva sede, los cuales se lograron en este año. Por su parte, Andrés Ramírez, invito a los participantes a escuchar su voz interior y cuestionar sus creencias, para abordar el concepto de bienestar, entendiendo que la organización ofrece unas condiciones para promover el bienestar de sus colaboradores pero que este no depende solamente del contexto organizacional, sino que se basa en las  relaciones humanas sanas, en este sentido, el trabajo en equipo exige que a pesar de las diferencias individuales, se pueda encontrar en el otro, un propósito para construir un camino juntos. Resalta la importancia de tejer una red de personas que encuentren lo que UNE. Adicionalmente hablo de las cualidades de un Líder SMILE, quien se debe a su equipo de trabajo, para sacar lo mejor cada uno, dedicando tiempo al dialogo activo y a la construcción de relaciones basados en la confianza y así obtener logro de las metas; de acuerdo con los registro de conexión 133 colaboradores de la ANLA, participaron en esta actividad, de los cuales 97 diligenciaron el formulario de registro de asistencia y evaluación de la actividad, obteniendo como resultado el 91% de impacto. 
6.	Taller para hacer un terrario en casa:  Experiencia orientada por un experto en terrarios, quién enseño a los participantes a elaborar uno en casa, dando a conocer el tipo de plantas empleadas, sus características, cuidados y consejos; enfatizando la importancia del cuidado del medio ambiente y haciendo un reconocimiento al noveno aniversario de creación de la ANLA – “27 de septiembre de 2011”, para el desarrollo de esta actividad se envió a la casa de los 87 servidores de la entidad, un kit de contenía los materiales necesarios para realizar el taller y una tarjeta de invitación al mismo; de los cuales 53 diligenciaron el formulario de registro de asistencia y evaluación de la actividad, obteniendo como resultado el 93% de impacto. 
7.	Día del Ecólogo: El miércoles 30 de septiembre, se envió una cybertarjeta donde  se conmemora el Día del Ecólogo, a  24 colaboradores de la entidad que desempeñan esta profesión.</t>
  </si>
  <si>
    <t>Tasa de calidad de capacitaciones iguales o superiores a 2 horas</t>
  </si>
  <si>
    <t>Durante el mes de ENERO realizaron las siguientes actividades (los porcentajes correspondientes de las actividades son de la evaluación que se les practica a los asistentes frente a la capacitación recibida):
1.	ACUERDOS DE GESTIÓN ENERO CALIFICACIÓN: 96.881%
2.	CONOCIENDO LA ANLA ENERO CALIFICACIÓN: 95.394%
3.	SILA-VITAL-ULISES ENERO CALIFICACIÓN: 92.003%
4.	SIGPRO ENERO CALIFICACIÓN: 93.573%
5.	ACTUALIZACIÓN EN LEGISLACION AMBIENTAL ENERO CALIFICACIÓN: 97.096%
Utilizando la formula del indicador se obtiene un promedio del 94,9894% de calificación (excelente- bueno) del evento cumpliendo con la meta mensual de pasar del 90% de porcentaje positivo en los eventos.</t>
  </si>
  <si>
    <t>Durante el mes de FEBRERO realizaron las siguientes actividades (los porcentajes correspondientes de las actividades son de la evaluación que se les practica a los asistentes frente a la capacitación recibida):
1.	SENSIBILIZACION GESTION DOCUMENTAL ENERO 99,0208333333333%
2.	CONTROL DISCIPLINARIO INTERNO ENERO 95,3303571428572%
3.	CONOCIENDO LA ANLA FEBRERO 98,2447916666667%
4.	SIGPRO FEBRERO 96,9891975308642%
5.	NEGOCIACION COLECTIVA FEBRERO 91,6458333333333%
6.	GESTION DOCUMENTAL FEBRERO 99,0416666666667%
7.	CADENAS PRODUCTIVAS FEBRERO 95,9904513888889%
8.	SECOP II FEBRERO 96,2878787878788%
9.	SILA VITAL ULISES FEBRERO 96,9285714285714%
10.	AGIL FEBRERO 97,8802083333333%
11.	DEFENSA JUDICIAL Y CONCILIACION EN LA ANLA 96,6845238095238%
12.	FORMULACION Y MEDICION DE INDICADORES 93,3%
Utilizando la formula del indicador se obtiene un promedio del 96,45% de calificación (excelente- bueno) del evento cumpliendo con la meta mensual de pasar del 90% de porcentaje positivo en los eventos.
Nota: durante el mes de febrero para el promedio reportado se tuvo en cuenta dos actividades del mes de enero que no se habían reportado.</t>
  </si>
  <si>
    <t>Durante el mes de MARZO realizaron las siguientes actividades (los porcentajes correspondientes de las actividades son de la evaluación que se les practica a los asistentes frente a la capacitación recibida):
AGIL MARZO	96,88%
LA FUNCIÓN ECOLÓGICA DE LA PROPIEDAD Y DE LA EMPRESA MARZO	93,00%
Utilizando la formula del indicador se obtiene un promedio del 94,4% de calificación (excelente- bueno) del evento cumpliendo con la meta mensual de pasar del 90% de porcentaje positivo en los eventos.</t>
  </si>
  <si>
    <t>Durante el mes de ABRIL realizaron las siguientes actividades (los porcentajes correspondientes de las actividades son de la evaluación que se les practica a los asistentes frente a la capacitación recibida):
Pago por Servicios Ambientales	94,73%
SILA y Vital	96,00%
AGIL	95,76%
AGIL	97,21%
AGIL	98,06%
Conociendo la ANLA	95,66%
SIGPRO	95,69%
Programa de coaching	100,00%
Programa de coaching	96,88%
Programa de coaching	98,13%
Programa de coaching	100,00%
Programa de coaching	94,38%
Programa de coaching	96,88%
Programa de coaching	96,63%
Programa de coaching	94,46%
Programa de coaching	99,38%
Programa de coaching	97,50%
Cambio climático	94,77%
Utilizando la formula del indicador se obtiene un promedio del 96,8% de calificación (excelente- bueno) del evento cumpliendo con la meta mensual de pasar del 90% de porcentaje positivo en los eventos.</t>
  </si>
  <si>
    <t>Durante el mes de MAYO se realizaron las siguientes actividades (los porcentajes correspondientes de las actividades son de la evaluación que se les practica a los asistentes frente a la capacitación recibida):
Decreto 1076	95,7%
Negociación y manejo de Conflictos	96,0%
Derechos de petición - Oportunidad en las respuestas de PQR	96,0%
Gestión documental	97,5%
Rendición de cuentas 	96,8%
Participación ciudadana	96,8%
Planificación y organización del tiempo	96,5%
Utilizando la formula del indicador se obtiene un promedio del 96,5% de calificación (excelente- bueno) del evento cumpliendo con la meta mensual de pasar del 90% de porcentaje positivo en los eventos.</t>
  </si>
  <si>
    <t>Durante el mes de JUNIO se realizaron las siguientes actividades (los porcentajes correspondientes de las actividades son de la evaluación que se les practica a los asistentes frente a la capacitación recibida):
1.	EVALUACIÓN DE IMPACTO AMBIENTAL Y VALORACION ECONÓMICA 	96,90%
2.	JURISPRUDENCIA AMBIENTAL	97,63%
3.	ESTABLECIMIENTO Y LEVANTAMIENTO DE MEDIDAS PREVENTIVAS	95,98%
4.	RACIONALIZACION DE TRÁMITES	94,86%
5.	OBJETIVOS DE DESARROLLO SOSTENIBLE	97,13%
6.	RESPONSABILIDAD DISCIPLINARIA DE SUPERVISORES	93,76%
Utilizando la formula del indicador se obtiene un promedio del 96,0421924508518% de calificación (excelente- bueno) del evento cumpliendo con la meta mensual de pasar del 90% de porcentaje positivo en los eventos.</t>
  </si>
  <si>
    <t>Durante el mes de JULIO se realizaron las siguientes actividades (los porcentajes correspondientes de las actividades son de la evaluación que se les practica a los asistentes frente a la capacitación recibida):
1.	SEGUIMIENTO AMBIENTAL DE PROYECTOS 	90,39%
2.	DÍA DEL SERVIDOR PÚBLICO	96,55%
3.	CONOCIENDO LA ANLA 	98,78%
4.	SILA Y VITAL	96,67%
5.	SIGPRO	97,70%
6.	CULTURAS ÉTNICAS	98,00%
7.	GESTIÓN CONTABLE Y TRIBUTARIA	96,95%
8.	CONTROL Y SUPERVISIÓN CONTRACTUAL 	98,99%
9.	LOS DELITOS AMBIENTALES EN COLOMBIA	97,02%
10.	COMPENSACIONES AMBIENTALES Y 1%	95,86%
11.	COMPENSACIONES AMBIENTALES Y 1%	97,65%
12.	CONSULTA PREVIA JUNIO	96,64%
Utilizando la formula del indicador se obtiene un promedio del 96,7655070165947% de calificación (excelente- bueno) del evento cumpliendo con la meta mensual de pasar del 90% de porcentaje positivo en los eventos.</t>
  </si>
  <si>
    <t>Durante el mes de AGOSTO se realizaron las siguientes actividades (los porcentajes correspondientes de las actividades son de la evaluación que se les practica a los asistentes frente a la capacitación recibida):
1.	MIPG CÓMO DAR VALOR AGREGADO Y CREDIBILIDAD AL CLIENTE  95,71%
2.	CAMBIO CLIMATICO	95,90%
3.	ACTUALIZACION EN LEGISLACION AMBIENTAL	98,09%
4.	RIESGOS INSTITUCIONALES	97,49%
5.	DERECHO PROBATORIO 	93,42%
6.	PLAN DE GESTIÓN DEL RIESGO - FOCO PRODUCCION, MANEJO Y TRANSPORTE DE PLAGUICIDAS 94,89%
7.	AGIL 1	96,71%
8.	AGIL 2	98,94%
Utilizando la formula del indicador se obtiene un promedio del 96,3933626983773% de calificación (excelente- bueno) del evento cumpliendo con la meta mensual de pasar del 90% de porcentaje positivo en los eventos.</t>
  </si>
  <si>
    <t>Durante el mes de SEPTIEMBRE se realizaron las siguientes actividades (los porcentajes correspondientes de las actividades son de la evaluación que se les practica a los asistentes frente a la capacitación recibida):
1.	REDACCIÓN PROFESIONAL	97,94%
2.	CONOCIENDO LA ANLA 	96,47%
3.	CONOCIENDO LA ANLA 	96,90%
4.	SILA y VITAL	97,18%
5.	SILA y VITAL	96,31%
6.	SIGPRO	97,63%
7.	SIGPRO	96,66%
8.	WORD 	96,36%
9.	GESTIÓN DEL CAMBIO 	95,38%
10.	AGIL	97,57%
Utilizando la formula del indicador se obtiene un promedio del 96,8392613927291% de calificación (excelente- bueno) del evento cumpliendo con la meta mensual de pasar del 90% de porcentaje positivo en los eventos.</t>
  </si>
  <si>
    <t>Disminuir en un 5% el nivel de estrés de funcionarios que puntuaron muy alto en la Batería de Riesgo Psico-social.</t>
  </si>
  <si>
    <t>Resultado de la Batería de riesgo Psicosocial 2019 en la variable \\\"muy alto en estrés” (-) Resultado de la Batería de riesgo Psicosocial en la variable\\\"muy alto en estrés” 2020</t>
  </si>
  <si>
    <t>Acciones para la disminución de la variable\\muy alto en estrés</t>
  </si>
  <si>
    <t>Acciones realizadas para reducir el nivel de estrés en los funcionarios/ Acciones Programadas para reducir el nivel de estrés en los funcionarios</t>
  </si>
  <si>
    <t>En el mes de enero del presente se aplicó la batería  a los funcionarios que no habían contestado en el mes de diciembre de 2019, se realizó la tabulación de 598 baterías, las acciones encaminadas a disminuir en un 5% los funcionarios con nivel  de estrés alto y muy alto se programaran una vez se cuente con el informe diagnóstico de riesgo psicosocial, está programado para el mes de febrero.</t>
  </si>
  <si>
    <t>En la evaluación de factores de riesgo psicosocial realizada en diciembre de 2019  se evaluaron 597  personas de las cuales 141 puntuaron alto y muy alto en el nivel de estrés, es decir el 23% de la población evaluada, el indicador de calidad de vida pretende que se disminuya en un 5% esta población, por lo cual se programaron 65 actividades en el Plan de Trabajo año 2020 de SST con el objetivo de disminuir esta población con estrés alto y muy alto.</t>
  </si>
  <si>
    <t>Durante el mes de FEBRERO se logró un avance del 7,69230769230769% correspondiente a las actividades que a continuación se describen:
A la fecha de hoy hemos realizado 5 actividades 1 de enero y 4 de febrero así:
Enero 
•	Programación y realización de actividades físicas para colaboradores - Hábitos de Vida Saludable: Pausas Activas 65 personas
Febrero 
•	Intervención en promoción y prevención -personal asintomático y riesgo bajo: Cobertura de 219 personas 
•	Intervención población en riesgo medio y alto - Escuela terapéutica Psicosocial: Cobertura de 28 personas en jornada integral de salud 
•	Revisión y Actualización del documento de Programa de Vigilancia Psicosocial
•	Revisión y Actualización del documento de Programa de Prevención de Riesgo Cardiovascular</t>
  </si>
  <si>
    <t>Durante el mes de MARZO se logró un avance del 12,3076923076923% correspondiente a las actividades que a continuación se describen:
1.	Intervención en promoción y prevención -personal asintomático y riesgo bajo - Pausas Activas
2.	Intervención población en riesgo medio y alto - Escuela terapéutica Psicosocial 
3.	Revisión y Actualización del documento de Programa de Vigilancia Psicosocial
4.	Retroalimentación  Individual a trabajadores que puntuaron  niveles  alto y muy alto en la  edición subjetiva de Factores de riesgo psicosocial.
5.	Realizar plan de capacitación 2020 sobre intervención Psicosocial 
6.	Jornadas de manejo de fatiga y carga mental (pausas cognitivas)  
7.	Capacitación  en prevención de riesgo psicosocial 
8.	Realización de envió de comunicados masivos sobre TIPs de prevención de riesgo cardiovascular.</t>
  </si>
  <si>
    <t>Durante el mes de ABRIL  se logró un avance del 10,7692307692308%% correspondiente a las actividades que a continuación se describen:
1.	Intervención en promoción y prevención -personal asintomático y riesgo bajo - Pausas Activas
2.	Intervención población en riesgo medio y alto - Escuela terapéutica Psicosocial 
3.	Retroalimentación  Individual a trabajadores que puntuaron  niveles  alto y muy alto en la medición subjetiva de Factores de riesgo psicosocial.
4.	Jornadas de manejo de fatiga y carga mental (pausas cognitivas)  
5.	Talleres lúdicos para  generar habilidades en la gestión de manejo de estrés (Reestructuración Cognitiva Inteligencia Emocional, Técnicas de Auto regulación y Autocuidado)
6.	Definición tematicas de capacitación virtual y TIPs de prevencion de riesgo cardiovascular (cigarrillo, comida, alcohol y drogas)
7.	Realizacion de pausas visuales</t>
  </si>
  <si>
    <t>Durante el mes de MAYO se logró un avance del 9,23076923076923%correspondiente a las actividades que a continuación se describen:
1.	Intervención en promoción y prevención -personal asintomático y riesgo bajo - Pausas Activas
2.	Intervención población en riesgo medio y alto - Escuela terapéutica Psicosocial
3.	Retroalimentación  Individual a trabajadores que puntuaron  niveles  alto y muy alto en la medición subjetiva de Factores de riesgo psicosocial.
4.	Jornadas de manejo de fatiga y carga mental (pausas cognitivas)  
5.	Capacitación  en prevención de riesgo psicosocial
6.	Programación y realización de actividades físicas para colaboradores - Hábitos de Vida Saludable</t>
  </si>
  <si>
    <t>Durante el mes de JUNIO se logró un avance del 7,69230769230769% correspondiente a las actividades que a continuación se describen:
1.	Intervención en promoción y prevención -personal asintomático y riesgo bajo - Pausas Activas
2.	Intervención población en riesgo medio y alto - Escuela terapéutica Psicosocial 
3.	Retroalimentación  Individual a trabajadores que puntuaron  niveles  alto y muy alto en la medición subjetiva de Factores de riesgo psicosocial.
4.	Jornadas de manejo de fatiga y carga mental (pausas cognitivas)  
5.	Realizacion de envio de comunicados masivos sobre TIPs de prevencion de riesgo cardiovascular.</t>
  </si>
  <si>
    <t>Durante el mes de JULIO se logró un avance del 7,69230769230769% correspondiente a las actividades que a continuación se describen:
1.	Intervención en promoción y prevención -personal asintomático y riesgo bajo - Pausas Activas
2.	Intervención población en riesgo medio y alto - Escuela terapéutica Psicosocial 
3.	Retroalimentación  Individual a trabajadores que puntuaron  niveles  alto y muy alto en la medición subjetiva de Factores de riesgo psicosocial.
4.	Jornadas de manejo de fatiga y carga mental (pausas cognitivas) .
5.	Capacitación  en prevención de riesgo psicosocial.</t>
  </si>
  <si>
    <t>Durante el mes de AGOSTO se logró un avance del 7,69230769230769% correspondiente a las actividades que a continuación se describen:
1.	Intervención en promoción y prevención -personal asintomático y riesgo bajo - Pausas Activas 
2.	Intervención población en riesgo medio y alto - Escuela terapéutica Psicosocial
3.	Retroalimentación  Individual a trabajadores que puntuaron  niveles  alto y muy alto en la medición subjetiva de Factores de riesgo psicosocial.
4.	Jornadas de manejo de fatiga y carga mental (pausas cognitivas)  
5.	Capacitación  en prevención de riesgo psicosocial 
6.	Definición temáticas de capacitación virtual y TIPs de prevención de riesgo cardiovascular (cigarrillo, comida, alcohol y drogas)</t>
  </si>
  <si>
    <t>Durante el mes de SEPTIEMBRE se logró un avance del 10,7692307692308% correspondiente a las actividades que a continuación se describen:
1.	Intervención en promoción y prevención -personal asintomático y riesgo bajo - Pausas Activas
2.	Intervención población en riesgo medio y alto - Escuela terapéutica 
3.	Retroalimentación  Individual a trabajadores que puntuaron  niveles  alto y muy alto en la medición subjetiva de Factores de riesgo psicosocial.
4.	Acompañamiento en la planificación y Aplicación de la batería riesgo psicosocial Cumplimiento de Resolución 26460819 y Ley 1616 Salud Mental Art 9.
5.	Talleres lúdicos para  generar habilidades en la gestión de manejo de estrés (Reestructuración Cognitiva Inteligencia Emocional, Técnicas de Auto regulación y Autocuidado)
6.	Realización de envío de comunicados masivos sobre TIPs de prevención de riesgo cardiovascular.- COVID-19
7.	Programación y realización de actividades físicas para colaboradores - Hábitos de Vida Saludable-COVID-19
Como actividad adicional al cronograma en el mes se reporta una actividad: 
1.	Capacitación  en prevención de riesgo psicosocial -Temas derivados de COVID-19</t>
  </si>
  <si>
    <t>Promedio de avance en metas de Producto SAF</t>
  </si>
  <si>
    <t>Promedio de avance en metas de gestión SAF</t>
  </si>
  <si>
    <t>Promedio Indicadores de Producto SAF</t>
  </si>
  <si>
    <t>Gobierno Digital, antes Gobierno en Línea</t>
  </si>
  <si>
    <t>Gestión tecnológica y seguridad de la información</t>
  </si>
  <si>
    <t>Oficina de Tecnologías de la Información</t>
  </si>
  <si>
    <t>Tecnologias de Información y Comunicación</t>
  </si>
  <si>
    <t>Sistema de interoperabilidad implementado</t>
  </si>
  <si>
    <t>Número de sistemas integrados</t>
  </si>
  <si>
    <t>Herramientas De Software Adquiridas</t>
  </si>
  <si>
    <t>No. de herramientas de software adquiridas</t>
  </si>
  <si>
    <t>FERNANDO OSPINA MARIN [Líder]</t>
  </si>
  <si>
    <t>Se está definiendo el alcance de la contratación del API GATEWAY que permitirá la interoperabilidad entre sistemas de información y servicios de acuerdo con la meta definida.</t>
  </si>
  <si>
    <t>Actualmente el proceso TIC se encuentra realizando las actividades precontractuales necesarias para la adquisición de los sistemas y las tecnologías planeadas en el Plan de Adquisiciones 2020</t>
  </si>
  <si>
    <t>Se está definiendo el alcance de la contratación del API GATEWAY que permitirá la interoperabilidad entre sistemas de información y servicios de acuerdo con la meta definida.
En el mes de marzo se definió la ficha técnica de APIGATEWAY solicitaron cotizaciones con fines de estudio de mercado a varias empresas colombianas.</t>
  </si>
  <si>
    <t>En el mes de marzo se firmó el contrato correspondiente a la renovación de licencias y servicios geoespaciales PLANET por valor de $1.141.000.0000
Actualmente el proceso TIC se encuentra realizando las actividades precontractuales necesarias para la adquisición de los sistemas y las tecnologías planeadas en el Plan de Adquisiciones 2020</t>
  </si>
  <si>
    <t>Se firmó el contrato correspondiente a la renovación de licencias y servicios geoespaciales PLANET por valor de $1.141.000.0000
Actualmente el proceso TIC se encuentra realizando las actividades precontractuales necesarias para la adquisición de los sistemas y las tecnologías planeadas en el Plan de Adquisiciones 2020</t>
  </si>
  <si>
    <t>Adquisición de Software:
1-Se firmó el contrato correspondiente a la renovación de licencias y servicios geoespaciales SKYSAT PLANET por valor de $1.141.000.0000
Actualmente la OTI se encuentra realizando las actividades precontractuales necesarias para la adquisición de los sistemas y las tecnologías proyectadas en el Plan de Adquisiciones 2020. (Ver Anexo Seguimiento y Avance de Procesos Contractuales OTI)
Es importante mencionar que durante el primer semestre 2020 la OTI priorizó el fortalecimiento de su equipo de trabajo a través de la contratación por prestación de servicios de profesionales y tecnicos para aumentar la oportunidad en la respuesta a requerimientos TI de caracter estratégico y operativo. Los cambios más representativos que justifican estas contrataciones son la reestructuración de la Entidad, el traslado a la nueva sede, la emergencia sanitaria COVID-19 y el incremento de solicitudes de desarrollo de software.  Lo anterior se evidencia con los registros presupuestales de las actividades de FONAM TIC asociadas a recurso humano "Actualizar y desarrollar nuevas funcionalidades en los sistemas de información institucional de acuerdo a las necesidades misionales, estratégicas y de apoyo de la entidad."  y "Brindar asesoría técnica y soporte tecnológico a los procesos acorde con los requerimientos institucionales y gubernamentales." Ver herramienta PAI.
Durante el segundo semestre 2020 se realizará la gestión requerida desde lo precontractual, contractual y poscontractual para cumplir las metas proyectadas en la vigencia 2020.</t>
  </si>
  <si>
    <t>Avances en las actividades asociadas a lograr la interoperabilidad de 5 sistemas institucionales: 
Para lograr la interoperabilidad de los sistemas institucionales y servicios tecnológicos de la ANLA, se requiere adquirir, parametrizar y desplegar la solución API GATEWAY.
Con corte a 30 de junio de 2020, las actividades precontractuales que se han realizado son las siguientes:
1-Fomulación de ficha técnica.
2-Solicitud de cotizaciones con fines de estudio de mercado.
3-Elaboración de primera versión de Estudios Previos
4-Gestión de Certificado de Disponibilidad Presupuestal
La radicación del proceso en el Grupo de Contratos se estima para el mes de Julio de 2020, de acuerdo con lo proyectado en el Plan de Adquisiciones OTI y la ejecución del contrato se realizará en el segundo semestre de la presente vigencia.</t>
  </si>
  <si>
    <t>Adquisición de Software:
1-Se firmó el contrato correspondiente a la renovación de licencias y servicios geoespaciales SKYSAT PLANET por valor de $1.141.000.0000
2-Se generó la aceptación de oferta correspondiente a la adquisición de licencias ADOBE CREATIVE SUITE por valor de  $17.995.000
Actualmente la OTI se encuentra realizando las actividades precontractuales necesarias para la adquisición de los sistemas y las tecnologías proyectadas en el Plan de Adquisiciones 2020. (Ver Anexo A Seguimiento y Avance de Procesos Contractuales OTI)
Es importante mencionar que durante el primer semestre 2020 la OTI priorizó el fortalecimiento de su equipo de trabajo a través de la contratación por prestación de servicios de profesionales y tecnicos para aumentar la oportunidad en la respuesta a requerimientos TI de caracter estratégico y operativo. Los cambios más representativos que justifican estas contrataciones son la reestructuración de la Entidad, el traslado a la nueva sede, la emergencia sanitaria COVID-19 y el incremento de solicitudes de desarrollo de software.  Lo anterior se evidencia con los registros presupuestales de las actividades de FONAM TIC asociadas a recurso humano "Actualizar y desarrollar nuevas funcionalidades en los sistemas de información institucional de acuerdo a las necesidades misionales, estratégicas y de apoyo de la entidad."  y "Brindar asesoría técnica y soporte tecnológico a los procesos acorde con los requerimientos institucionales y gubernamentales." Ver herramienta PAI.
Durante el segundo semestre 2020 se realizará la gestión requerida desde lo precontractual, contractual y poscontractual para cumplir las metas proyectadas en la vigencia 2020.</t>
  </si>
  <si>
    <t>Equipos De Hardware Adquiridos</t>
  </si>
  <si>
    <t>No. de unidades de hardware adquiridos</t>
  </si>
  <si>
    <t>Adquisición de Hardware:
Actualmente la OTI se encuentra realizando las actividades precontractuales necesarias para la adquisición de los sistemas y las tecnologías proyectadas en el Plan de Adquisiciones 2020. (Ver Anexo Seguimiento y Avance de Procesos Contractuales OTI)
Es importante mencionar que durante el primer semestre 2020 la OTI priorizó el fortalecimiento de su equipo de trabajo a través de la contratación por prestación de servicios de profesionales y tecnicos para aumentar la oportunidad en la respuesta a requerimientos TI de caracter estratégico y operativo. Los cambios más representativos que justifican estas contrataciones son la reestructuración de la Entidad, el traslado a la nueva sede, la emergencia sanitaria COVID-19 y el incremento de solicitudes de desarrollo de software.  Lo anterior se evidencia con los registros presupuestales de las actividades de FONAM TIC asociadas a recurso humano "Actualizar y desarrollar nuevas funcionalidades en los sistemas de información institucional de acuerdo a las necesidades misionales, estratégicas y de apoyo de la entidad."  y "Brindar asesoría técnica y soporte tecnológico a los procesos acorde con los requerimientos institucionales y gubernamentales." Ver herramienta PAI.
Durante el segundo semestre 2020 se realizará la gestión requerida desde lo precontractual, contractual y poscontractual para cumplir las metas proyectadas en la vigencia 2020.</t>
  </si>
  <si>
    <t>Usuarios del sistema</t>
  </si>
  <si>
    <t>Número de usuarios del sistema</t>
  </si>
  <si>
    <t>Módulos Del Sistema De Información Actualizados</t>
  </si>
  <si>
    <t>Número de módulos actualizados/optimizados</t>
  </si>
  <si>
    <t>Aunque se realizó el paso a producción del aplicativo de contingencias en la última semana de enero, aún no se ha registrado una cifra contundente de usuarios impactados con la solución. Se reportará en febrero.</t>
  </si>
  <si>
    <t>Se realizó el análisis, diseño y desarrollo del aplicativo de contingencias en la Ventanilla VITAL.</t>
  </si>
  <si>
    <t xml:space="preserve">Aunque se realizó el paso a producción del aplicativo de contingencias y se reportaron 385 usuarios </t>
  </si>
  <si>
    <t>Se realizó el paso a producción del aplicativo de contingencias y se reportaron 385 usuarios impactados.</t>
  </si>
  <si>
    <t xml:space="preserve">Se realizó el análisis, diseño y desarrollo del aplicativo de contingencias en la Ventanilla VITAL.
Se realizó el análisis, diseño, desarrollo y puesta en producción de la aplicación ANLA en las plataforma IOS de APPLE.
Se realizó el análisis, diseño, desarrollo y puesta en producción del formulario de Sistema de Recolección Selectiva SRS. </t>
  </si>
  <si>
    <t>Se realizó el análisis, diseño y desarrollo del aplicativo de contingencias en la Ventanilla VITAL.
Se realizó el análisis, diseño, desarrollo y puesta en producción de la aplicación ANLA en las plataforma IOS de APPLE.
Se realizó el análisis, diseño, desarrollo y puesta en producción del formulario de Sistema de Recolección Selectiva SRS. 
Se realizó la maquetación , el diseño y puesta en producción de los micrositios del portal web Mecanismos de Participación Ciudadana, Cooperación Internacional, Nuevo Modelo de Licenciamiento Ambiental y Cambio Climático</t>
  </si>
  <si>
    <t>Número de Usuarios impactados con los desarrollos de software OTI:
1- Con el paso a producción de del módulo de contingencias se reportaron 385 usuarios impactados en su primer mes de funcionamiento de acuerdo con el reporte de la Ventanilla VITAL.
2- Con el paso a producción de los micrositios del portal web, de acuerdo con las estadísticas de la cuenta de Google Analytics de la ANLA se reportaron 1799  visitas de usuarios  en el mes de Junio distribuidas así:
A. Mecanismos de Participación Ciudadana: 361 vistas a las categorías del micrositio diseñado y puesto en producción por OTI.
B. Cooperación Internacional: 39 vistas a las categorías del micrositio diseñado y puesto en producción por OTI.
C.  Nuevo Modelo de Licenciamiento Ambiental: 1.399 vistas a las categorías y documentos del micrositio diseñado y puesto en producción por OTI.
Para un total de 2.184 usuarios impactados con proyectos desarrollados por OTI,  lo cual supera el indicador programado inicialmente. Se requiere realizar el redimensionamiento antes del próximo reporte.</t>
  </si>
  <si>
    <t>Módulos Del Sistema De Información Actualizados:
20% -&gt;-Se realizó el análisis, diseño y desarrollo del aplicativo de contingencias en la Ventanilla VITAL.
20%-&gt;-Se realizó el análisis, diseño, desarrollo y puesta en producción de la aplicación ANLA en las plataforma IOS de APPLE.
20% -&gt;-Se realizó el análisis, diseño, desarrollo y puesta en producción del formulario de Sistema de Recolección Selectiva SRS. 
20%-&gt;-Se realizó la maquetación , el diseño y puesta en producción de los micrositios del portal web Mecanismos de Participación Ciudadana, Cooperación Internacional, Nuevo Modelo de Licenciamiento Ambiental y Cambio Climático</t>
  </si>
  <si>
    <t>Procesos del modelo de gestión de seguridad implementado</t>
  </si>
  <si>
    <t># procesos de perfilamiento de herramientas de gestión de seguridad de la información ejecutados</t>
  </si>
  <si>
    <t>Sistemas de seguridad electrónica adquiridos</t>
  </si>
  <si>
    <t># de componentes de seguridad adquiridos o actualizados</t>
  </si>
  <si>
    <t>Se realizó el perfilamiento de la herramienta espacializada de gestion y restauración de copias de respaldo NETBACKUP.</t>
  </si>
  <si>
    <t>Se realizó el perfilamiento de la herramienta espacializada de gestion y restauración de copias de respaldo NETBACKUP.
Se realizó el perfilamiento de VMWARE</t>
  </si>
  <si>
    <t>Avances en el perfilamiento de herramientas asociadas a seguridad realizados a la fecha:
1- Herramienta de gestión de máquinas virtuales VMWARE
2- Herramienta de gestion y restauración de copias de respaldo NETBACKUP.</t>
  </si>
  <si>
    <t>Adquisición de Componentes de Seguridad:
1- Se firmó el contrato correspondiente a la adquisición de productos y servicios MICROSOFT por valor de $1.175.004.552,75
Actualmente la OTI se encuentra realizando las actividades precontractuales necesarias para la adquisición de los sistemas y las tecnologías proyectadas en el Plan de Adquisiciones 2020. (Ver Anexo Seguimiento y Avance de Procesos Contractuales OTI)
Es importante mencionar que durante el primer semestre 2020 la OTI priorizó el fortalecimiento de su equipo de trabajo a través de la contratación por prestación de servicios de profesionales y tecnicos para aumentar la oportunidad en la respuesta a requerimientos TI de caracter estratégico y operativo. Los cambios más representativos que justifican estas contrataciones son la reestructuración de la Entidad, el traslado a la nueva sede, la emergencia sanitaria COVID-19 y el incremento de solicitudes de desarrollo de software.  Lo anterior se evidencia con los registros presupuestales de las actividades de FONAM TIC asociadas a recurso humano "Actualizar y desarrollar nuevas funcionalidades en los sistemas de información institucional de acuerdo a las necesidades misionales, estratégicas y de apoyo de la entidad."  y "Brindar asesoría técnica y soporte tecnológico a los procesos acorde con los requerimientos institucionales y gubernamentales." Ver herramienta PAI.
Durante el segundo semestre 2020 se realizará la gestión requerida desde lo precontractual, contractual y poscontractual para cumplir las metas proyectadas en la vigencia 2020.</t>
  </si>
  <si>
    <t>Implementación del Plan de Tratamiento de Riesgos de Seguridad y Privacidad de la Información 2020 -2024</t>
  </si>
  <si>
    <t># de actividades ejecutadas / # actividades proyectadas para 2021</t>
  </si>
  <si>
    <t>Formulación, presentación, recepción de recomendaciones, realización de ajustes  y aprobación por parte del Comité Directivo al Implementación del Plan de Tratamiento de Riesgos de Seguridad y Privacidad de la Información 2020 -2022</t>
  </si>
  <si>
    <t>5%
Formulación, presentación, recepción de recomendaciones, realización de ajustes  y aprobación por parte del Comité Directivo al Implementación del Plan de Tratamiento de Riesgos de Seguridad y Privacidad de la Información 2020 -2022
25%
Realización de 2 mesas de trabajo con la OAP y Control Interno y consolidación de nueva propuesta de mapa de riesgos de seguridad de la información de acuerdo con las nuevas necesitades y visión de la OTI.</t>
  </si>
  <si>
    <t xml:space="preserve">5%
Formulación, presentación, recepción de recomendaciones, realización de ajustes  y aprobación por parte del Comité Directivo al Implementación del Plan de Tratamiento de Riesgos de Seguridad y Privacidad de la Información 2020 -2022
25%
Realización de 2 mesas de trabajo con la OAP y Control Interno y consolidación de nueva propuesta de mapa de riesgos de seguridad de la información de acuerdo con las nuevas necesitades y visión de la OTI.
10%
Revisar la documentación vigente de gestión de riesgos de seguridad de la información publicada por el Departamento Administrativo de la función pública y el Ministerio de TIC. 
40%
Proponer criterios de impacto/calificación de riesgos de seguridad digital y participar en las mesas de trabajo de actualización de la política de riesgos de la ANLA </t>
  </si>
  <si>
    <t>Plan de Tratamiento de Riesgos de Seguridad y Privacidad de la Información: 
1-Se formula y gestiona la aprobación del Plan de Tratamiento de Riesgos de Seguridad y Privacidad de la Información ante el Comité Institucional de Gestión y Desempeño
2-Se realizaron mesas de trabajo con la Oficina Asesora de Planeación para la incorporación de riesgos de seguridad de la información en el mapa de riesgos institucional de acuerdo con la metodología de la ANLA
3-Se revisó la documentación vigente de gestión de riesgos de seguridad de la información publicada por el Departamento Administrativo de la función pública y el Ministerio de TIC.
4-Se proponen criterios de impacto/calificación de riesgos de seguridad digital y participar en las mesas de trabajo de actualización de la política de riesgos de la ANLA 
5-Se realizaron perfilamientos de herramientas especializadas NETBACKUP y VMWARE en términos de seguridad de la información y buenas prácticas de administración. 
(Ver Anexo B Avance Plan Integrado OTI Semestre I)</t>
  </si>
  <si>
    <t>Implementación del Plan de Seguridad y Privacidad de la Información 2020 -2024</t>
  </si>
  <si>
    <t># de actividades ejecutadas / # actividades proyectadas para 2020</t>
  </si>
  <si>
    <t>Formulación, presentación, recepción de recomendaciones, realización de ajustes  y aprobación por parte del Comité Directivo al Implementación del Plan de Seguridad y Privacidad de la Información 2020 -2022</t>
  </si>
  <si>
    <t xml:space="preserve">5%
Formulación, presentación, recepción de recomendaciones, realización de ajustes  y aprobación por parte del Comité Directivo al Implementación del Plan de Seguridad y Privacidad de la Información 2020 -2022
15%
-Prueba de concepto Microsoft-GLUP estado de seguridad Office 365.
</t>
  </si>
  <si>
    <t>Plan de Seguridad y Privacidad de la Información:
1- Se formula y gestiona la aprobación por parte del Comité de Gestión Institucional de Gestión y Desempeño del Plan de Seguridad y Privacidad de la Información 2020
2-Se definió e incorporó el rol de Oficial de Seguridad de la Información en la OTI.
3-Se realizó la revisión de la política de seguridad de la información, se encuentra pendiente de oficialización por parte de la OAP.
4-Se proyectó cronograma para el levantamiento de información con los nuevos grupos y se ajustó el instrumento para la recolección de datos.
5-Se realizaron pruebas de concepto con proveedores especializados para fortalecer la seguridad de la información (TRENDMICRO, GLUP y SAFEID)
6-Se definieron acciones de mejora de acuerdo con los resultados de la preauditoría interna de Seguridad de la Información con base en la NTC ISO IEC 27001:2013 realizada en 2019 
7-Se realizó la ficha técnica y dimensionamiento inicial de la contratación a través de visitas al Datacenter con proveedores para proyectar el alcance del traslado
(Ver Anexo B Avance Plan Integrado OTI Semestre I)</t>
  </si>
  <si>
    <t>Implementación del Plan Estratégico de Tecnologías de la Información y las Comunicaciones PETIC 2020 -2024</t>
  </si>
  <si>
    <t>Actividades De Soporte Y Gestión De Procesos Realizadas</t>
  </si>
  <si>
    <t xml:space="preserve">Formulación, presentación, recepción de recomendaciones, realización de ajustes  y aprobación por parte del Comité Directivo al Plan Estratégico de TI 2020-2022 </t>
  </si>
  <si>
    <t>Implementación y despliegue del pool de direcciones de LACNIC, así como la configuración requerida para la puesta en marcha del protocolo IPV6 en la ANLA, como parte del cumplimiento de los plazos y lineamientos de MinTIC.</t>
  </si>
  <si>
    <t xml:space="preserve">5%
-Formulación, presentación, recepción de recomendaciones, realización de ajustes  y aprobación por parte del Comité Directivo al Plan Estratégico de TI 2020-2022 
20%
-Elaboración de tableros de control, reportes e informes de periodicidad mensual para el seguimiento de los proyectos de la OTI.
</t>
  </si>
  <si>
    <t xml:space="preserve">5%
-Formulación, presentación, recepción de recomendaciones, realización de ajustes  y aprobación por parte del Comité Directivo al Plan Estratégico de TI 2020-2022 
20%
-Elaboración de tableros de control, reportes e informes de periodicidad mensual para el seguimiento de los proyectos de la OTI.
6,25%
Dimensionar los requerimientos tecnológicos necesarios para garantizar la operación tecnológica de la Entidad en la nueva sede y ejecutar las acciones proyectadas en ese ejercicio.
6,25%
-Realizar análisis del mercado del gestor documental </t>
  </si>
  <si>
    <t>Avances en las acciones asociadas al PETI:
1-Se formuló y gestionó la aprobación por parte del Comité de Gestión Institucional de Gestión y Desempeño del   Plan Estratégico de TI 2020-2022
2-Se elaboraron de tableros de control, reportes e informes de periodicidad mensual para el seguimiento de los proyectos de la OTI.
3-Se realizó la definición de la ficha técnica, el alcance de la solución y la ejecución de pruebas de concepto para la elección del software de analítica inicial de datos.
4-Se realizó el análisis del mercado del gestor documental
5-Se avanzó en la realización del inventario y en el inicio de ordenamiento de componentes de información geográfica 
6-Se elaboraron los procedimientos y formatos para la estandarización del proceso de desarrollo de software.
7-Se gestionó con Microsoft y Planet jornadas de transferencia de conocimiento a integrantes del equipo TI. 
8-Se gestionó un acercamiento con un asesor en temas de cooperación internacional del Gobierno de Canadá.
9-La OTI intervino en las jornadas de inducción realizadas por la Entidad (VITAL, SILA, SIGPRO, Seguridad de la Información) y realizó capacitaciones a través de TEAMS a autoridades ambientales y empresas que son usuarias VITAL
10-Se trabajó en la desagregación de componentes modulares y de bases de datos de VITAL para la entrega de la Ventanilla a MADS en el marco del Decreto Ley 2106 de 2019
11-Se definieron los ANS de alto nivel para la solución DUPONT de fibra óptica de la nueva sede y los ANS para la solución de tickets de salvoconducto MADS
12-Se elaboró el tablero de control precontractual para el seguimiento de los procesos contractuales del Plan de Adquisiciones OTI 2020
13-Se realizó la parametrización, despliegue y transferencia de conocimiento al equipo TI en ambiente de pruebas. 
14-Se realizó la planeación y gestión requerida para garantizar la operación en nueva sede a través de acciones administrativas/técnicas para el traslado del cable para la conectividad al nuevo edificio, análisis escenarios de alquiler de equipos frente al presupuesto vs las necesidades de la Entidad, solución de fibra óptica DUPONT, traslado y configuración de impresoras, así como de las salas de audiencia y equipos de cómputo de la sede actual a la nueva sede.
(Ver Anexo B Avance Plan Integrado OTI Semestre I)</t>
  </si>
  <si>
    <t xml:space="preserve">Avances en las Actividades de Soporte y Gestión de Procesos de infraestructura realizadas:
33,3%-&gt; Implementación y despliegue del pool de direcciones de LACNIC, así como la configuración requerida para la puesta en marcha del protocolo IPV6 en la ANLA, como parte del cumplimiento de los plazos y lineamientos de MinTIC.
33,3% -&gt;  Definición de ANS (Acuerdos de Nivel de Servicio) de alto nivel para la solución de conectividad DUPONT de fibra óptica de la nueva sede. </t>
  </si>
  <si>
    <t>Datos publicados en el portal Datos abiertos del Gobierno colombiano</t>
  </si>
  <si>
    <t>Conjunto de datos publicados en el portal Datos abiertos del Gobierno colombiano</t>
  </si>
  <si>
    <t>No se estimó publicación de datos abiertos para este mes</t>
  </si>
  <si>
    <t xml:space="preserve">Avances en las actividades gestionadas frente a la publicación de nuevos conjuntos de datos abiertos y la actualización de los datos ya publicados en www.datos.gov.co:
1. Elaboración de informe del estado actual de los conjuntos de datos publicados en el portal datos.gov.co. 
2. Se elaboró el documento propuesta conceptual de identificación, priorización y publicación de datos abiertos en su primera versión.
3. Se realizó la identificación de los 3 conjuntos de datos abiertos geoespaciales a publicar: Puntos de Captación, Puntos de vertimiento y Nuevo esquema de regionalización. </t>
  </si>
  <si>
    <t>Procesos disciplinarios</t>
  </si>
  <si>
    <t>Oficina de Control Disciplinario Interno</t>
  </si>
  <si>
    <t>Control Disciplinario</t>
  </si>
  <si>
    <t>Porcentaje de trámites de actuaciones disciplinarias</t>
  </si>
  <si>
    <t>Número total de procesos impulsados / Número total de procesos</t>
  </si>
  <si>
    <t>NIDIAN CONSTANZA BARRETO CABALLERO [Coordinador(a)]</t>
  </si>
  <si>
    <t>Durante el mes de enero se emitieron 36 Actos administrativos.</t>
  </si>
  <si>
    <t>Durante el mes de febrero se emitieron 60 Actos administrativos.</t>
  </si>
  <si>
    <t>Durante el mes de marzo se emitieron  8 Actos administrativos.</t>
  </si>
  <si>
    <t>El indicador no presentan acciones durante el mes de abril, dado a que los terminos están suspendidos. Lo anterior devido a la contingencia del COVID 19</t>
  </si>
  <si>
    <t>se debe aclarar que de acuerdo con las Resoluciones No. 461 del 18 de marzo de 2020 se suspenden los términos procesales en las actuaciones disciplinarias, modificada por la Resolución No. 0574 del 31 de marzo de 2020 la cual modifica el artículo primero de la Resolución No. 461 del 18 de marzo de 2020, a fin de ordenar la suspensión de los términos de caducidad y prescripción de las actuaciones disciplinarias de la Oficina de Control Disciplinario Interno, hasta tanto se pueda asegurar el debido proceso, y seguridad de los sujetos procesales.</t>
  </si>
  <si>
    <t>Se debe aclarar que de acuerdo con las Resoluciones No. 461 del 18 de marzo de 2020 se suspenden los términos procesales en las actuaciones disciplinarias, modificada por la Resolución No. 0574 del 31 de marzo de 2020 la cual modifica el artículo primero de la Resolución No. 461 del 18 de marzo de 2020, a fin de ordenar la suspensión de los términos de caducidad y prescripción de las actuaciones disciplinarias de la Oficina de Control Disciplinario Interno, hasta tanto se pueda asegurar el debido proceso, y seguridad de los sujetos procesales.</t>
  </si>
  <si>
    <t>Grado de satisfacción en acciones preventivas de los colaboradores capacitados</t>
  </si>
  <si>
    <t>Porcentaje de satisfacción alcanzado por los colaboradores capacitados en acciones preventivas</t>
  </si>
  <si>
    <t>Durante el mes de enero se capacitan 300 Servidores de Anla con alto grado de satisfacción.</t>
  </si>
  <si>
    <t>Durante el mes de febrero se capacitan 43 colaboradores de Anla con alto grado de satisfacción.</t>
  </si>
  <si>
    <t>Durante el mes de marzo se capacitan 17  colaboradores de Anla con alto grado de satisfacción.</t>
  </si>
  <si>
    <t>Este mes no se realizan capacitaciones</t>
  </si>
  <si>
    <t>Durante el mes de junio se capacitan 30  colaboradores de Anla con alto grado de satisfacción.</t>
  </si>
  <si>
    <t>Procesos (activos a 30 septiembre 2019) en etapa de cargos o finalizada a 31 de diciembre 2020</t>
  </si>
  <si>
    <t>Número de procesos avanzados a la etapa de cargos o finalizados/104 procesos (año 2015 a septiembre 30) terminados</t>
  </si>
  <si>
    <t>Este Indicador tiene el porcentaje de las tareas realizadas durante la vigencia es importante mencionar que se mide anualmenta mide anualmenre.</t>
  </si>
  <si>
    <t>Este Indicador tiene el porcentaje de las tareas realizadas durante la vigencia es importante mencionar que se mide anualmenta mide anualmente, y el porcentaje arrojado es la suma de cada mes.</t>
  </si>
  <si>
    <t>REPORTE AVANCE ABRIL</t>
  </si>
  <si>
    <t>REPORTE AVANCE MAYO</t>
  </si>
  <si>
    <t>REPORTE AVANCE JUNIO</t>
  </si>
  <si>
    <t>Control Interno</t>
  </si>
  <si>
    <t>Control a la Gestión</t>
  </si>
  <si>
    <t>Nivel de efectividad de las acciones de mejoramiento definidas por la entidad</t>
  </si>
  <si>
    <t>Número de acciones efectivas (PM interno + PM CGR) / Total de acciones evaluadas (PM interno + PM CGR)</t>
  </si>
  <si>
    <t>Efectividad de las acciones del plan de mejoramiento interno</t>
  </si>
  <si>
    <t>No. Total de acciones con concepto positivo /No. Total de acciones evaluadas del plan de mejoramineto interno</t>
  </si>
  <si>
    <t>Jefe de Oficina Control Interno o quien haga sus veces</t>
  </si>
  <si>
    <t>Interno = 0
CGR = Cerradas 50 de 56</t>
  </si>
  <si>
    <t>La evaluación de acciones de PM Interno se iniciará en febrero de 2020.</t>
  </si>
  <si>
    <t>Se realizó la evaluación de 32 acciones de las cuales se cerraron 26, es decir el 81,2%.</t>
  </si>
  <si>
    <t>Evaluadas en total 178 de las cuales se cerraron 161</t>
  </si>
  <si>
    <r>
      <rPr>
        <b/>
        <sz val="11"/>
        <color theme="1"/>
        <rFont val="Calibri"/>
        <family val="2"/>
        <scheme val="minor"/>
      </rPr>
      <t>Febrero</t>
    </r>
    <r>
      <rPr>
        <sz val="11"/>
        <color theme="1"/>
        <rFont val="Calibri"/>
        <family val="2"/>
        <scheme val="minor"/>
      </rPr>
      <t xml:space="preserve">: Se realizó la evaluación de 32 acciones de las cuales se cerraron 26, es decir el 81,2%.
</t>
    </r>
    <r>
      <rPr>
        <b/>
        <sz val="11"/>
        <color theme="1"/>
        <rFont val="Calibri"/>
        <family val="2"/>
        <scheme val="minor"/>
      </rPr>
      <t>Marzo:</t>
    </r>
    <r>
      <rPr>
        <sz val="11"/>
        <color theme="1"/>
        <rFont val="Calibri"/>
        <family val="2"/>
        <scheme val="minor"/>
      </rPr>
      <t xml:space="preserve"> Se realizó la evaluación de 28 acciones de las cuales se cerraron 27, es decir el 96%.
El porcentaje acumulado se calcula sumando la totalidad de acciones evaluadas en la vigencia (60 acciones) sobre las cerradas (53 acciones); esto arroja un avance acumulado de 88%</t>
    </r>
  </si>
  <si>
    <t>Evaluadas en total 181 de las cuales se cerraron 164</t>
  </si>
  <si>
    <r>
      <rPr>
        <b/>
        <sz val="11"/>
        <color theme="1"/>
        <rFont val="Calibri"/>
        <family val="2"/>
        <scheme val="minor"/>
      </rPr>
      <t>Febrero</t>
    </r>
    <r>
      <rPr>
        <sz val="11"/>
        <color theme="1"/>
        <rFont val="Calibri"/>
        <family val="2"/>
        <scheme val="minor"/>
      </rPr>
      <t xml:space="preserve">: Se realizó la evaluación de 32 acciones de las cuales se cerraron 26, es decir el 81,2%.
</t>
    </r>
    <r>
      <rPr>
        <b/>
        <sz val="11"/>
        <color theme="1"/>
        <rFont val="Calibri"/>
        <family val="2"/>
        <scheme val="minor"/>
      </rPr>
      <t>Marzo:</t>
    </r>
    <r>
      <rPr>
        <sz val="11"/>
        <color theme="1"/>
        <rFont val="Calibri"/>
        <family val="2"/>
        <scheme val="minor"/>
      </rPr>
      <t xml:space="preserve"> Se realizó la evaluación de 28 acciones de las cuales se cerraron 27, es decir el 96%.
El porcentaje acumulado se calcula sumando la totalidad de acciones evaluadas en la vigencia (60 acciones) sobre las cerradas (53 acciones); esto arroja un avance acumulado de 88%
</t>
    </r>
    <r>
      <rPr>
        <b/>
        <sz val="11"/>
        <color theme="1"/>
        <rFont val="Calibri"/>
        <family val="2"/>
        <scheme val="minor"/>
      </rPr>
      <t>Abril</t>
    </r>
    <r>
      <rPr>
        <sz val="11"/>
        <color theme="1"/>
        <rFont val="Calibri"/>
        <family val="2"/>
        <scheme val="minor"/>
      </rPr>
      <t>: Se realizó la evaluación de 3 acciones de las cuales se cerraron 3, es decir el 100%.
El porcentaje acumulado se calcula sumando la totalidad de acciones evaluadas en la vigencia (63 acciones) sobre las cerradas (56 acciones); esto arroja un avance acumulado de 89%</t>
    </r>
  </si>
  <si>
    <t>Evaluadas en total 198 de las cuales se cerraron 177</t>
  </si>
  <si>
    <r>
      <rPr>
        <b/>
        <sz val="11"/>
        <color theme="1"/>
        <rFont val="Calibri"/>
        <family val="2"/>
        <scheme val="minor"/>
      </rPr>
      <t>Febrero</t>
    </r>
    <r>
      <rPr>
        <sz val="11"/>
        <color theme="1"/>
        <rFont val="Calibri"/>
        <family val="2"/>
        <scheme val="minor"/>
      </rPr>
      <t xml:space="preserve">: Se realizó la evaluación de 32 acciones de las cuales se cerraron 26, es decir el 81,2%.
</t>
    </r>
    <r>
      <rPr>
        <b/>
        <sz val="11"/>
        <color theme="1"/>
        <rFont val="Calibri"/>
        <family val="2"/>
        <scheme val="minor"/>
      </rPr>
      <t>Marzo:</t>
    </r>
    <r>
      <rPr>
        <sz val="11"/>
        <color theme="1"/>
        <rFont val="Calibri"/>
        <family val="2"/>
        <scheme val="minor"/>
      </rPr>
      <t xml:space="preserve"> Se realizó la evaluación de 28 acciones de las cuales se cerraron 27, es decir el 96%.
El porcentaje acumulado se calcula sumando la totalidad de acciones evaluadas en la vigencia (60 acciones) sobre las cerradas (53 acciones); esto arroja un avance acumulado de 88%
</t>
    </r>
    <r>
      <rPr>
        <b/>
        <sz val="11"/>
        <color theme="1"/>
        <rFont val="Calibri"/>
        <family val="2"/>
        <scheme val="minor"/>
      </rPr>
      <t>Abril</t>
    </r>
    <r>
      <rPr>
        <sz val="11"/>
        <color theme="1"/>
        <rFont val="Calibri"/>
        <family val="2"/>
        <scheme val="minor"/>
      </rPr>
      <t xml:space="preserve">: Se realizó la evaluación de 3 acciones de las cuales se cerraron 3, es decir el 100%.
El porcentaje acumulado se calcula sumando la totalidad de acciones evaluadas en la vigencia (63 acciones) sobre las cerradas (56 acciones); esto arroja un avance acumulado de 89%
</t>
    </r>
    <r>
      <rPr>
        <b/>
        <sz val="11"/>
        <color theme="1"/>
        <rFont val="Calibri"/>
        <family val="2"/>
        <scheme val="minor"/>
      </rPr>
      <t xml:space="preserve">Mayo: </t>
    </r>
    <r>
      <rPr>
        <sz val="11"/>
        <color theme="1"/>
        <rFont val="Calibri"/>
        <family val="2"/>
        <scheme val="minor"/>
      </rPr>
      <t>Se realizó la evaluación de 17 acciones de las cuales se cerraron 13, es decir el 76,4%.
El porcentaje acumulado se calcula sumando la totalidad de acciones evaluadas en la vigencia (80 acciones) sobre las cerradas (69 acciones); esto arroja un avance acumulado de 86,2%</t>
    </r>
  </si>
  <si>
    <t>Evaluadas en total 207 de las cuales se cerraron 185</t>
  </si>
  <si>
    <r>
      <rPr>
        <b/>
        <sz val="11"/>
        <color theme="1"/>
        <rFont val="Calibri"/>
        <family val="2"/>
        <scheme val="minor"/>
      </rPr>
      <t>Febrero</t>
    </r>
    <r>
      <rPr>
        <sz val="11"/>
        <color theme="1"/>
        <rFont val="Calibri"/>
        <family val="2"/>
        <scheme val="minor"/>
      </rPr>
      <t xml:space="preserve">: Se realizó la evaluación de 32 acciones de las cuales se cerraron 26, es decir el 81,2%.
</t>
    </r>
    <r>
      <rPr>
        <b/>
        <sz val="11"/>
        <color theme="1"/>
        <rFont val="Calibri"/>
        <family val="2"/>
        <scheme val="minor"/>
      </rPr>
      <t>Marzo:</t>
    </r>
    <r>
      <rPr>
        <sz val="11"/>
        <color theme="1"/>
        <rFont val="Calibri"/>
        <family val="2"/>
        <scheme val="minor"/>
      </rPr>
      <t xml:space="preserve"> Se realizó la evaluación de 28 acciones de las cuales se cerraron 27, es decir el 96%.
El porcentaje acumulado se calcula sumando la totalidad de acciones evaluadas en la vigencia (60 acciones) sobre las cerradas (53 acciones); esto arroja un avance acumulado de 88%
</t>
    </r>
    <r>
      <rPr>
        <b/>
        <sz val="11"/>
        <color theme="1"/>
        <rFont val="Calibri"/>
        <family val="2"/>
        <scheme val="minor"/>
      </rPr>
      <t>Abril</t>
    </r>
    <r>
      <rPr>
        <sz val="11"/>
        <color theme="1"/>
        <rFont val="Calibri"/>
        <family val="2"/>
        <scheme val="minor"/>
      </rPr>
      <t xml:space="preserve">: Se realizó la evaluación de 3 acciones de las cuales se cerraron 3, es decir el 100%.
El porcentaje acumulado se calcula sumando la totalidad de acciones evaluadas en la vigencia (63 acciones) sobre las cerradas (56 acciones); esto arroja un avance acumulado de 89%
</t>
    </r>
    <r>
      <rPr>
        <b/>
        <sz val="11"/>
        <color theme="1"/>
        <rFont val="Calibri"/>
        <family val="2"/>
        <scheme val="minor"/>
      </rPr>
      <t xml:space="preserve">Mayo: </t>
    </r>
    <r>
      <rPr>
        <sz val="11"/>
        <color theme="1"/>
        <rFont val="Calibri"/>
        <family val="2"/>
        <scheme val="minor"/>
      </rPr>
      <t xml:space="preserve">Se realizó la evaluación de 17 acciones de las cuales se cerraron 13, es decir el 76,4%.
El porcentaje acumulado se calcula sumando la totalidad de acciones evaluadas en la vigencia (80 acciones) sobre las cerradas (69 acciones); esto arroja un avance acumulado de 86,2%
</t>
    </r>
    <r>
      <rPr>
        <b/>
        <sz val="11"/>
        <color theme="1"/>
        <rFont val="Calibri"/>
        <family val="2"/>
        <scheme val="minor"/>
      </rPr>
      <t>Junio</t>
    </r>
    <r>
      <rPr>
        <sz val="11"/>
        <color theme="1"/>
        <rFont val="Calibri"/>
        <family val="2"/>
        <scheme val="minor"/>
      </rPr>
      <t>: Se realizó la evaluación de 6 acciones de las cuales se cerraron 5, es decir el 83,3%.
El porcentaje acumulado se calcula sumando la totalidad de acciones evaluadas en la vigencia (86 acciones) sobre las cerradas (74 acciones); esto arroja un avance acumulado de 86,2%</t>
    </r>
  </si>
  <si>
    <t>Cumplimiento de las acciones formuladas en el Plan de Mejoramiento suscrito con la CGR (50%)</t>
  </si>
  <si>
    <t>No. Total de acciones cerradas /No. Total de acciones evaluadas del plan de mejoramiento CGR.</t>
  </si>
  <si>
    <t>Evaluación de efectividad reportada a la CGR el día 23 de enero de 2020. Se evaluaron 56 acciones de las cuales se cerraron 50.</t>
  </si>
  <si>
    <r>
      <rPr>
        <b/>
        <sz val="11"/>
        <color theme="1"/>
        <rFont val="Calibri"/>
        <family val="2"/>
        <scheme val="minor"/>
      </rPr>
      <t xml:space="preserve">Enero: </t>
    </r>
    <r>
      <rPr>
        <sz val="11"/>
        <color theme="1"/>
        <rFont val="Calibri"/>
        <family val="2"/>
        <scheme val="minor"/>
      </rPr>
      <t xml:space="preserve">Se evaluaron 56 acciones de las cuales se cerraron 50, es decir el 89,2%
</t>
    </r>
    <r>
      <rPr>
        <b/>
        <sz val="11"/>
        <color theme="1"/>
        <rFont val="Calibri"/>
        <family val="2"/>
        <scheme val="minor"/>
      </rPr>
      <t>Febrero:</t>
    </r>
    <r>
      <rPr>
        <sz val="11"/>
        <color theme="1"/>
        <rFont val="Calibri"/>
        <family val="2"/>
        <scheme val="minor"/>
      </rPr>
      <t xml:space="preserve"> Se evaluaron en el mes 26 acciones de las cuales se cerraron 22, es decir el 84,6%. El porcentaje acumulado se calcula sumando la totalidad de acciones evaluadas en la vigencia (82 acciones) sobre las cerradas (72 acciones); esto arroja un avance acumulado de 87,8%</t>
    </r>
  </si>
  <si>
    <r>
      <rPr>
        <b/>
        <sz val="11"/>
        <color theme="1"/>
        <rFont val="Calibri"/>
        <family val="2"/>
        <scheme val="minor"/>
      </rPr>
      <t xml:space="preserve">Enero: </t>
    </r>
    <r>
      <rPr>
        <sz val="11"/>
        <color theme="1"/>
        <rFont val="Calibri"/>
        <family val="2"/>
        <scheme val="minor"/>
      </rPr>
      <t xml:space="preserve">Se evaluaron 56 acciones de las cuales se cerraron 50, es decir el 89,2%
</t>
    </r>
    <r>
      <rPr>
        <b/>
        <sz val="11"/>
        <color theme="1"/>
        <rFont val="Calibri"/>
        <family val="2"/>
        <scheme val="minor"/>
      </rPr>
      <t>Febrero:</t>
    </r>
    <r>
      <rPr>
        <sz val="11"/>
        <color theme="1"/>
        <rFont val="Calibri"/>
        <family val="2"/>
        <scheme val="minor"/>
      </rPr>
      <t xml:space="preserve"> Se evaluaron en el mes 26 acciones de las cuales se cerraron 22, es decir el 84,6%. 
</t>
    </r>
    <r>
      <rPr>
        <b/>
        <sz val="11"/>
        <color theme="1"/>
        <rFont val="Calibri"/>
        <family val="2"/>
        <scheme val="minor"/>
      </rPr>
      <t xml:space="preserve">
Marzo</t>
    </r>
    <r>
      <rPr>
        <sz val="11"/>
        <color theme="1"/>
        <rFont val="Calibri"/>
        <family val="2"/>
        <scheme val="minor"/>
      </rPr>
      <t>: Se evaluaron en el mes 36 acciones de las cuales se cerraron 36, es decir el 100%.
El porcentaje acumulado se calcula sumando la totalidad de acciones evaluadas en la vigencia (118 acciones) sobre las cerradas (108 acciones); esto arroja un avance acumulado de 91,5%</t>
    </r>
  </si>
  <si>
    <r>
      <rPr>
        <b/>
        <sz val="11"/>
        <color theme="1"/>
        <rFont val="Calibri"/>
        <family val="2"/>
        <scheme val="minor"/>
      </rPr>
      <t xml:space="preserve">Enero: </t>
    </r>
    <r>
      <rPr>
        <sz val="11"/>
        <color theme="1"/>
        <rFont val="Calibri"/>
        <family val="2"/>
        <scheme val="minor"/>
      </rPr>
      <t xml:space="preserve">Se evaluaron 56 acciones de las cuales se cerraron 50, es decir el 89,2%
</t>
    </r>
    <r>
      <rPr>
        <b/>
        <sz val="11"/>
        <color theme="1"/>
        <rFont val="Calibri"/>
        <family val="2"/>
        <scheme val="minor"/>
      </rPr>
      <t>Febrero:</t>
    </r>
    <r>
      <rPr>
        <sz val="11"/>
        <color theme="1"/>
        <rFont val="Calibri"/>
        <family val="2"/>
        <scheme val="minor"/>
      </rPr>
      <t xml:space="preserve"> Se evaluaron en el mes 26 acciones de las cuales se cerraron 22, es decir el 84,6%. 
</t>
    </r>
    <r>
      <rPr>
        <b/>
        <sz val="11"/>
        <color theme="1"/>
        <rFont val="Calibri"/>
        <family val="2"/>
        <scheme val="minor"/>
      </rPr>
      <t xml:space="preserve">
Marzo</t>
    </r>
    <r>
      <rPr>
        <sz val="11"/>
        <color theme="1"/>
        <rFont val="Calibri"/>
        <family val="2"/>
        <scheme val="minor"/>
      </rPr>
      <t xml:space="preserve">: Se evaluaron en el mes 36 acciones de las cuales se cerraron 36, es decir el 100%.
El porcentaje acumulado se calcula sumando la totalidad de acciones evaluadas en la vigencia (118 acciones) sobre las cerradas (108 acciones); esto arroja un avance acumulado de 91,5%
</t>
    </r>
    <r>
      <rPr>
        <b/>
        <sz val="11"/>
        <color theme="1"/>
        <rFont val="Calibri"/>
        <family val="2"/>
        <scheme val="minor"/>
      </rPr>
      <t>Abril</t>
    </r>
    <r>
      <rPr>
        <sz val="11"/>
        <color theme="1"/>
        <rFont val="Calibri"/>
        <family val="2"/>
        <scheme val="minor"/>
      </rPr>
      <t>: No se adelantaron evaluaciónes en el mes de abril</t>
    </r>
  </si>
  <si>
    <r>
      <rPr>
        <b/>
        <sz val="11"/>
        <color theme="1"/>
        <rFont val="Calibri"/>
        <family val="2"/>
        <scheme val="minor"/>
      </rPr>
      <t xml:space="preserve">Enero: </t>
    </r>
    <r>
      <rPr>
        <sz val="11"/>
        <color theme="1"/>
        <rFont val="Calibri"/>
        <family val="2"/>
        <scheme val="minor"/>
      </rPr>
      <t xml:space="preserve">Se evaluaron 56 acciones de las cuales se cerraron 50, es decir el 89,2%
</t>
    </r>
    <r>
      <rPr>
        <b/>
        <sz val="11"/>
        <color theme="1"/>
        <rFont val="Calibri"/>
        <family val="2"/>
        <scheme val="minor"/>
      </rPr>
      <t>Febrero:</t>
    </r>
    <r>
      <rPr>
        <sz val="11"/>
        <color theme="1"/>
        <rFont val="Calibri"/>
        <family val="2"/>
        <scheme val="minor"/>
      </rPr>
      <t xml:space="preserve"> Se evaluaron en el mes 26 acciones de las cuales se cerraron 22, es decir el 84,6%. 
</t>
    </r>
    <r>
      <rPr>
        <b/>
        <sz val="11"/>
        <color theme="1"/>
        <rFont val="Calibri"/>
        <family val="2"/>
        <scheme val="minor"/>
      </rPr>
      <t xml:space="preserve">
Marzo</t>
    </r>
    <r>
      <rPr>
        <sz val="11"/>
        <color theme="1"/>
        <rFont val="Calibri"/>
        <family val="2"/>
        <scheme val="minor"/>
      </rPr>
      <t xml:space="preserve">: Se evaluaron en el mes 36 acciones de las cuales se cerraron 36, es decir el 100%.
El porcentaje acumulado se calcula sumando la totalidad de acciones evaluadas en la vigencia (118 acciones) sobre las cerradas (108 acciones); esto arroja un avance acumulado de 91,5%
</t>
    </r>
    <r>
      <rPr>
        <b/>
        <sz val="11"/>
        <color theme="1"/>
        <rFont val="Calibri"/>
        <family val="2"/>
        <scheme val="minor"/>
      </rPr>
      <t>Abril</t>
    </r>
    <r>
      <rPr>
        <sz val="11"/>
        <color theme="1"/>
        <rFont val="Calibri"/>
        <family val="2"/>
        <scheme val="minor"/>
      </rPr>
      <t xml:space="preserve">: No se adelantaron evaluaciónes en el mes de abril
</t>
    </r>
    <r>
      <rPr>
        <b/>
        <sz val="11"/>
        <color theme="1"/>
        <rFont val="Calibri"/>
        <family val="2"/>
        <scheme val="minor"/>
      </rPr>
      <t xml:space="preserve">Mayo: </t>
    </r>
    <r>
      <rPr>
        <sz val="11"/>
        <color theme="1"/>
        <rFont val="Calibri"/>
        <family val="2"/>
        <scheme val="minor"/>
      </rPr>
      <t>No se adelantaron evaluaciónes en el mes de mayo</t>
    </r>
  </si>
  <si>
    <r>
      <rPr>
        <b/>
        <sz val="11"/>
        <color theme="1"/>
        <rFont val="Calibri"/>
        <family val="2"/>
        <scheme val="minor"/>
      </rPr>
      <t xml:space="preserve">Enero: </t>
    </r>
    <r>
      <rPr>
        <sz val="11"/>
        <color theme="1"/>
        <rFont val="Calibri"/>
        <family val="2"/>
        <scheme val="minor"/>
      </rPr>
      <t xml:space="preserve">Se evaluaron 56 acciones de las cuales se cerraron 50, es decir el 89,2%
</t>
    </r>
    <r>
      <rPr>
        <b/>
        <sz val="11"/>
        <color theme="1"/>
        <rFont val="Calibri"/>
        <family val="2"/>
        <scheme val="minor"/>
      </rPr>
      <t>Febrero:</t>
    </r>
    <r>
      <rPr>
        <sz val="11"/>
        <color theme="1"/>
        <rFont val="Calibri"/>
        <family val="2"/>
        <scheme val="minor"/>
      </rPr>
      <t xml:space="preserve"> Se evaluaron en el mes 26 acciones de las cuales se cerraron 22, es decir el 84,6%. 
</t>
    </r>
    <r>
      <rPr>
        <b/>
        <sz val="11"/>
        <color theme="1"/>
        <rFont val="Calibri"/>
        <family val="2"/>
        <scheme val="minor"/>
      </rPr>
      <t xml:space="preserve">
Marzo</t>
    </r>
    <r>
      <rPr>
        <sz val="11"/>
        <color theme="1"/>
        <rFont val="Calibri"/>
        <family val="2"/>
        <scheme val="minor"/>
      </rPr>
      <t xml:space="preserve">: Se evaluaron en el mes 36 acciones de las cuales se cerraron 36, es decir el 100%.
El porcentaje acumulado se calcula sumando la totalidad de acciones evaluadas en la vigencia (118 acciones) sobre las cerradas (108 acciones); esto arroja un avance acumulado de 91,5%
</t>
    </r>
    <r>
      <rPr>
        <b/>
        <sz val="11"/>
        <color theme="1"/>
        <rFont val="Calibri"/>
        <family val="2"/>
        <scheme val="minor"/>
      </rPr>
      <t>Abril</t>
    </r>
    <r>
      <rPr>
        <sz val="11"/>
        <color theme="1"/>
        <rFont val="Calibri"/>
        <family val="2"/>
        <scheme val="minor"/>
      </rPr>
      <t xml:space="preserve">: No se adelantaron evaluaciónes en el mes de abril
</t>
    </r>
    <r>
      <rPr>
        <b/>
        <sz val="11"/>
        <color theme="1"/>
        <rFont val="Calibri"/>
        <family val="2"/>
        <scheme val="minor"/>
      </rPr>
      <t xml:space="preserve">Mayo: </t>
    </r>
    <r>
      <rPr>
        <sz val="11"/>
        <color theme="1"/>
        <rFont val="Calibri"/>
        <family val="2"/>
        <scheme val="minor"/>
      </rPr>
      <t xml:space="preserve">No se adelantaron evaluaciónes en el mes de mayo
</t>
    </r>
    <r>
      <rPr>
        <b/>
        <sz val="11"/>
        <color theme="1"/>
        <rFont val="Calibri"/>
        <family val="2"/>
        <scheme val="minor"/>
      </rPr>
      <t xml:space="preserve">Junio </t>
    </r>
    <r>
      <rPr>
        <sz val="11"/>
        <color theme="1"/>
        <rFont val="Calibri"/>
        <family val="2"/>
        <scheme val="minor"/>
      </rPr>
      <t>:  Se evaluaron en el mes 3 acciones de las cuales se cerraron 3, es decir el 100%.
El porcentaje acumulado se calcula sumando la totalidad de acciones evaluadas en la vigencia (121 acciones) sobre las cerradas (111 acciones); esto arroja un avance acumulado de 91,7%</t>
    </r>
  </si>
  <si>
    <t>Promedio indicadores de producto</t>
  </si>
  <si>
    <t>Promedio indicadores de Gestión</t>
  </si>
  <si>
    <t>Avances en las actividades asociadas a lograr la interoperabilidad de 5 sistemas institucionales: 
Para lograr la interoperabilidad de los sistemas institucionales y servicios tecnológicos de la ANLA, se requiere adquirir, parametrizar y desplegar la solución API GATEWAY.
Con corte a 30 de junio de 2020, las actividades precontractuales que se han realizado son las siguientes:
1-Fomulación de ficha técnica.
2-Análisis del Sector.
3-Elaboración de Estudios Previos
4-Preparación de listado de empresas 
5-Realización de Análisis de Mercado
6-Radicación de proceso.
Actualmente el proceso se encuentra en revisión del Grupo de Gestión Contractual.
La ejecución del contrato se realizará en el segundo semestre de la presente vigencia.</t>
  </si>
  <si>
    <t xml:space="preserve">Adquisición de Software:
1-Se firmó el contrato correspondiente a la renovación de licencias y servicios geoespaciales SKYSAT PLANET por valor de $1.141.000.0000
2-Se generó la aceptación de oferta correspondiente a la adquisición de licencias ADOBE CREATIVE SUITE por valor de  $17.995.000
Actualmente la OTI se encuentra realizando las actividades precontractuales necesarias para la adquisición de los sistemas y las tecnologías proyectadas en el Plan de Adquisiciones 2020. (Ver Anexo A Seguimiento y Avance de Procesos Contractuales OTI)
Es importante mencionar que durante el primer semestre 2020 la OTI priorizó el fortalecimiento de su equipo de trabajo a través de la contratación por prestación de servicios de profesionales y tecnicos para aumentar la oportunidad en la respuesta a requerimientos TI de caracter estratégico y operativo. Los cambios más representativos que justifican estas contrataciones son la reestructuración de la Entidad, el traslado a la nueva sede, la emergencia sanitaria COVID-19 y el incremento de solicitudes de desarrollo de software.  Lo anterior se evidencia con los registros presupuestales de las actividades de FONAM TIC asociadas a recurso humano "Actualizar y desarrollar nuevas funcionalidades en los sistemas de información institucional de acuerdo a las necesidades misionales, estratégicas y de apoyo de la entidad."  y "Brindar asesoría técnica y soporte tecnológico a los procesos acorde con los requerimientos institucionales y gubernamentales." Ver herramienta PAI.
Durante el segundo semestre 2020 se realizará la gestión requerida desde lo precontractual, contractual y poscontractual para cumplir las metas proyectadas en la vigencia 2020.
</t>
  </si>
  <si>
    <t xml:space="preserve">Adquisición de Software:
1-Se firmó el contrato correspondiente a la renovación de licencias y servicios geoespaciales SKYSAT PLANET por valor de $1.141.000.0000
2-Se generó la aceptación de oferta correspondiente a la adquisición de licencias ADOBE CREATIVE SUITE por valor de  $17.995.000
3-Se firmó el contrato correspondiente a la adquisición de un software de modelamiento de RUIDO por valor de $ 41.052.323
Actualmente la OTI se encuentra realizando las actividades precontractuales necesarias para la adquisición de los sistemas y las tecnologías proyectadas en el Plan de Adquisiciones 2020. (Ver Anexo A Seguimiento y Avance de Procesos Contractuales OTI)
Es importante mencionar que durante el primer semestre 2020 la OTI priorizó el fortalecimiento de su equipo de trabajo a través de la contratación por prestación de servicios de profesionales y tecnicos para aumentar la oportunidad en la respuesta a requerimientos TI de caracter estratégico y operativo. Los cambios más representativos que justifican estas contrataciones son la reestructuración de la Entidad, el traslado a la nueva sede, la emergencia sanitaria COVID-19 y el incremento de solicitudes de desarrollo de software.  Lo anterior se evidencia con los registros presupuestales de las actividades de FONAM TIC asociadas a recurso humano "Actualizar y desarrollar nuevas funcionalidades en los sistemas de información institucional de acuerdo a las necesidades misionales, estratégicas y de apoyo de la entidad."  y "Brindar asesoría técnica y soporte tecnológico a los procesos acorde con los requerimientos institucionales y gubernamentales." Ver herramienta PAI.
Durante el segundo semestre 2020 se realizará la gestión requerida desde lo precontractual, contractual y poscontractual para cumplir las metas proyectadas en la vigencia 2020.
</t>
  </si>
  <si>
    <t>INTEROPERABILIDAD DE SISTEMAS:
1-  La Ventanilla VITAL actualmente se encuentra interoperando con la Ventanilla VUCE del Ministerio de Comercio.
2- El geovisor Ágil interopera con la Ventanilla VITAL (expedientes de trámites y licencias ambientales, certificado de minería)
3- El desarrollo para gestión de cuentas de cobro GIC interopera con el sistema SIGANLA (información de contratistas)
Para lograr la interoperabilidad restante de los sistemas institucionales y servicios tecnológicos de la ANLA, se requiere adquirir, parametrizar y desplegar la solución API GATEWAY. Con corte a 30 de septiembre de 2020, las actividades precontractuales que se han realizado son las siguientes:
1-Fomulación de ficha técnica.
2-Análisis del Sector.
3-Elaboración de Estudios Previos
4-Preparación de listado de empresas 
5-Realización de Análisis de Mercado
6-Radicación de proceso.
7-Dos alcances a la radicación del proceso incorporando ajustes solicitados por el Grupo de Gestión Contractual.
Actualmente el proceso se encuentra en revisión del Grupo de Gestión Contractual y se publicará en el mes de octubre en SECOP II y se ejecutará en la presente vigencia.</t>
  </si>
  <si>
    <t>Adquisición de Software:
1-Se firmó el contrato correspondiente a la renovación de licencias y servicios geoespaciales SKYSAT PLANET por valor de $1.141.000.0000
2-Se generó la aceptación de oferta correspondiente a la adquisición de licencias ADOBE CREATIVE SUITE por valor de  $17.995.000
3-Se firmó el contrato correspondiente a la adquisición de un software de modelamiento de RUIDO por valor de $ 41.052.323
4-Se firmó el contrato correspondiente a la adquisición de PCSECURE por valor de $24.752.000
Actualmente la OTI se encuentra realizando las actividades precontractuales necesarias para la adquisición de los sistemas y las tecnologías proyectadas en el Plan de Adquisiciones 2020. (Ver Anexo A Seguimiento y Avance de Procesos Contractuales OTI)
Durante el último trimestre de 2020 se realizará la gestión requerida desde lo precontractual, contractual y poscontractual para cumplir las metas proyectadas en la vigencia 2020.</t>
  </si>
  <si>
    <t xml:space="preserve">Adquisición de Hardware:
Actualmente la OTI se encuentra realizando las actividades precontractuales necesarias para la adquisición de los sistemas y las tecnologías proyectadas en el Plan de Adquisiciones 2020. (Ver Anexo A Seguimiento y Avance de Procesos Contractuales OTI)
Es importante mencionar que durante el primer semestre 2020 la OTI priorizó el fortalecimiento de su equipo de trabajo a través de la contratación por prestación de servicios de profesionales y tecnicos para aumentar la oportunidad en la respuesta a requerimientos TI de caracter estratégico y operativo. Los cambios más representativos que justifican estas contrataciones son la reestructuración de la Entidad, el traslado a la nueva sede, la emergencia sanitaria COVID-19 y el incremento de solicitudes de desarrollo de software.  Lo anterior se evidencia con los registros presupuestales de las actividades de FONAM TIC asociadas a recurso humano "Actualizar y desarrollar nuevas funcionalidades en los sistemas de información institucional de acuerdo a las necesidades misionales, estratégicas y de apoyo de la entidad."  y "Brindar asesoría técnica y soporte tecnológico a los procesos acorde con los requerimientos institucionales y gubernamentales." Ver herramienta PAI.
Durante el segundo semestre 2020 se realizará la gestión requerida desde lo precontractual, contractual y poscontractual para cumplir las metas proyectadas en la vigencia 2020. </t>
  </si>
  <si>
    <t>Adquisición de Hardware:
Actualmente la OTI se encuentra realizando las actividades precontractuales necesarias para la adquisición de los sistemas y las tecnologías proyectadas en el Plan de Adquisiciones 2020. (Ver Anexo A Seguimiento y Avance de Procesos Contractuales OTI)
1- Se firmó la orden de compra asociada al proceso de Colocation por $ 432.634.020
Durante el último trimestre de 2020 se realizará la gestión requerida desde lo precontractual, contractual y poscontractual para cumplir las metas proyectadas en la vigencia 2020.</t>
  </si>
  <si>
    <t>Número de Usuarios impactados con los desarrollos de software OTI:
1- Con el paso a producción de del módulo de contingencias se reportaron 385 usuarios impactados en su primer mes de funcionamiento de acuerdo con el reporte de la Ventanilla VITAL.
2- Con el paso a producción de los micrositios del portal web, de acuerdo con las estadísticas de la cuenta de Google Analytics de la ANLA se reportaron 1799  visitas de usuarios  en el mes de Junio distribuidas así:
A. Mecanismos de Participación Ciudadana: 361 vistas a las categorías del micrositio diseñado y puesto en producción por OTI.
B. Cooperación Internacional: 39 vistas a las categorías del micrositio diseñado y puesto en producción por OTI.
C.  Nuevo Modelo de Licenciamiento Ambiental: 1.399 vistas a las categorías y documentos del micrositio diseñado y puesto en producción por OTI.
Para un total de 2.184 usuarios impactados con proyectos desarrollados por OTI,  lo cual supera el indicador programado inicialmente. Se requiere realizar el redimensionamiento antes del próximo reporte (JULIO)</t>
  </si>
  <si>
    <t>Avances en el perfilamiento de herramientas asociadas a seguridad realizados a la fecha:
1- Herramienta de gestión de máquinas virtuales VMWARE
2- Herramienta de gestion y restauración de copias de respaldo NETBACKUP.
Las herramientas restantes están en proceso de renovación de garantías para realizar posteriormente el perfilamiento.</t>
  </si>
  <si>
    <t>Avances en el perfilamiento de herramientas asociadas a seguridad realizados a la fecha:
1- Herramienta de gestión de máquinas virtuales VMWARE
2- Herramienta de gestion y restauración de copias de respaldo NETBACKUP.
Las herramientas restantes están en proceso de renovación de garantías para realizar posteriormente el perfilamiento.
Se proyecta la ejecución de las actividades en el último trimestre de la presente vigencia.</t>
  </si>
  <si>
    <t xml:space="preserve">Adquisición de Componentes de Seguridad:
1- Se firmó el contrato correspondiente a la adquisición de productos y servicios MICROSOFT por valor de $1.175.004.552,75
Actualmente la OTI se encuentra realizando las actividades precontractuales necesarias para la adquisición de los sistemas y las tecnologías proyectadas en el Plan de Adquisiciones 2020. (Ver Anexo Seguimiento y Avance de Procesos Contractuales OTI)
</t>
  </si>
  <si>
    <t>Plan de Tratamiento de Riesgos de Seguridad y Privacidad de la Información: 
(Ver Anexo B Avance Plan Integrado OTI )</t>
  </si>
  <si>
    <t>Plan de Seguridad y Privacidad de la Información:
1- Se formula y gestiona la aprobación por parte del Comité de Gestión Institucional de Gestión y Desempeño del Plan de Seguridad y Privacidad de la Información 2020
2-Se definió e incorporó el rol de Oficial de Seguridad de la Información en la OTI.
3-Se realizó la revisión de la política de seguridad de la información, se encuentra pendiente de oficialización por parte de la OAP.
4-Se proyectó cronograma para el levantamiento de información con los nuevos grupos y se ajustó el instrumento para la recolección de datos.
5-Se realizaron pruebas de concepto con proveedores especializados para fortalecer la seguridad de la información (TRENDMICRO, GLUP y SAFEID)
6-Se definieron acciones de mejora de acuerdo con los resultados de la preauditoría interna de Seguridad de la Información con base en la NTC ISO IEC 27001:2013 realizada en 2019 . Se adjunta Informe de Dirección General
7-Se realizó la ficha técnica y dimensionamiento inicial de la contratación a través de visitas al Datacenter con proveedores para proyectar el alcance del traslado
(Ver Anexo B Avance Plan Integrado OTI Semestre I)</t>
  </si>
  <si>
    <t>Plan de Seguridad y Privacidad de la Información:
(Ver Anexo B Avance Plan Integrado OTI )</t>
  </si>
  <si>
    <t>Avances en las acciones asociadas al PETI:
(Ver Anexo B Avance Plan Integrado OTI )</t>
  </si>
  <si>
    <t>Avances en las Actividades de Soporte y Gestión de Procesos de infraestructura realizadas:
33,3%-&gt; Implementación y despliegue del pool de direcciones de LACNIC, así como la configuración requerida para la puesta en marcha del protocolo IPV6 en la ANLA, como parte del cumplimiento de los plazos y lineamientos de MinTIC.
33,3% -&gt;  Definición de ANS (Acuerdos de Nivel de Servicio) de alto nivel para la solución de conectividad DUPONT de fibra óptica de la nueva sede. 
33,3% -&gt; Definición de OLAS (Acuerdos de Nivel de Operación) para servicios TI dentro de la Mesa de Ayuda</t>
  </si>
  <si>
    <t>Avances en las actividades gestionadas frente a la publicación de nuevos conjuntos de datos abiertos y la actualización de los datos ya publicados en www.datos.gov.co:
1. Elaboración de informe del estado actual de los conjuntos de datos publicados en el portal datos.gov.co. 
2. Se elaboró el documento propuesta conceptual de identificación, priorización y publicación de datos abiertos en su primera versión.
3. Se realizó la identificación de los 3 conjuntos de datos abiertos geoespaciales a publicar:Licencias Ambientales, Áreas Licenciadas de Minería, Hidrocarburos. Energia y Líneas Licenciadas de Minería, Hidrocarburos y  Energía</t>
  </si>
  <si>
    <t>REPORTE AVANCE JULIO</t>
  </si>
  <si>
    <t>REPORTE AVANCE AGOSTO</t>
  </si>
  <si>
    <t>REPORTE AVANCE SEPTIEMBRE</t>
  </si>
  <si>
    <t>Evaluadas en total 214 de las cuales se cerraron 192</t>
  </si>
  <si>
    <r>
      <rPr>
        <b/>
        <sz val="11"/>
        <color theme="1"/>
        <rFont val="Calibri"/>
        <family val="2"/>
        <scheme val="minor"/>
      </rPr>
      <t>Febrero</t>
    </r>
    <r>
      <rPr>
        <sz val="11"/>
        <color theme="1"/>
        <rFont val="Calibri"/>
        <family val="2"/>
        <scheme val="minor"/>
      </rPr>
      <t xml:space="preserve">: Se realizó la evaluación de 32 acciones de las cuales se cerraron 26, es decir el 81,2%.
</t>
    </r>
    <r>
      <rPr>
        <b/>
        <sz val="11"/>
        <color theme="1"/>
        <rFont val="Calibri"/>
        <family val="2"/>
        <scheme val="minor"/>
      </rPr>
      <t>Marzo:</t>
    </r>
    <r>
      <rPr>
        <sz val="11"/>
        <color theme="1"/>
        <rFont val="Calibri"/>
        <family val="2"/>
        <scheme val="minor"/>
      </rPr>
      <t xml:space="preserve"> Se realizó la evaluación de 28 acciones de las cuales se cerraron 27, es decir el 96%.
El porcentaje acumulado se calcula sumando la totalidad de acciones evaluadas en la vigencia (60 acciones) sobre las cerradas (53 acciones); esto arroja un avance acumulado de 88%
</t>
    </r>
    <r>
      <rPr>
        <b/>
        <sz val="11"/>
        <color theme="1"/>
        <rFont val="Calibri"/>
        <family val="2"/>
        <scheme val="minor"/>
      </rPr>
      <t>Abril</t>
    </r>
    <r>
      <rPr>
        <sz val="11"/>
        <color theme="1"/>
        <rFont val="Calibri"/>
        <family val="2"/>
        <scheme val="minor"/>
      </rPr>
      <t xml:space="preserve">: Se realizó la evaluación de 3 acciones de las cuales se cerraron 3, es decir el 100%.
El porcentaje acumulado se calcula sumando la totalidad de acciones evaluadas en la vigencia (63 acciones) sobre las cerradas (56 acciones); esto arroja un avance acumulado de 89%
</t>
    </r>
    <r>
      <rPr>
        <b/>
        <sz val="11"/>
        <color theme="1"/>
        <rFont val="Calibri"/>
        <family val="2"/>
        <scheme val="minor"/>
      </rPr>
      <t xml:space="preserve">Mayo: </t>
    </r>
    <r>
      <rPr>
        <sz val="11"/>
        <color theme="1"/>
        <rFont val="Calibri"/>
        <family val="2"/>
        <scheme val="minor"/>
      </rPr>
      <t xml:space="preserve">Se realizó la evaluación de 17 acciones de las cuales se cerraron 13, es decir el 76,4%.
El porcentaje acumulado se calcula sumando la totalidad de acciones evaluadas en la vigencia (80 acciones) sobre las cerradas (69 acciones); esto arroja un avance acumulado de 86,2%
</t>
    </r>
    <r>
      <rPr>
        <b/>
        <sz val="11"/>
        <color theme="1"/>
        <rFont val="Calibri"/>
        <family val="2"/>
        <scheme val="minor"/>
      </rPr>
      <t>Junio</t>
    </r>
    <r>
      <rPr>
        <sz val="11"/>
        <color theme="1"/>
        <rFont val="Calibri"/>
        <family val="2"/>
        <scheme val="minor"/>
      </rPr>
      <t>: Se realizó la evaluación de 6 acciones de las cuales se cerraron 5, es decir el 83,3%.
El porcentaje acumulado se calcula sumando la totalidad de acciones evaluadas en la vigencia (86 acciones) sobre las cerradas (74 acciones); esto arroja un avance acumulado de 86,2%</t>
    </r>
    <r>
      <rPr>
        <b/>
        <sz val="11"/>
        <color theme="1"/>
        <rFont val="Calibri"/>
        <family val="2"/>
        <scheme val="minor"/>
      </rPr>
      <t xml:space="preserve">
Julio</t>
    </r>
    <r>
      <rPr>
        <sz val="11"/>
        <color theme="1"/>
        <rFont val="Calibri"/>
        <family val="2"/>
        <scheme val="minor"/>
      </rPr>
      <t>: Se realizó la evaluación de 6 acciones de las cuales se cerraron 6, es decir el 100%.
El porcentaje acumulado se calcula sumando la totalidad de acciones evaluadas en la vigencia (92 acciones) sobre las cerradas (80 acciones); esto arroja un avance acumulado de 87%</t>
    </r>
  </si>
  <si>
    <t>Evaluadas en total 226 de las cuales se cerraron 203</t>
  </si>
  <si>
    <r>
      <rPr>
        <b/>
        <sz val="11"/>
        <color theme="1"/>
        <rFont val="Calibri"/>
        <family val="2"/>
        <scheme val="minor"/>
      </rPr>
      <t>Febrero</t>
    </r>
    <r>
      <rPr>
        <sz val="11"/>
        <color theme="1"/>
        <rFont val="Calibri"/>
        <family val="2"/>
        <scheme val="minor"/>
      </rPr>
      <t xml:space="preserve">: Se realizó la evaluación de 32 acciones de las cuales se cerraron 26, es decir el 81,2%.
</t>
    </r>
    <r>
      <rPr>
        <b/>
        <sz val="11"/>
        <color theme="1"/>
        <rFont val="Calibri"/>
        <family val="2"/>
        <scheme val="minor"/>
      </rPr>
      <t>Marzo:</t>
    </r>
    <r>
      <rPr>
        <sz val="11"/>
        <color theme="1"/>
        <rFont val="Calibri"/>
        <family val="2"/>
        <scheme val="minor"/>
      </rPr>
      <t xml:space="preserve"> Se realizó la evaluación de 28 acciones de las cuales se cerraron 27, es decir el 96%.
El porcentaje acumulado se calcula sumando la totalidad de acciones evaluadas en la vigencia (60 acciones) sobre las cerradas (53 acciones); esto arroja un avance acumulado de 88%
</t>
    </r>
    <r>
      <rPr>
        <b/>
        <sz val="11"/>
        <color theme="1"/>
        <rFont val="Calibri"/>
        <family val="2"/>
        <scheme val="minor"/>
      </rPr>
      <t>Abril</t>
    </r>
    <r>
      <rPr>
        <sz val="11"/>
        <color theme="1"/>
        <rFont val="Calibri"/>
        <family val="2"/>
        <scheme val="minor"/>
      </rPr>
      <t xml:space="preserve">: Se realizó la evaluación de 3 acciones de las cuales se cerraron 3, es decir el 100%.
El porcentaje acumulado se calcula sumando la totalidad de acciones evaluadas en la vigencia (63 acciones) sobre las cerradas (56 acciones); esto arroja un avance acumulado de 89%
</t>
    </r>
    <r>
      <rPr>
        <b/>
        <sz val="11"/>
        <color theme="1"/>
        <rFont val="Calibri"/>
        <family val="2"/>
        <scheme val="minor"/>
      </rPr>
      <t xml:space="preserve">Mayo: </t>
    </r>
    <r>
      <rPr>
        <sz val="11"/>
        <color theme="1"/>
        <rFont val="Calibri"/>
        <family val="2"/>
        <scheme val="minor"/>
      </rPr>
      <t xml:space="preserve">Se realizó la evaluación de 17 acciones de las cuales se cerraron 13, es decir el 76,4%.
El porcentaje acumulado se calcula sumando la totalidad de acciones evaluadas en la vigencia (80 acciones) sobre las cerradas (69 acciones); esto arroja un avance acumulado de 86,2%
</t>
    </r>
    <r>
      <rPr>
        <b/>
        <sz val="11"/>
        <color theme="1"/>
        <rFont val="Calibri"/>
        <family val="2"/>
        <scheme val="minor"/>
      </rPr>
      <t>Junio</t>
    </r>
    <r>
      <rPr>
        <sz val="11"/>
        <color theme="1"/>
        <rFont val="Calibri"/>
        <family val="2"/>
        <scheme val="minor"/>
      </rPr>
      <t>: Se realizó la evaluación de 6 acciones de las cuales se cerraron 5, es decir el 83,3%.
El porcentaje acumulado se calcula sumando la totalidad de acciones evaluadas en la vigencia (86 acciones) sobre las cerradas (74 acciones); esto arroja un avance acumulado de 86,2%</t>
    </r>
    <r>
      <rPr>
        <b/>
        <sz val="11"/>
        <color theme="1"/>
        <rFont val="Calibri"/>
        <family val="2"/>
        <scheme val="minor"/>
      </rPr>
      <t xml:space="preserve">
Julio</t>
    </r>
    <r>
      <rPr>
        <sz val="11"/>
        <color theme="1"/>
        <rFont val="Calibri"/>
        <family val="2"/>
        <scheme val="minor"/>
      </rPr>
      <t xml:space="preserve">: Se realizó la evaluación de 6 acciones de las cuales se cerraron 6, es decir el 100%.
El porcentaje acumulado se calcula sumando la totalidad de acciones evaluadas en la vigencia (92 acciones) sobre las cerradas (80 acciones); esto arroja un avance acumulado de 87%
</t>
    </r>
    <r>
      <rPr>
        <b/>
        <sz val="11"/>
        <color theme="1"/>
        <rFont val="Calibri"/>
        <family val="2"/>
        <scheme val="minor"/>
      </rPr>
      <t>Agosto</t>
    </r>
    <r>
      <rPr>
        <sz val="11"/>
        <color theme="1"/>
        <rFont val="Calibri"/>
        <family val="2"/>
        <scheme val="minor"/>
      </rPr>
      <t>: Se realizó la evaluación de 10 acciones de las cuales se cerraron 9, es decir el 90%.
El porcentaje acumulado se calcula sumando la totalidad de acciones evaluadas en la vigencia (102 acciones) sobre las cerradas (89 acciones); esto arroja un avance acumulado de 87,2%</t>
    </r>
  </si>
  <si>
    <t>Evaluadas en total 256 de las cuales se cerraron 230</t>
  </si>
  <si>
    <r>
      <rPr>
        <b/>
        <sz val="11"/>
        <color theme="1"/>
        <rFont val="Calibri"/>
        <family val="2"/>
        <scheme val="minor"/>
      </rPr>
      <t>Febrero</t>
    </r>
    <r>
      <rPr>
        <sz val="11"/>
        <color theme="1"/>
        <rFont val="Calibri"/>
        <family val="2"/>
        <scheme val="minor"/>
      </rPr>
      <t xml:space="preserve">: Se realizó la evaluación de 32 acciones de las cuales se cerraron 26, es decir el 81,2%.
</t>
    </r>
    <r>
      <rPr>
        <b/>
        <sz val="11"/>
        <color theme="1"/>
        <rFont val="Calibri"/>
        <family val="2"/>
        <scheme val="minor"/>
      </rPr>
      <t>Marzo:</t>
    </r>
    <r>
      <rPr>
        <sz val="11"/>
        <color theme="1"/>
        <rFont val="Calibri"/>
        <family val="2"/>
        <scheme val="minor"/>
      </rPr>
      <t xml:space="preserve"> Se realizó la evaluación de 28 acciones de las cuales se cerraron 27, es decir el 96%.
El porcentaje acumulado se calcula sumando la totalidad de acciones evaluadas en la vigencia (60 acciones) sobre las cerradas (53 acciones); esto arroja un avance acumulado de 88%
</t>
    </r>
    <r>
      <rPr>
        <b/>
        <sz val="11"/>
        <color theme="1"/>
        <rFont val="Calibri"/>
        <family val="2"/>
        <scheme val="minor"/>
      </rPr>
      <t>Abril</t>
    </r>
    <r>
      <rPr>
        <sz val="11"/>
        <color theme="1"/>
        <rFont val="Calibri"/>
        <family val="2"/>
        <scheme val="minor"/>
      </rPr>
      <t xml:space="preserve">: Se realizó la evaluación de 3 acciones de las cuales se cerraron 3, es decir el 100%.
El porcentaje acumulado se calcula sumando la totalidad de acciones evaluadas en la vigencia (63 acciones) sobre las cerradas (56 acciones); esto arroja un avance acumulado de 89%
</t>
    </r>
    <r>
      <rPr>
        <b/>
        <sz val="11"/>
        <color theme="1"/>
        <rFont val="Calibri"/>
        <family val="2"/>
        <scheme val="minor"/>
      </rPr>
      <t xml:space="preserve">Mayo: </t>
    </r>
    <r>
      <rPr>
        <sz val="11"/>
        <color theme="1"/>
        <rFont val="Calibri"/>
        <family val="2"/>
        <scheme val="minor"/>
      </rPr>
      <t xml:space="preserve">Se realizó la evaluación de 17 acciones de las cuales se cerraron 13, es decir el 76,4%.
El porcentaje acumulado se calcula sumando la totalidad de acciones evaluadas en la vigencia (80 acciones) sobre las cerradas (69 acciones); esto arroja un avance acumulado de 86,2%
</t>
    </r>
    <r>
      <rPr>
        <b/>
        <sz val="11"/>
        <color theme="1"/>
        <rFont val="Calibri"/>
        <family val="2"/>
        <scheme val="minor"/>
      </rPr>
      <t>Junio</t>
    </r>
    <r>
      <rPr>
        <sz val="11"/>
        <color theme="1"/>
        <rFont val="Calibri"/>
        <family val="2"/>
        <scheme val="minor"/>
      </rPr>
      <t>: Se realizó la evaluación de 6 acciones de las cuales se cerraron 5, es decir el 83,3%.
El porcentaje acumulado se calcula sumando la totalidad de acciones evaluadas en la vigencia (86 acciones) sobre las cerradas (74 acciones); esto arroja un avance acumulado de 86,2%</t>
    </r>
    <r>
      <rPr>
        <b/>
        <sz val="11"/>
        <color theme="1"/>
        <rFont val="Calibri"/>
        <family val="2"/>
        <scheme val="minor"/>
      </rPr>
      <t xml:space="preserve">
Julio</t>
    </r>
    <r>
      <rPr>
        <sz val="11"/>
        <color theme="1"/>
        <rFont val="Calibri"/>
        <family val="2"/>
        <scheme val="minor"/>
      </rPr>
      <t xml:space="preserve">: Se realizó la evaluación de 6 acciones de las cuales se cerraron 6, es decir el 100%.
El porcentaje acumulado se calcula sumando la totalidad de acciones evaluadas en la vigencia (92 acciones) sobre las cerradas (80 acciones); esto arroja un avance acumulado de 87%
</t>
    </r>
    <r>
      <rPr>
        <b/>
        <sz val="11"/>
        <color theme="1"/>
        <rFont val="Calibri"/>
        <family val="2"/>
        <scheme val="minor"/>
      </rPr>
      <t>Agosto</t>
    </r>
    <r>
      <rPr>
        <sz val="11"/>
        <color theme="1"/>
        <rFont val="Calibri"/>
        <family val="2"/>
        <scheme val="minor"/>
      </rPr>
      <t xml:space="preserve">: Se realizó la evaluación de 10 acciones de las cuales se cerraron 9, es decir el 90%.
El porcentaje acumulado se calcula sumando la totalidad de acciones evaluadas en la vigencia (102 acciones) sobre las cerradas (89 acciones); esto arroja un avance acumulado de 87,2%
</t>
    </r>
    <r>
      <rPr>
        <b/>
        <sz val="11"/>
        <color theme="1"/>
        <rFont val="Calibri"/>
        <family val="2"/>
        <scheme val="minor"/>
      </rPr>
      <t>Septiembre</t>
    </r>
    <r>
      <rPr>
        <sz val="11"/>
        <color theme="1"/>
        <rFont val="Calibri"/>
        <family val="2"/>
        <scheme val="minor"/>
      </rPr>
      <t>: Se realizó la evaluación de 8 acciones de las cuales se cerraron 6, es decir el 75%.
El porcentaje acumulado se calcula sumando la totalidad de acciones evaluadas en la vigencia (110 acciones) sobre las cerradas (95 acciones); esto arroja un avance acumulado de 86,3%</t>
    </r>
  </si>
  <si>
    <r>
      <rPr>
        <b/>
        <sz val="11"/>
        <color theme="1"/>
        <rFont val="Calibri"/>
        <family val="2"/>
        <scheme val="minor"/>
      </rPr>
      <t xml:space="preserve">Enero: </t>
    </r>
    <r>
      <rPr>
        <sz val="11"/>
        <color theme="1"/>
        <rFont val="Calibri"/>
        <family val="2"/>
        <scheme val="minor"/>
      </rPr>
      <t xml:space="preserve">Se evaluaron 56 acciones de las cuales se cerraron 50, es decir el 89,2%
</t>
    </r>
    <r>
      <rPr>
        <b/>
        <sz val="11"/>
        <color theme="1"/>
        <rFont val="Calibri"/>
        <family val="2"/>
        <scheme val="minor"/>
      </rPr>
      <t>Febrero:</t>
    </r>
    <r>
      <rPr>
        <sz val="11"/>
        <color theme="1"/>
        <rFont val="Calibri"/>
        <family val="2"/>
        <scheme val="minor"/>
      </rPr>
      <t xml:space="preserve"> Se evaluaron en el mes 26 acciones de las cuales se cerraron 22, es decir el 84,6%. 
</t>
    </r>
    <r>
      <rPr>
        <b/>
        <sz val="11"/>
        <color theme="1"/>
        <rFont val="Calibri"/>
        <family val="2"/>
        <scheme val="minor"/>
      </rPr>
      <t xml:space="preserve">
Marzo</t>
    </r>
    <r>
      <rPr>
        <sz val="11"/>
        <color theme="1"/>
        <rFont val="Calibri"/>
        <family val="2"/>
        <scheme val="minor"/>
      </rPr>
      <t xml:space="preserve">: Se evaluaron en el mes 36 acciones de las cuales se cerraron 36, es decir el 100%.
El porcentaje acumulado se calcula sumando la totalidad de acciones evaluadas en la vigencia (118 acciones) sobre las cerradas (108 acciones); esto arroja un avance acumulado de 91,5%
</t>
    </r>
    <r>
      <rPr>
        <b/>
        <sz val="11"/>
        <color theme="1"/>
        <rFont val="Calibri"/>
        <family val="2"/>
        <scheme val="minor"/>
      </rPr>
      <t>Abril</t>
    </r>
    <r>
      <rPr>
        <sz val="11"/>
        <color theme="1"/>
        <rFont val="Calibri"/>
        <family val="2"/>
        <scheme val="minor"/>
      </rPr>
      <t xml:space="preserve">: No se adelantaron evaluaciónes en el mes de abril
</t>
    </r>
    <r>
      <rPr>
        <b/>
        <sz val="11"/>
        <color theme="1"/>
        <rFont val="Calibri"/>
        <family val="2"/>
        <scheme val="minor"/>
      </rPr>
      <t xml:space="preserve">Mayo: </t>
    </r>
    <r>
      <rPr>
        <sz val="11"/>
        <color theme="1"/>
        <rFont val="Calibri"/>
        <family val="2"/>
        <scheme val="minor"/>
      </rPr>
      <t xml:space="preserve">No se adelantaron evaluaciónes en el mes de mayo
</t>
    </r>
    <r>
      <rPr>
        <b/>
        <sz val="11"/>
        <color theme="1"/>
        <rFont val="Calibri"/>
        <family val="2"/>
        <scheme val="minor"/>
      </rPr>
      <t xml:space="preserve">Junio </t>
    </r>
    <r>
      <rPr>
        <sz val="11"/>
        <color theme="1"/>
        <rFont val="Calibri"/>
        <family val="2"/>
        <scheme val="minor"/>
      </rPr>
      <t xml:space="preserve">:  Se evaluaron en el mes 3 acciones de las cuales se cerraron 3, es decir el 100%.
El porcentaje acumulado se calcula sumando la totalidad de acciones evaluadas en la vigencia (121 acciones) sobre las cerradas (111 acciones); esto arroja un avance acumulado de 91,7%
</t>
    </r>
    <r>
      <rPr>
        <b/>
        <sz val="11"/>
        <color theme="1"/>
        <rFont val="Calibri"/>
        <family val="2"/>
        <scheme val="minor"/>
      </rPr>
      <t xml:space="preserve">Julio </t>
    </r>
    <r>
      <rPr>
        <sz val="11"/>
        <color theme="1"/>
        <rFont val="Calibri"/>
        <family val="2"/>
        <scheme val="minor"/>
      </rPr>
      <t>:  Se evaluaron en el mes 1 acciones de las cuales se cerraron 1, es decir el 100%.
El porcentaje acumulado se calcula sumando la totalidad de acciones evaluadas en la vigencia (122 acciones) sobre las cerradas (112 acciones); esto arroja un avance acumulado de 92%</t>
    </r>
  </si>
  <si>
    <r>
      <rPr>
        <b/>
        <sz val="11"/>
        <color theme="1"/>
        <rFont val="Calibri"/>
        <family val="2"/>
        <scheme val="minor"/>
      </rPr>
      <t xml:space="preserve">Enero: </t>
    </r>
    <r>
      <rPr>
        <sz val="11"/>
        <color theme="1"/>
        <rFont val="Calibri"/>
        <family val="2"/>
        <scheme val="minor"/>
      </rPr>
      <t xml:space="preserve">Se evaluaron 56 acciones de las cuales se cerraron 50, es decir el 89,2%
</t>
    </r>
    <r>
      <rPr>
        <b/>
        <sz val="11"/>
        <color theme="1"/>
        <rFont val="Calibri"/>
        <family val="2"/>
        <scheme val="minor"/>
      </rPr>
      <t>Febrero:</t>
    </r>
    <r>
      <rPr>
        <sz val="11"/>
        <color theme="1"/>
        <rFont val="Calibri"/>
        <family val="2"/>
        <scheme val="minor"/>
      </rPr>
      <t xml:space="preserve"> Se evaluaron en el mes 26 acciones de las cuales se cerraron 22, es decir el 84,6%. 
</t>
    </r>
    <r>
      <rPr>
        <b/>
        <sz val="11"/>
        <color theme="1"/>
        <rFont val="Calibri"/>
        <family val="2"/>
        <scheme val="minor"/>
      </rPr>
      <t xml:space="preserve">
Marzo</t>
    </r>
    <r>
      <rPr>
        <sz val="11"/>
        <color theme="1"/>
        <rFont val="Calibri"/>
        <family val="2"/>
        <scheme val="minor"/>
      </rPr>
      <t xml:space="preserve">: Se evaluaron en el mes 36 acciones de las cuales se cerraron 36, es decir el 100%.
El porcentaje acumulado se calcula sumando la totalidad de acciones evaluadas en la vigencia (118 acciones) sobre las cerradas (108 acciones); esto arroja un avance acumulado de 91,5%
</t>
    </r>
    <r>
      <rPr>
        <b/>
        <sz val="11"/>
        <color theme="1"/>
        <rFont val="Calibri"/>
        <family val="2"/>
        <scheme val="minor"/>
      </rPr>
      <t>Abril</t>
    </r>
    <r>
      <rPr>
        <sz val="11"/>
        <color theme="1"/>
        <rFont val="Calibri"/>
        <family val="2"/>
        <scheme val="minor"/>
      </rPr>
      <t xml:space="preserve">: No se adelantaron evaluaciónes en el mes de abril
</t>
    </r>
    <r>
      <rPr>
        <b/>
        <sz val="11"/>
        <color theme="1"/>
        <rFont val="Calibri"/>
        <family val="2"/>
        <scheme val="minor"/>
      </rPr>
      <t xml:space="preserve">Mayo: </t>
    </r>
    <r>
      <rPr>
        <sz val="11"/>
        <color theme="1"/>
        <rFont val="Calibri"/>
        <family val="2"/>
        <scheme val="minor"/>
      </rPr>
      <t xml:space="preserve">No se adelantaron evaluaciónes en el mes de mayo
</t>
    </r>
    <r>
      <rPr>
        <b/>
        <sz val="11"/>
        <color theme="1"/>
        <rFont val="Calibri"/>
        <family val="2"/>
        <scheme val="minor"/>
      </rPr>
      <t xml:space="preserve">Junio </t>
    </r>
    <r>
      <rPr>
        <sz val="11"/>
        <color theme="1"/>
        <rFont val="Calibri"/>
        <family val="2"/>
        <scheme val="minor"/>
      </rPr>
      <t xml:space="preserve">:  Se evaluaron en el mes 3 acciones de las cuales se cerraron 3, es decir el 100%.
El porcentaje acumulado se calcula sumando la totalidad de acciones evaluadas en la vigencia (121 acciones) sobre las cerradas (111 acciones); esto arroja un avance acumulado de 91,7%
</t>
    </r>
    <r>
      <rPr>
        <b/>
        <sz val="11"/>
        <color theme="1"/>
        <rFont val="Calibri"/>
        <family val="2"/>
        <scheme val="minor"/>
      </rPr>
      <t xml:space="preserve">Julio </t>
    </r>
    <r>
      <rPr>
        <sz val="11"/>
        <color theme="1"/>
        <rFont val="Calibri"/>
        <family val="2"/>
        <scheme val="minor"/>
      </rPr>
      <t xml:space="preserve">:  Se evaluaron en el mes 1 acciones de las cuales se cerraron 1, es decir el 100%.
El porcentaje acumulado se calcula sumando la totalidad de acciones evaluadas en la vigencia (122 acciones) sobre las cerradas (112 acciones); esto arroja un avance acumulado de 92%
</t>
    </r>
    <r>
      <rPr>
        <b/>
        <sz val="11"/>
        <color theme="1"/>
        <rFont val="Calibri"/>
        <family val="2"/>
        <scheme val="minor"/>
      </rPr>
      <t xml:space="preserve">
Agosto</t>
    </r>
    <r>
      <rPr>
        <sz val="11"/>
        <color theme="1"/>
        <rFont val="Calibri"/>
        <family val="2"/>
        <scheme val="minor"/>
      </rPr>
      <t xml:space="preserve"> :  Se evaluaron en el mes 2 acciones de las cuales se cerraron 2, es decir el 100%.
El porcentaje acumulado se calcula sumando la totalidad de acciones evaluadas en la vigencia (124 acciones) sobre las cerradas (114 acciones); esto arroja un avance acumulado de 92%</t>
    </r>
  </si>
  <si>
    <r>
      <rPr>
        <b/>
        <sz val="11"/>
        <color theme="1"/>
        <rFont val="Calibri"/>
        <family val="2"/>
        <scheme val="minor"/>
      </rPr>
      <t xml:space="preserve">Enero: </t>
    </r>
    <r>
      <rPr>
        <sz val="11"/>
        <color theme="1"/>
        <rFont val="Calibri"/>
        <family val="2"/>
        <scheme val="minor"/>
      </rPr>
      <t xml:space="preserve">Se evaluaron 56 acciones de las cuales se cerraron 50, es decir el 89,2%
</t>
    </r>
    <r>
      <rPr>
        <b/>
        <sz val="11"/>
        <color theme="1"/>
        <rFont val="Calibri"/>
        <family val="2"/>
        <scheme val="minor"/>
      </rPr>
      <t>Febrero:</t>
    </r>
    <r>
      <rPr>
        <sz val="11"/>
        <color theme="1"/>
        <rFont val="Calibri"/>
        <family val="2"/>
        <scheme val="minor"/>
      </rPr>
      <t xml:space="preserve"> Se evaluaron en el mes 26 acciones de las cuales se cerraron 22, es decir el 84,6%. 
</t>
    </r>
    <r>
      <rPr>
        <b/>
        <sz val="11"/>
        <color theme="1"/>
        <rFont val="Calibri"/>
        <family val="2"/>
        <scheme val="minor"/>
      </rPr>
      <t xml:space="preserve">
Marzo</t>
    </r>
    <r>
      <rPr>
        <sz val="11"/>
        <color theme="1"/>
        <rFont val="Calibri"/>
        <family val="2"/>
        <scheme val="minor"/>
      </rPr>
      <t xml:space="preserve">: Se evaluaron en el mes 36 acciones de las cuales se cerraron 36, es decir el 100%.
El porcentaje acumulado se calcula sumando la totalidad de acciones evaluadas en la vigencia (118 acciones) sobre las cerradas (108 acciones); esto arroja un avance acumulado de 91,5%
</t>
    </r>
    <r>
      <rPr>
        <b/>
        <sz val="11"/>
        <color theme="1"/>
        <rFont val="Calibri"/>
        <family val="2"/>
        <scheme val="minor"/>
      </rPr>
      <t>Abril</t>
    </r>
    <r>
      <rPr>
        <sz val="11"/>
        <color theme="1"/>
        <rFont val="Calibri"/>
        <family val="2"/>
        <scheme val="minor"/>
      </rPr>
      <t xml:space="preserve">: No se adelantaron evaluaciónes en el mes de abril
</t>
    </r>
    <r>
      <rPr>
        <b/>
        <sz val="11"/>
        <color theme="1"/>
        <rFont val="Calibri"/>
        <family val="2"/>
        <scheme val="minor"/>
      </rPr>
      <t xml:space="preserve">Mayo: </t>
    </r>
    <r>
      <rPr>
        <sz val="11"/>
        <color theme="1"/>
        <rFont val="Calibri"/>
        <family val="2"/>
        <scheme val="minor"/>
      </rPr>
      <t xml:space="preserve">No se adelantaron evaluaciónes en el mes de mayo
</t>
    </r>
    <r>
      <rPr>
        <b/>
        <sz val="11"/>
        <color theme="1"/>
        <rFont val="Calibri"/>
        <family val="2"/>
        <scheme val="minor"/>
      </rPr>
      <t xml:space="preserve">Junio </t>
    </r>
    <r>
      <rPr>
        <sz val="11"/>
        <color theme="1"/>
        <rFont val="Calibri"/>
        <family val="2"/>
        <scheme val="minor"/>
      </rPr>
      <t xml:space="preserve">:  Se evaluaron en el mes 3 acciones de las cuales se cerraron 3, es decir el 100%.
El porcentaje acumulado se calcula sumando la totalidad de acciones evaluadas en la vigencia (121 acciones) sobre las cerradas (111 acciones); esto arroja un avance acumulado de 91,7%
</t>
    </r>
    <r>
      <rPr>
        <b/>
        <sz val="11"/>
        <color theme="1"/>
        <rFont val="Calibri"/>
        <family val="2"/>
        <scheme val="minor"/>
      </rPr>
      <t xml:space="preserve">Julio </t>
    </r>
    <r>
      <rPr>
        <sz val="11"/>
        <color theme="1"/>
        <rFont val="Calibri"/>
        <family val="2"/>
        <scheme val="minor"/>
      </rPr>
      <t xml:space="preserve">:  Se evaluaron en el mes 1 acciones de las cuales se cerraron 1, es decir el 100%.
El porcentaje acumulado se calcula sumando la totalidad de acciones evaluadas en la vigencia (122 acciones) sobre las cerradas (112 acciones); esto arroja un avance acumulado de 92%
</t>
    </r>
    <r>
      <rPr>
        <b/>
        <sz val="11"/>
        <color theme="1"/>
        <rFont val="Calibri"/>
        <family val="2"/>
        <scheme val="minor"/>
      </rPr>
      <t xml:space="preserve">
Agosto</t>
    </r>
    <r>
      <rPr>
        <sz val="11"/>
        <color theme="1"/>
        <rFont val="Calibri"/>
        <family val="2"/>
        <scheme val="minor"/>
      </rPr>
      <t xml:space="preserve"> :  Se evaluaron en el mes 2 acciones de las cuales se cerraron 2, es decir el 100%.
El porcentaje acumulado se calcula sumando la totalidad de acciones evaluadas en la vigencia (124 acciones) sobre las cerradas (114 acciones); esto arroja un avance acumulado de 92%
</t>
    </r>
    <r>
      <rPr>
        <b/>
        <sz val="11"/>
        <color theme="1"/>
        <rFont val="Calibri"/>
        <family val="2"/>
        <scheme val="minor"/>
      </rPr>
      <t xml:space="preserve">
Septiembre :</t>
    </r>
    <r>
      <rPr>
        <sz val="11"/>
        <color theme="1"/>
        <rFont val="Calibri"/>
        <family val="2"/>
        <scheme val="minor"/>
      </rPr>
      <t xml:space="preserve">  Se evaluaron en el mes 22 acciones de las cuales se cerraron 21, es decir el 95,4%.
El porcentaje acumulado se calcula sumando la totalidad de acciones evaluadas en la vigencia (146 acciones) sobre las cerradas (135 acciones); esto arroja un avance acumulado de 92,4%</t>
    </r>
  </si>
  <si>
    <t>Los terminos de las actuaciones discplinarias se encuentran suspendidos</t>
  </si>
  <si>
    <t>Durante el mes de septiembre  se emitieron  28 Actos administrativos.</t>
  </si>
  <si>
    <t>Durante el mes de julio se capacitan  10 colaboradores de Anla con alto grado de satisfacción.</t>
  </si>
  <si>
    <t>Durante el mes de agosto se capacitan  91 colaboradores de Anla con alto grado de satisfacción.</t>
  </si>
  <si>
    <t>Durante el mes de septiembre se capacitan  265 colaboradores de Anla con alto grado de satisfacción.</t>
  </si>
  <si>
    <t>En el mes de septiembre, el consumo total fue de 24.278 número de páginas (No. de hojas por peso: 59 kg), para un ahorro del 91%; comparado con el consumo promedio anual histórico de hojas que es de 128.751 (No. de hojas por peso: 627 kg)
La meta se supera teniendo en cuenta la contingencia por el COVID-19 y la ausencia de usuarios internos en la entidad. El acumulado en reducción de papel es de 76,51%</t>
  </si>
  <si>
    <t>A corte 30 de septiembre  de 2020, el grupo Caribe-Pacifico ha expedido 329  actos administrativos que acogen el seguimiento a proyectos licenciados, de los cuales 35 corresponden a rezago vigencia 2019 ( 3 acta de oralidad y 32 autos de seguimiento), se han realizado 294 para vigencia actual, discriminados en 84 actas de oralidad, 189 autos de seguimiento y 20resoluciones.</t>
  </si>
  <si>
    <t>POR REGALÍAS</t>
  </si>
  <si>
    <t>Hidrocarburos REGALIAS</t>
  </si>
  <si>
    <t>Porcentaje de solicitudes de licenciamiento ambiental de los sectores hidrocarburos y minería resueltas dentro de tiempos de la normatividad ambiental vigente</t>
  </si>
  <si>
    <t>(Número de actos administrativos de los sectores de hidrocarburos y minería finalizados que resuelven solicitudes de evaluación a licencias ambientales dentro de términos del decreto 1076 / Número de solicitudes de licenciamiento ambiental a atender por los sectores de hidrocarburos y minería con vencimiento de términos) * 100\\n</t>
  </si>
  <si>
    <t>Camilo Alfonso Perez Otero</t>
  </si>
  <si>
    <t>Para el sector hidrocarburos se dio respueta en tèrminos a 3 expedientes de un total de tres a resolver</t>
  </si>
  <si>
    <t>Para el sector hidrocarburos se dio respuesta en tèrminos a 6 expedientes de un total de 6 a resolver. De estos tres corresponden a solicitud de nueva LA y los otros tres a modificación de LA existente</t>
  </si>
  <si>
    <t>Para el sector hidrocarburos se dio respuesta en tèrminos a 9 expedientes de un total de 9 a resolver. De estos 5 corresponden a solicitud de nueva LA y los otros 4 a modificación de LA existente</t>
  </si>
  <si>
    <t>Para el sector hidrocarburos se dio respuesta en términos a 13 expedientes de un total de 13 a resolver. De estos, 7 corresponden a solicitud de nueva LA y los otros 6 a modificación de LA existente</t>
  </si>
  <si>
    <t>Para el sector hidrocarburos se dio respuesta en términos a 15 expedientes de un total de 15 por resolver. De estos, 9 corresponden a solicitud de nueva LA y los otros 6 a modificación de LA existente. Las evaluaciones resueltas en mayo: LAV0051-00-2019 (archiva) y LAV0065-00-2018 (otorga)</t>
  </si>
  <si>
    <t>Con corte a junio de 2020, el sector hidrocarburos acumuló  16 respuestas a solicitudes en términos de un total de 16 por resolver. De estos, 10 corresponden a solicitud de nueva LA y los otros 6 a modificación de LA existente. La evaluación con respuesta esperada  en junio: LAV0025-00-2018 (archivo y devolución de la documentación) AREA DE PERFORACIóN EXPLORATORIA MARLíN -  - LICENCIA AMBIENTAL.</t>
  </si>
  <si>
    <t xml:space="preserve">Con corte a julio de 2020, el sector hidrocarburos se mantuvo con 16 respuestas a solicitudes en términos de un total de 16 por resolver. De estos, 10 corresponden a solicitud de nueva LA y los otros 6 a modificación de LA existente. </t>
  </si>
  <si>
    <t xml:space="preserve">Con corte a agosto de 2020, el sector hidrocarburos se mantuvo con 16 respuestas a solicitudes en términos de un total de 16 por resolver. De estos, 10 corresponden a solicitud de nueva LA y los otros 6 a modificación de LA existente. </t>
  </si>
  <si>
    <t xml:space="preserve">Con corte a septiembre de 2020, el sector hidrocarburos se mantuvo con 16 respuestas a solicitudes en términos de un total de 16 por resolver. De estos, 10 corresponden a solicitud de nueva LA y los otros 6 a modificación de LA existente. </t>
  </si>
  <si>
    <t>Actos administrativos expedidos para resolver el seguimiento a proyectos licenciados</t>
  </si>
  <si>
    <t>Número de actos administrativos que acogen el seguimiento realizado a los proyectos licenciados</t>
  </si>
  <si>
    <t>En enero no se programaron visitas dado que no se habían incorporado las ternas completas. Se realizó la planeación trimestral de los proyectos sujetos a seguimiento. Se asignaron 40 expedientes para el primer trimestre.</t>
  </si>
  <si>
    <t>Se realizaron 19 visistas de seguimiento cuyos Conceptos Técnicos se encuentran en ejecución.  Se cuenta con un (1) CT numerado tipo documental</t>
  </si>
  <si>
    <t>En el primer trimestre del año se hizo énfasis en las visitas de campo para u total de 27, de estas, se han numerado 11 conceptos técnicos, de los cuáles 1 avanzó hasta la expedición del Acto Administrativo de Seguimiento</t>
  </si>
  <si>
    <t>Con la priorización de las visitas en el primer trimestre del año, al mes de abril los profesionales del equipo de Regalías habían participado en 21 CT con visitas y 6 documentales. 17 Actos Administrativos numerados contaron con la participación de profesionales del equipo de regalías</t>
  </si>
  <si>
    <t>Con la priorización de las visitas en el primer trimestre del año, al mes de mayo los profesionales del equipo de Regalías habían participado en  27 CT con visitas y 22 documentales para un total de 49 CT. 21 Actos Administrativos numerados contaron con la participación de profesionales del equipo de regalías</t>
  </si>
  <si>
    <t>A corte de 30 de junio, se cuenta con la totalidad de 95 Conceptos Técnicos correspondientes a la meta. De estos, 38 contaron con visitas técnicas priorizadas en el primer trimestre del año. El resto fueron documentales. De la totalidad de Conceptos Técnicos, 37 pasaron a acto administrativo, acta o auto de seguimiento numerado.</t>
  </si>
  <si>
    <t>A corte de 31 de julio, los profesionales de regalías han participado en los procesos de seguimiento hasta la expedición de  78 Actos administrativos. Se desarrolló la primera visita en la modalidad guíada, no presencial. Se cuenta con 104 Conceptos Técnicos numerados, paso previo a la proyección del acto administrativo.</t>
  </si>
  <si>
    <t>A corte de 31 de agosto, los profesionales de regalías han participado en los procesos de seguimiento hasta la expedición de 117  Actos administrativos. Se desarrolló una segunda  visita en la modalidad guíada no presencial. El equipo ha apoyado la elaboración de 278 Conbceptos Técnicos, paso previo a la proyección del acto administrativo.</t>
  </si>
  <si>
    <t>A corte de 30 de septiembre, los profesionales de regalías han participado en los procesos de seguimiento hasta la expedición de 128  Actos administrativos. Se desarrolló una  visita en la modalidad guíada no presencial del sector minería. El equipo ha apoyado la elaboración de 289 Conceptos Técnicos, paso previo a la proyección del acto administrativo. Vale la pena mencionar que buena parte del equipo inicial contratado con recursos de regalías terminó contrato en agosto sin continuidad ante la no liberación a la fecha de los recurso bloqueados.</t>
  </si>
  <si>
    <t>Porcentaje de acciones de presencia institucional en región (APIR) desarrolladas por ANLA</t>
  </si>
  <si>
    <t>(Número de APIR desarrolladas/ número APIR programadas)* 100</t>
  </si>
  <si>
    <t>Se realizó seguimiento a contingencia de escape de gas en pozo en abandono (MKMS Cruzsur) en el departamento de La Guajira. En enero no se habían vinculado los Inspectores Regionales en los departamentos de vocación productora de hidrocarburos</t>
  </si>
  <si>
    <t>Se realizò un total de 27 acciones de presencia institucional en el territorio, de un total de 19 programadas concentradas en los departamentos de Meta y Caquetá</t>
  </si>
  <si>
    <t>Se realizò un total de 49 acciones de presencia institucional en el territorio, de un total de 74 programadas concentradas en los departamentos de Meta y Caquetá. Las restricciones al desplazamiento intermunicipal dificultó el desarrollo de acciones ya programadas.</t>
  </si>
  <si>
    <t>Se realizó un total de 51 acciones de presencia institucional en el territorio, de un total de 76 programadas concentradas en los departamentos de Meta y Caquetá. Las restricciones al desplazamiento intermunicipal dificultó el desarrollo de acciones ya programadas. Para el mes de abril, dada las restriciones de moviliad, para las regiones o departamentos con vocacion productora de hidrocarburos  se realizaron 12 fichas de identificación de conflictividad socioambiental, cuatro (4) documentos de análisis de denuncias ambientales, cuatro (4) ducumentos de análisis de Planes de Acción de las CAR con jurisdicción en Magdalena Medio, Meta, Caquetá y Huila-Tolima. Dos encuentros virtuales con Cormacarena y la Gobernación del Meta.</t>
  </si>
  <si>
    <t>A 31 de mayo se realizaron 136 acciones de presencia institucional en el territorio, de un total de 157 programadas, concentradas en los departamentos de Meta y Caquetá. Las restricciones al desplazamiento intermunicipal dificultaron el desarrollo de acciones ya programadas, sin embargo la asistencia y acciones se han desarrollado por distintos medios de comunicación. En abril, mientras la estrategia se adaptaba y rediseñaba a las nuevas realidades, se desarrollaron 12 fichas de identificación de conflictividad socioambiental, cuatro (4) documentos de análisis de denuncias ambientales, cuatro (4) ducumentos de análisis de Planes de Acción de las CAR con jurisdicción en Magdalena Medio, Meta, Caquetá y Huila-Tolima. Dos encuentros virtuales con Cormacarena y la Gobernación del Meta.</t>
  </si>
  <si>
    <t>A 30 de junio se han realizado 218 acciones de presencia institucional en el territorio, de un total de 249 programadas, concentradas en los departamentos de Meta y Caquetá, segidos por la región Huila-Tolima y Magdalena medio. Ante las dificultades de movilización, la estrategia territorial se ha venido adaptando. En junio predominó el desarrollo de los Cursos Virtuales de Licenciamiento Ambiental, con un total de 35 activiadades de este tipo en los departamentos con presencia de proyectos de HC. Adicionalmente se desarrollaron reuniones institucionales y apoyo a actividades de evaluación y seguimiento como atención a contingencia en el Campo Moquetá y vereda Rubiales</t>
  </si>
  <si>
    <t>Para el sector hidrocarburos, a 31 de julio se han realizado 306 acciones de presencia institucional en el territorio, de un total de 339 programadas, concentradas en los departamentos de Meta, Huila -Tolima, seguidos por Caquetá y Magdalena medio. En julio predominaron las acciones de Pedagogía Institucional, seguido del desarrollo de los Cursos Virtuales de Licenciamiento Ambiental y Reuniones Institucionales. Se dió respuesta a 5 PQRSD y  se desarrollaron reuniones de apoyo a actividades de evaluación y seguimiento como atención a contingencia en Guamal-Meta</t>
  </si>
  <si>
    <t>Para el sector hidrocarburos, a 31 de agosto se han realizado 379 acciones de presencia institucional en el territorio, de un total de 412 programadas, concentradas en los departamentos de Meta, Huila -Tolima, seguidos por Caquetá y Magdalena medio. En agosto predominaron las acciones de Pedagogía Institucional, seguido del desarrollo de los Cursos Virtuales de Licenciamiento Ambiental y Reuniones Institucionales. Se dió respuesta y seguimiento a 5 PQRSD.</t>
  </si>
  <si>
    <t>Para el sector hidrocarburos, a 30 de septiembre se han realizado 449 acciones de presencia institucional en el territorio, de un total de 482 programadas, concentradas en los departamentos de Meta, Huila -Tolima, seguidos por Caquetá y Magdalena medio. En septiembre predominaron las acciones de Pedagogía Institucional, seguido del desarrollo de los Cursos Virtuales de Licenciamiento Ambiental y Reuniones Institucionales. Se registró y realizó seguimiento a 1 PQRSD. En este mes se reiniciaron las visitas presenciales. Se realizaron acciones de atención de constingencias ambientales en el municipio de Puerto Gaitán-Meta</t>
  </si>
  <si>
    <t>Minería regalias</t>
  </si>
  <si>
    <t>Para el sector minería se dio se dio respuesta en términos a 3 expedientes de un total de tres a resolver. Todos corresponden a solicitud de modificación a LA</t>
  </si>
  <si>
    <t>Para el sector minería se dio se dio respuesta en términos a 5 expedientes de un total de 5 a resolver. De estos, 3 corresponden a solicitud de modificación a LA y 2 nuevas solicitudes de LA</t>
  </si>
  <si>
    <t>En abril no se presentaron solicitudes a Resolver. Para este sector se han dado respuesta en términos a 5 expedientes de un total de 5 a resolver. De estos, 3 corresponden a solicitud de modificación a LA y 2 nuevas solicitudes de LA</t>
  </si>
  <si>
    <t>Para el sector minería no se tenían solicitudes de LA con fecha esperada de respuesta en el mes de mayo. Para este sector, en el acumulado del año se han dado respuesta en términos a 5 expedientes de un total de 5 a resolver. De estos, 3 corresponden a solicitud de modificación a LA y 2 nuevas solicitudes de LA. LAV0051-00-2017 (Otorga) y LAV0013-00-2018 (Archiva y devuelve documentación)</t>
  </si>
  <si>
    <t>Para el sector minería no se tenían solicitudes de LA con fecha esperada de respuesta en el mes de junio. Para este sector, en el acumulado del año se han dado respuesta en términos a 5 expedientes de un total de 5 a resolver. De estos, 3 corresponden a solicitud de modificación a LA y 2 nuevas solicitudes de LA. LAV0051-00-2017 (Otorga) y LAV0013-00-2018 (Archiva y devuelve documentación)</t>
  </si>
  <si>
    <t>Durante el mes de julio se otorgó solicitud a modificación de licencia al expediente LAM1203 (Flanco Occidental del Sinclinal Jagua de Ibirico). Para este sector, en el acumulado del año se han dado respuesta en términos a 6 expedientes de un total de 6 a resolver. De estos, 4 corresponden a solicitud de modificación a LA y 2 nuevas solicitudes de LA. LAV0051-00-2017 (Otorga) y LAV0013-00-2018 (Archiva y devuelve documentación)</t>
  </si>
  <si>
    <t>Durante el mes de agosto no se presentaron solicitudes de LA por resolver. Para este sector, en el acumulado del año se han dado respuesta en términos a 6 expedientes de un total de 6 a resolver. De estos, 4 corresponden a solicitud de modificación a LA y 2 nuevas solicitudes de LA. LAV0051-00-2017 (Otorga) y LAV0013-00-2018 (Archiva y devuelve documentación)</t>
  </si>
  <si>
    <t>Durante el mes de septiembre no se presentaron solicitudes de LA por resolver. Para este sector, en el acumulado del año se han dado respuesta en términos a 6 expedientes de un total de 6 a resolver. De estos, 4 corresponden a solicitud de modificación a LA y 2 nuevas solicitudes de LA. LAV0051-00-2017 (Otorga) y LAV0013-00-2018 (Archiva y devuelve documentación)</t>
  </si>
  <si>
    <t>En enero no se programaron visitas de seguimiento dado que no se habían incorporado las ternas completas. Se realizó la planeación de los proyectos sujetos a seguimiento. Con el personal vinculado en enero se avanzó en conceptos técnicos</t>
  </si>
  <si>
    <t>Durante el mes de febrero y primera semana de marzo se planeó la realización de visitas para la elaboración de los Conceptos técnicos. Se expidieron tres actos administrativos de seguimiento de igual número de conceptos técnicos </t>
  </si>
  <si>
    <t>Al periodo de corte se realizaron 10 visitas de seguimiento, con 3 conceptos finalizados e igual número de actos admnistrativos finalizados</t>
  </si>
  <si>
    <t>Al 30 de abril el equipo de regalías apoyó en 8 CT numerados, de los cuales 3 requiriron visita técnica y 5 fueron documentales. De estos 8 CT, 1 ha avanando hasta AA numerado. 14 Visitas realizadas durante el primer trimestre cuenta con CT en etapa de revisión o finalización, los cuales deben quedar numerados e incluso con AA en el mes de mayo</t>
  </si>
  <si>
    <t xml:space="preserve">Al 31 de mayo el equipo de regalías apoyó en 26 CT numerados en la región Caribe-Pacífico, de los cuales 16 requireiron visita técnica y 10 fueron documentales. De estos 26 CT, 3 avanzaron hasta AA numerado. </t>
  </si>
  <si>
    <t xml:space="preserve">Al 30 de junio el equipo de regalías apoyó en 26 CT de seguimiento numerados en la región Caribe-Pacífico, de los cuales 16 requireiron visita técnica y 10 fueron documentales. De estos 26 CT, 16 avanzaron hasta Acto Administrativo de seguimiento numerado. </t>
  </si>
  <si>
    <t>Al 30 de julio el equipo de regalías participó en el proceso de seguimiento a proyectos de Minería que finalizaron con 33 actos administrativos numerados. A la fecha existen 44 Conceptos técnicos numerados, de los cuales 11 se encuentran en la etapa jurídica para la elaboración del concepto técnico</t>
  </si>
  <si>
    <t>Al 30 de agosto el equipo de regalías participó en el proceso de seguimiento a proyectos de Minería que finalizaron con 43 actos administrativos numerados. A la fecha existen 47 Conceptos técnicos numerados. Se realizaron 2 visitas guíadas</t>
  </si>
  <si>
    <t>Al 30 de septiembre el equipo de regalías participó en el proceso de seguimiento a 3 proyectos de Minería adicionales para un acumulado de 62 actos administrativos numerados. A la fecha existen 73 Conceptos técnicos numerados. Se realizaron 2 visitas guíadas. Vale la pena mencionar que buana parte del equipo inicial contratado con recursos de regalías terminó contrato en agosto sin continuidad ante la no liberación a la fecha de los recursos bloqueados.</t>
  </si>
  <si>
    <t>El 23 de enero se vinculó un Inspector regional para el departamento de La Guajira. Durante el periodo realizó los contactos con las nuevas administraciones municipales y departamental. Actualizó los formatos y presentaciones de conflictividad en territorio y pedagogia institucional</t>
  </si>
  <si>
    <t>Se realizó un total de 23 acciones de un total de 19 programadas. Estas se concentraron en el departamento de La Guajira</t>
  </si>
  <si>
    <t>En el primer trimestre se ejecutaron 28 acciones de presencia institucional de un total de 32 programadas. Estas se desarrollaron 19 en La Guajira y 9 en Antioquia.</t>
  </si>
  <si>
    <t>En el primer trimestre se ejecutaron 30 acciones de presencia institucional de un total de 34 programadas. Estas se desarrollaron 19 en La Guajira y 9 en Antioquia. Para el mes de abril, dada las restriciones de moviliad, para los departamentos de La Guajira y Antioquia se realizaron 6 fichas de identificación de conflictividad socioambiental, dos (2) documentos de análisis de denuncias ambientales, dos ducumento de análisis de Planes de Acción de las CAR con jurisdicción en Antioquia y La Guajira y dos encuentros virtuales con Corantioquia y Cornare</t>
  </si>
  <si>
    <t>A 31 de mayo, en los departamentos con vocación minera, por parte de los inspectores regionales se han desarrollado 63 acciones de presencia institucional de un total de 73 programadas. Estas se desarrollaron 38 en La Guajira y 25 en Antioquia. En abril, mientras la estrategia se adaptaba y rediseñaba a las nuevas realidades, se realizaron 6 fichas de identificación de conflictividad socioambiental, dos (2) documentos de análisis de denuncias ambientales, dos ducumento de análisis de Planes de Acción de las CAR con jurisdicción en Antioquia y La Guajira y dos encuentros virtuales con Corantioquia y Cornare</t>
  </si>
  <si>
    <t>A 30 de junio, en los departamentos con vocación minera, por parte de los inspectores regionales se han desarrollado 112 acciones de presencia institucional de un total de 129 programadas. En junio predominó el desarrollo de los Cursos Virtuales de Licenciamiento Ambiental, con un total de 15 activiadades de este tipo en los departamentos de Antioquia y La Guajira. Se desarrolló 1 visita Virtual de Evaluación para la Modificación del Plan de Manejo Ambiental, al proyecto “Explotación Aurífera en la cuenca del Río Nechí" LAM0806 y otra para la atención a contingencias en la Vereda Sierra Azul (La Guajira)</t>
  </si>
  <si>
    <t>A 31 de julio, en los departamentos con vocación minera, por parte de los inspectores regionales se han desarrollado 159 acciones de presencia institucional de un total de 177 programadas. En julio predominó el desarrollo de acciones de Pedagogía Institucional y Reuniones institucionales, seguidos por los  Cursos Virtuales de Licenciamiento Ambiental. Se dio respuesta a 2 PQRSD y se apoyó a la Oficina Asesora Jurídica en resuniones de la agenda de trabajo en cumplimiento de la Sentencia T302 en el departamento de La Guajira.</t>
  </si>
  <si>
    <t>A 31 de agosto, en los departamentos con vocación minera, por parte de los inspectores regionales se han desarrollado 214 acciones de presencia institucional de un total de 235 programadas. En agosto predominó el desarrollo de acciones de Pedagogía Institucional y Cursos Virtuales de Licenciamiento Ambiental seguido de Reuniones institucionales. Se dio respuesta a 1 PQRSD y se continuó con el apoyo a la Oficina Asesora Jurídica en reuniones de la agenda de trabajo en cumplimiento de las Sentencia T302 y T704 en el departamento de La Guajira.</t>
  </si>
  <si>
    <t>A 30 de septiembre, en los departamentos con vocación minera, por parte de los inspectores regionales se han desarrollado 258 acciones de presencia institucional de un total de 283 programadas. En septiembre predominó el desarrollo de acciones de Pedagogía Institucional y Cursos Virtuales de Licenciamiento Ambiental seguido de Reuniones institucionales. Se dio respuesta a 1 PQRSD y se continuó con el apoyo a la Oficina Asesora Jurídica en reuniones de la agenda de trabajo en cumplimiento de las Sentencia T302 y T704 en el departamento de La Guajira. En Antioquia se brindó apoyo al seguimiento de los expedientes  LAV0001-00-2020,  LAV0018-00-2015</t>
  </si>
  <si>
    <t>RASP regalias</t>
  </si>
  <si>
    <t>Durante el mes de enero, el equipo contratado con recursos de regalías resolvió dos solicitudes de giro ordinario en términos, una asociada al sector minería y otra al sector hidrocarburos. Además se dio respuesta a un informe de cambio menosasociado al sector idrocarburos, para un total de tres respuestas CMGO en términos</t>
  </si>
  <si>
    <t>El equipo contratado con recursos de regalías resolvió 9 solicitudes de pronunciamientos en términos de un total de nueve (9). De estos, siete (7) corresponden a Cambio Menor y dos (2) GO. Por sectores, ocho (8) pertenecen a HC y uno a Minería.</t>
  </si>
  <si>
    <t>El equipo contratado con recursos de regalías resolvió 20 solicitudes de pronunciamientos en términos de un total de nueve 20. De estos, 17 corresponden a Cambio Menor y 3 GO. Por sectores, 17 pertenecen a HC y 3 a Minería.</t>
  </si>
  <si>
    <t>En abril se resolvieron 7 solicitudes de pronunciamiento, para un acululado de 27. De estos, 20 corresponden a Cambio Menor y 7 GO. Por sectores, 23 pertenecen a HC y 4 a Minería.</t>
  </si>
  <si>
    <t>A 31 de mayo, los profesionales del equipo de regalías, resolvieron 7 solicitudes de pronunciamiento, para un acululado de 27. De estos, 20 corresponden a Cambio Menor y 7 GO. Por sectores, 23 pertenecen a HC y 4 a Minería.</t>
  </si>
  <si>
    <t>A junio de 2020, los profesionales del equipo de regalías han dado respuesta en términos a 34  solicitudes de Giro Ordinario y Cambio Menor. Por sectores, 29 pertenecen a HC y 5 a Minería.</t>
  </si>
  <si>
    <t>Durante el mes de julio, se dio respuesta a 6 solicitudes de Cambio Menor, 5 asociadas a proyectos licenciados del sector hidrocarburos, (1 fuera de términos) y 1 al sector minería. En lo corrido del año, los profesionales del equipo de regalías han dado respuesta  a 40  solicitudes de Giro Ordinario y Cambio Menor. Por sectores, 34 pertenecen a HC y 6 a Minería.</t>
  </si>
  <si>
    <t>Durante el mes de agosto, no se presentaron respuestas de Giro Ordinario y Cambio Menor. En lo corrido del año, los profesionales del equipo de regalías han dado respuesta  a 40  solicitudes de Giro Ordinario y Cambio Menor. Por sectores, 34 pertenecen a HC y 6 a Minería.</t>
  </si>
  <si>
    <t>Durante el mes de septiembre, no se presentaron respuestas de Giro Ordinario y Cambio Menor. En lo corrido del año, los profesionales del equipo de regalías han dado respuesta  a 40  solicitudes de Giro Ordinario y Cambio Menor. Por sectores, 34 pertenecen a HC y 6 a Minería.</t>
  </si>
  <si>
    <t>Compensación y 1% regalias</t>
  </si>
  <si>
    <t>Porcentaje de Actos administrativos de seguimiento a obligaciones del 1% y compensaciones en los sectores Hidrocarburos y Minería</t>
  </si>
  <si>
    <t>(Número de Actos administrativos de respuesta al seguimiento de obligaciones de 1% y compensaciones de los sectores Hidrocarburos y minería / Total proyectos activos que contemplan la obligación de 1% y compensaciones en los sectores hidrocarburos y minería )*100</t>
  </si>
  <si>
    <t>Se numeraron 26 Actos Administrativos de acogimiento de igual número de conceptos técnicos</t>
  </si>
  <si>
    <t>Se numeraron 69 Actos Administrativos de acogimiento de 104 Conceptos Técnicos numerados. Estos representan la viabilidad de proyectos de inversión por 56,017 millones de pesos. El 100% de la meta corresponden a 747 AA, luego, el 55% asciende a 410 AA</t>
  </si>
  <si>
    <t>Se numeraron 128 Actos Administrativos de acogimiento de 162 Conceptos Técnicos numerados. Estos representan la viabilidad de proyectos de inversión por 59,704 millones de pesos viabilizados por el equipo de profesionales finacieros. El 100% de la meta corresponden a 747 AA, luego, el 55% asciende a 410 AA</t>
  </si>
  <si>
    <t>En el mes de abril se numeraron 126 Actos Administrativos adicionales para un acumulado en los primeros 4 meses del año de 255 AA  de acogimiento. Estos representan la viabilidad de proyectos de inversión por $67,476 millones de pesos viabilizados por el equipo de profesionales finacieros. El 100% de la meta corresponden a 747 AA, luego, el 55% asciende a 410 AA.</t>
  </si>
  <si>
    <t>En el mes de mayo se numeraron 85 Actos Administrativos adicionales para un acumulado en los primeros 5 meses del año de 340 AA. Estos representan la viabilidad de proyectos de inversión por $68,952 millones de pesos viabilizados por el equipo de profesionales finacieros. El 100% de la meta corresponden a 747 AA, luego, el 55% asciende a 410 AA.</t>
  </si>
  <si>
    <t>En el mes de junio se numeraron 21 Actos Administrativos adicionales para un acumulado en los primeros 5 meses del año de 361 AA. Estos representan la viabilidad de proyectos de inversión por $72,786 millones de pesos viabilizados por el equipo de profesionales finacieros. El 100% de la meta corresponden a 747 AA, luego, el 55% asciende a 410 AA.</t>
  </si>
  <si>
    <t>En el mes de julio se numeraron 54 Actos Administrativos adicionales para un acumulado en los primeros 7 meses del año de 415 AA. Estos representan la viabilidad de proyectos de inversión por valor de $90,716 millones de pesos avalados por el equipo de profesionales finacieros. El 100% de la meta corresponden a 747 AA, luego, el 55% asciende a 410 AA. Si bien la meta ha sido cumplida, se debe continuar con el proceso de respuesta a solicitudes de acogimiento al articulo 321 de la Ley del Plan Nacional de Desarrollo. Adicionalmente, los que no se acogieron, se debe continuar con el proceso de actualización segun lo consignado en el parágrafo 1 de dicho artículo</t>
  </si>
  <si>
    <t xml:space="preserve">En el mes de agosto se numeraron 51 Actos Administrativos adicionales para un acumulado en los primeros 8 meses del año de 466 AA. Estos representan la viabilidad de proyectos de inversión por valor de $112,602 millones de pesos avalados por el equipo de profesionales finacieros. El incremento significativo frente al valor viabilizado en julio se debió principalmente al seguimiento de los expedientes LAM0155 y LAM3465 del sector de hidrocarburos. Cumplida la meta del 55% del universo de 747 expedientes objeto de seguimiento a esta obligación, el equipo continúa aportando a la meta global. </t>
  </si>
  <si>
    <t xml:space="preserve">En el mes de septiembre se numeraron 36 Actos Administrativos adicionales para un acumulado en los primeros 9 meses del año de 512 AA. Estos representan la viabilidad de proyectos de inversión por valor de $114.607 millones de avalados por el equipo de profesionales finacieros. Por su parte, el valor aceptado mediante Acto Administrativo asciende a $85.731 millones.Cumplida la meta del 55% del universo de 747 expedientes objeto de seguimiento a esta obligación, el equipo continúa aportando a la meta global. </t>
  </si>
  <si>
    <t>Planeación Institucional</t>
  </si>
  <si>
    <t>Orientación estratégica</t>
  </si>
  <si>
    <t>Planeación estratégica</t>
  </si>
  <si>
    <t>Oficina Asesora de Planeación</t>
  </si>
  <si>
    <t>Número de documentos de planeación realizados</t>
  </si>
  <si>
    <t># de documentos elaborados</t>
  </si>
  <si>
    <t>Porcentaje de avance en la elaboración de los planes de acción de las políticas del MIPG</t>
  </si>
  <si>
    <t xml:space="preserve">
∑= Suma de todas los planes de acción programados desde 1 hasta n (i); \nwi= peso porcentual para cada plan de acción; Xi= Valor del plan de acción</t>
  </si>
  <si>
    <t>Jefe Oficina Asesora de Planeación</t>
  </si>
  <si>
    <t>No se reporta avance para el mes de enero</t>
  </si>
  <si>
    <t>Durante el mes de febrero no se presentan avances para este indicador</t>
  </si>
  <si>
    <t>Se empezó con la planeación para la formulación, por esta razón a 29 de febrero no se cuenta con avance en la formulación de estos siete planes</t>
  </si>
  <si>
    <t>A 31 de marzo se cuenta con 9% de avance en la elaboración de los 11 documentos</t>
  </si>
  <si>
    <t>Al corte de marzo 31 no se ha presentado para aprobación ninguno de los planes priorizados para la vigencia 2020.</t>
  </si>
  <si>
    <t>Durante el mes de abril se reporta un avance del 29% de avance en la elaboración de los documentos de planeación. A la fecha se cuenta con los siguientes documentos:
1.Plan de Acción de la Política de  Gestión Presupuestal y eficiencia del Gasto Público.
2. Plan de Acción de la Política de Gobierno Digital
3. Plan de Acción de la Política de Seguridad Digital
4. Plan de Acción de la Política de Mejora Normativa</t>
  </si>
  <si>
    <t>En el mes de abril fueron aprobados los siguientes planes:
1. Plan de Acción de la Política de  Gestión Presupuestal y eficiencia del Gasto Público.
2. Plan de Acción de la Política de Gobierno Digital
3. Plan de Acción de la Política de Seguridad Digital
4. PLan de Acción de la Política de Mejora Normativa</t>
  </si>
  <si>
    <t>A corte de mayo 31, se cuenta con 7 de los 11 documentos de planeación proyectados, los cuales corresponden a las siguientes políticas:  
-  Talento Humano
- Mejora Normativa 
- Gestión Presupuestal y Eficiencia del Gasto Público
- Fortalecimiento Institucional y Simplificación de Procesos
- Gobierno Digital
- Seguridad Digital
- Seguimiento y Evaluación del Desempeño Institucional.</t>
  </si>
  <si>
    <t>A corte de mayo 31, se encuentran aprobados 7 Planes de acción de las siguientes políticas: 
-  Talento Humano
- Mejora Normativa 
- Gestión Presupuestal y Eficiencia del Gasto Público
- Fortalecimiento Institucional y Simplificación de Procesos
- Gobierno Digital
- Seguridad Digital
- Seguimiento y Evaluación del Desempeño Institucional.</t>
  </si>
  <si>
    <t>En  mayo se terminaron de aprobar los 7 Planes de acción de las siguientes políticas, con lo cual se da por finalizada este indicador: 
-  Talento Humano
- Mejora Normativa 
- Gestión Presupuestal y Eficiencia del Gasto Público
- Fortalecimiento Institucional y Simplificación de Procesos
- Gobierno Digital
- Seguridad Digital
- Seguimiento y Evaluación del Desempeño Institucional.</t>
  </si>
  <si>
    <t>A corte 31 de julio, se cuenta con 8 de los 11 documentos de planeación proyectados, los cuales corresponden al mapa de conocimiento explícito de la entidad y los 7 planes de acción para las siguientes políticas:  
-  Talento Humano
- Mejora Normativa 
- Gestión Presupuestal y Eficiencia del Gasto Público
- Fortalecimiento Institucional y Simplificación de Procesos
- Gobierno Digital
- Seguridad Digital
- Seguimiento y Evaluación del Desempeño Institucional.</t>
  </si>
  <si>
    <t>A corte 31 de agosto, se cuenta con 8 de los 11 documentos de planeación proyectados, los cuales corresponden al mapa de conocimiento explícito de la entidad y los 7 planes de acción para las siguientes políticas:  
-  Talento Humano
- Mejora Normativa 
- Gestión Presupuestal y Eficiencia del Gasto Público
- Fortalecimiento Institucional y Simplificación de Procesos
- Gobierno Digital
- Seguridad Digital
- Seguimiento y Evaluación del Desempeño Institucional.</t>
  </si>
  <si>
    <t>A corte 31 de agosto, se cuenta con 10 de los 11 documentos de planeación proyectados, los cuales corresponden al mapa de conocimiento explícito de la entidad, la estrategia de seguimiento, los insumos para la misión de licenciamiento ambiental y los 7 planes de acción para las siguientes políticas:  
-  Talento Humano
- Mejora Normativa 
- Gestión Presupuestal y Eficiencia del Gasto Público
- Fortalecimiento Institucional y Simplificación de Procesos
- Gobierno Digital
- Seguridad Digital
- Seguimiento y Evaluación del Desempeño Institucional.</t>
  </si>
  <si>
    <t>Porcentaje de avance en la elaboración del Mapa de conocimiento explícito de la entidad</t>
  </si>
  <si>
    <t>No se cuenta con avance para el mes de febrero</t>
  </si>
  <si>
    <t>Se elaboró el plan de trabajo para la elaboración del mapa de conocimiento para la entidad.</t>
  </si>
  <si>
    <t>Establecimiento del plan de acción para generar el mapa de conocimiento de ANLA y generación de los formatos para levantar el conocimiento tácito y explícito.
De igual manera se divulgo con el equipo de catalizadores con el fin de tener el inventario de la entidad listo el 20 de mayo y posteriomente diagramar el mapa de conocimiento.</t>
  </si>
  <si>
    <t>Con el equipo de catalizadores de gestión del conocimiento y la innovación se realizó el inventario de conocimiento tácito y explícito de cada una de las áreas y se consolidaron los archivos para tener el conocimiento tácito y explícito de ANLA.</t>
  </si>
  <si>
    <t xml:space="preserve">Este indicador se cumplió en el mes de mayo. </t>
  </si>
  <si>
    <t>El mapa de conocimiento tácito y explícito se entregó en el mes de mayo</t>
  </si>
  <si>
    <t>Porcentaje de avance en la elaboración de la estrategia de seguimiento</t>
  </si>
  <si>
    <t>Se establecieron componentes, ruta de trabajo para la estrategia y se socializo con las dependencias interesadas.</t>
  </si>
  <si>
    <t>6,5%</t>
  </si>
  <si>
    <t>18,5%</t>
  </si>
  <si>
    <t xml:space="preserve">Se estableció la regionalización de los proyectos, se dividió la subdirección de seguimiento por regiones (4 regiones y un sector económico - agroquímicos)
Se ajusto SILA, para la clasificación de los proyectos por región hidrográfica
Se establecieron criterios de definición de proyectos activos, por etapa y subastado.
La periodicidad de los seguimientos se estableció de acuerdo con lo establecido en las resoluciones de otorgamiento del instrumento de control ambiental. </t>
  </si>
  <si>
    <t xml:space="preserve">Se establecio la linea base de los siguientes componentes:
Periodicidad
Niveles de seguimiento
Cumplimiento normativo
Pasivos Ambientales (cierre y/o desmantelamiento)
</t>
  </si>
  <si>
    <t>1. Se recogieron históricos de propuesta de complejidad de años anteriores
2. Se establece fecha de enlace con la estrategia de sostenibilidad financiera (agosto)
3. Se detecto que información relevante de seguimiento se puede integrar a la APP de la entidad
4. Se realizó primera versión del inventario de instrumentos</t>
  </si>
  <si>
    <t>1. Se consolidó inventario de los instrumentos y demás documentos utilizados en el proceso de seguimiento del licenciamiento ambiental
2. Se realizó la primera mesa de trabajo para establecer criterios y procedimientos para establecer los proyectos activos y contribuir con un indicador de cobertura</t>
  </si>
  <si>
    <t xml:space="preserve">Se definieron lineamientos, criterios y metas para los siete componentes de la estrategia, además se elaboró la primera versión del documento final, el cual se encuentra en revisión por parte del Comité Directivo </t>
  </si>
  <si>
    <t>A corte 31 de agosto se cuenta con un 50% de avance en la elaboración de la estrategia de seguimiento</t>
  </si>
  <si>
    <t>Se realizó revisión y ajuste de los componentes de cumplimiento normativo y transparencia, con lo que el cumplimiento ya quedaría completo. Se envía para revisión del Director</t>
  </si>
  <si>
    <t>Porcentaje de avance en la elaboración de insumos para la misión de licenciamiento ambiental</t>
  </si>
  <si>
    <t>Se estableció el cronograma de trabajo y los hitos principales</t>
  </si>
  <si>
    <t xml:space="preserve">	
Se preparó la propuesta del alcance la Misión sobre Licenciamiento Ambiental MLA la cual contiene alcance estrateico, objetivos del a misión, ejes temáticos y recomendaciones generales.</t>
  </si>
  <si>
    <t xml:space="preserve">	
Se preparó la propuesta del alcance la Misión sobre Licenciamiento Ambiental MLA la cual contiene alcance estratégico, objetivos del a misión, hoja de ruta por ejes temáticos y recomendaciones generales sugeridas. Se espera iniciar el proceso de socialización a partir del mes de junio</t>
  </si>
  <si>
    <t>Durante el mes de junio se realizaron actividades de mejoras de forma de hitos ya desarrollados, por lo tanto no se presenta avance para este mes en el plan de trabajo.</t>
  </si>
  <si>
    <t>Se elaboró los insumos y se participó en la reunión para socializar el alcance de la misión propuesto por la Entidad, ante el Ministerio de Ambiente y Desarrollo Sostenible (16/07).</t>
  </si>
  <si>
    <t>Durante el mes de agosto se realizó seguimiento a los insumos para la misión de licenciamiento ambiental  socializados en el mes de julio. Frente a dichos insumos se realizaron ajustes y verificaciones que no modificaron lo ya abordado. En el mes de septiembre se espera editar los insumos ya elaborados, socializarlos a otras áreas al interior de la Entidad y continuar con el seguimiento a los insumos ya compartidos.</t>
  </si>
  <si>
    <t>Durante el mes de septiembre se elaboró  el documento Insumos para la Misión de Licenciamiento Ambiental el cual consta de Marco conceptual, principios y recomendaciones mínimas para la ejecución de la misión y el alcance estratégico. Dicho insumos fueron socializarlos a otras dependencias de la Entidad y se continuó con el a los insumos ya compartidos a otras entidades.</t>
  </si>
  <si>
    <t>Porcentaje de avance en la elaboración de la estrategia de evaluación con énfasis en planeación sectorial</t>
  </si>
  <si>
    <t>Se estableció el cronograma de trabajo y los hitos principales
Se tiene propuesta de componentes de diagnostico para ser cuantificados en el mes de abril</t>
  </si>
  <si>
    <t xml:space="preserve">	
Se propusieron los componentes que harán parte de la Estrategía de Evaluación. Se espera que sean validados para continuar con el diagnosttico y cuantificación.</t>
  </si>
  <si>
    <t xml:space="preserve">	
Se validaron los compontes que harán parte de la Estrategia de Evaluación. Se inició el diagnóstico y la cuantificación de cada uno de ellos.</t>
  </si>
  <si>
    <t>Se consolidó información cuantitativa para diagnosticar los componentes de la estrategia de evaluación. Se realizó presentación inicial del diagnóstico. Se está por avanzar en el componente de socialización de los componentes.</t>
  </si>
  <si>
    <t>Se estableció el plan de acción a partir de las sesiones de socialización y las mesas de trabajo con la Subdirectora de Evaluación de Licenciamiento Ambiental (16/07) y su equipo de trabajo (24, 28, 31/07), el Subdirector de Instrumentos y Trámites Ambientales (29/07), y el Director General (28/07). En el mes de agosto se espera realizar la entrega de la versión inicial  para comentarios</t>
  </si>
  <si>
    <t>Se elaboró  y compartió la versión inicial  de la estrategia. Se compilaron los comentarios realizados por las diferentes dependencias de la Entidad. En el mes de septiembre se espera elaborar la segunda versión acogiendo los comentarios convenientes e integrando los insumos y aportes realizados en las mesas de trabajo realizadas</t>
  </si>
  <si>
    <t>En el mes de septiembre se elaboró la segunda versión acogiendo los comentarios e integrando los insumos y aportes realizados en las mesas de trabajo. Se espera que en el mes de octubre se desarrolle la mesa técnica para abordar comentarios de fondo e incorporarlos en los documentos.</t>
  </si>
  <si>
    <t>Porcentaje de ejecución del Plan de Acción Institucional</t>
  </si>
  <si>
    <t>Porcentaje de avance en la ejecución del Plan de Acción Institucional</t>
  </si>
  <si>
    <t>Porcentaje de avance en la elaboración del tablero de control para temas estratégicos</t>
  </si>
  <si>
    <t>A corte 29 de febrero se cuenta con el plan de trabajo para el tablero estratégico y la primera propuesta de indicadores</t>
  </si>
  <si>
    <t>27,9%</t>
  </si>
  <si>
    <t>Se presentó mapa conceptual del tablero de control, se identificaron los posibles indicadores de impacto, asimismo, se ha ido avanzando en la construcción de un indicador lucha contra la corrupción, y las variables macroeconómicas que servirán como insumo al tablero</t>
  </si>
  <si>
    <t xml:space="preserve">Se  hizo la presentacion en comité directivo de tablero de control propuesto, ahora se proceden a hacer mesas de trabajo para la construccion de aquellos indicadores que no tiene la entidad. </t>
  </si>
  <si>
    <t>Durante el mes de mayo se avanzó en la distribución de indicadores dentro de los miembros del equipo de planeación y se empezaron a hacer mesas de trabajo para la construcción de indicadores que no se tienen en la entidad.</t>
  </si>
  <si>
    <t>Durante el mes de junio se iniciaron las mesas de trabajo para la construcción de los indicadores con las respectivas dependencias y miembros de la OAP.</t>
  </si>
  <si>
    <t>Durante el mes de julio se avanzó con las mesas de trabajo para la construcción de los indicadores con las respectivas dependencias y miembros de la OAP.</t>
  </si>
  <si>
    <t>Para el mes de Agosto, se hizo entraga del primer Indicador estratégico llamado indicador de eficiencia financiera (IEF), paralelamente se siguen realizando las mesas de trabajo de los demas Indicadores Estratégicos.</t>
  </si>
  <si>
    <t>78,3%</t>
  </si>
  <si>
    <t>Durante el mes de septiembre se realizaron mesas de trabajo para la construcción del indicador de lucha contra la corrupción e identificación de variables macroeconómicas. Adicionalmente, se hizo la entrega en su primera fase del indicador de sostenibilidad financiera</t>
  </si>
  <si>
    <t>Herramientas para el seguimiento a metas institucionales</t>
  </si>
  <si>
    <t># herramientas diseñadas</t>
  </si>
  <si>
    <t>Porcentaje de implementación de la herramienta de control de términos en seguimiento de licencias ambientales</t>
  </si>
  <si>
    <t>A la fecha se cuenta con un 46% de avance en este indicador, el cual responde al promedio del avance de las tres herramientas programadas (evaluación licencias, seguimiento licencias y permisos y trámites)</t>
  </si>
  <si>
    <t>Se realizaron los siguientes cambios :
    1) Realizar Cambios de Inicio
    2) Realizar Cambios en Hitos Principales
    3) Actualizar Proyectos Activos
    4) Actualizar Filtros
    5) Actualizar Reportes
    6) Integración de OELA
    7) Actualizar Recursos de Reposición
   8) Se implementaron los numeros       telefonicos</t>
  </si>
  <si>
    <t>A 31 de marzo se cuenta con un 60% de avance en los desarrollos de las herramientas institucionales programadas para la vigencia</t>
  </si>
  <si>
    <t>Se realizaron los siguientes cambios :
    1) Realizar Cambios de Inicio
    2) Realizar Cambios en Hitos Principales
    3) Actualizar Proyectos Activos
    4) Actualizar Filtros
    5) Actualizar Reportes
    6) Integración de OELA
    7) Actualizar Recursos de Reposición
   8) Se implementaron los números telefónicos
   9) Elaborar módulo de SDE
   10 Elaborar módulo de VPI
   11) Realizar alertas
   12) Realizar mapeo de proyectos
   13) Realizar trazabilidad anual</t>
  </si>
  <si>
    <t>A corte 30 de abril se cuenta con un avance del 68% en las tres herramientas programadas para la vigencia</t>
  </si>
  <si>
    <t>Se realizaron los siguientes cambios :
    1) Realizar Cambios de Inicio
    2) Realizar Cambios en Hitos Principales
    3) Actualizar Proyectos Activos
    4) Actualizar Filtros
    5) Actualizar Reportes
    6) Integración de OELA
    7) Actualizar Recursos de Reposición
   8) Se implementaron los numeros telefonicos
   9) Elaborar módulo de SDE
   10 Elaborar módulo de VPI
   11) Realizar alertas
   12) Realizar mapeo de proyectos
   13) Realizar trazabilidad anual
   14) Crear calendarios informativos
   15) Realizar trazabilidad por trámite</t>
  </si>
  <si>
    <t>A corte 31 de mayo las herramientas cuentan con un 68% de avance</t>
  </si>
  <si>
    <t>Durante el mes de mayo se realizaron actividades de mejora de hitos ya desarrollados, por lo tanto no se presenta avance para este mes en el plan de trabajo.</t>
  </si>
  <si>
    <t>A la fecha se cuenta con lo siguiente :
    1) Realizar Cambios de Inicio
    2) Realizar Cambios en Hitos Principales
    3) Actualizar Proyectos Activos
    4) Actualizar Filtros
    5) Actualizar Reportes
    6) Integración de OELA
    7) Actualizar Recursos de Reposición
   8) Se implementaron los numeros telefonicos
   9) Elaborar módulo de SDE
   10 Elaborar módulo de VPI
   11) Realizar alertas
   12) Realizar mapeo de proyectos
   13) Realizar trazabilidad anual
   14) Crear calendarios informativos
   15) Reealizar trazabilidad por trámite
   16) Se realizó la versión inicial de medidas preventivas</t>
  </si>
  <si>
    <t>A corte 31 de julio, las herramientas presentan un avance de 74% en sus planes de trabajo</t>
  </si>
  <si>
    <t>Se realizaron los siguientes cambios :
    1) Realizar Cambios de Inicio
    2) Realizar Cambios en Hitos Principales
    3) Actualizar Proyectos Activos
    4) Actualizar Filtros
    5) Actualizar Reportes
    6) Integración de OELA
    7) Actualizar Recursos de Reposición
   8) Se implementaron los numeros telefonicos
   9) Elaborar módulo de SDE
   10 Elaborar módulo de VPI
   11) Realizar alertas
   12) Realizar mapeo de proyectos
   13) Realizar trazabilidad anual
   14) Crear calendarios informativos
   15) Reealizar trazabilidad por trámite
   16) Se realizó la versión inicial de medidas preventivas
17) Se culminó y publicó medidas preventivas</t>
  </si>
  <si>
    <t>A 31 de agosto se cuenta con un 77% de avance para las tres herramientas programadas.</t>
  </si>
  <si>
    <t>Esta herramienta se dio por finalizada en el mes de julio</t>
  </si>
  <si>
    <t>A 30 de septiembre se cuenta con una herramienta y con un 84% de avance ponderado</t>
  </si>
  <si>
    <t>Porcentaje de implementación de la herramienta de control de términos para permisos y trámites</t>
  </si>
  <si>
    <t>Se realizaron los siguientes cambios :
    1) Entrega de usuarios para validación
    2) Elaborar Módulo VDI
    3) Elaborar Reporte Visitas
    4) Elaborar Reporte Conceptos
    4) Elaborar Reporte Actos</t>
  </si>
  <si>
    <t>Se realizaron los siguientes cambios :
    1) Entrega de usuarios para validación
    2) Elaborar Módulo VDI
    3) Elaborar Reporte Visitas
    4) Elaborar Reporte Conceptos
    4) Elaborar Reporte Actos
    5) Actualización de trámites</t>
  </si>
  <si>
    <t>Durante el mes de junio se realizaron actividades de mejora de hitos ya desarrollados, por lo tanto no se presenta avance para este mes en el plan de trabajo.</t>
  </si>
  <si>
    <t>Durante el mes de julio se realizaron actividades de mejora de hitos ya desarrollados, por lo tanto no se presenta avance para este mes en el plan de trabajo.</t>
  </si>
  <si>
    <t xml:space="preserve">	Se realizaron los siguientes cambios:
    1) Entrega de usuarios para validación
    2) Elaborar Módulo VDI
    3) Elaborar Reporte Visitas
    4) Elaborar Reporte Conceptos
    4) Elaborar Reporte Actos
    5) Actualización de trámites
    6) Se Realizó la depuración de 20mil expedientes.
    7) Se agregaron seguimiento a todas las etapas
    8) Se realizaron mejoras visuales y graficas.
   9) Se creó el nuevo hito de pronunciamientos.
  10) Se activaron los actos administrativos de cobro
  11) Se mejoró la consulta de expedientes
  12) Se activaron los proyectos activos.
  </t>
  </si>
  <si>
    <t>Porcentaje de implementación de la herramienta de planeación institucional</t>
  </si>
  <si>
    <t>Se realizaron los siguientes cambios :
    1) Elaborar Módulo MIPG
    2) Elaborar Módulo PEI
    3) Elaborar Reporte PAA
    4) Elaborar Reporte PAI
    5) Culminar Módulo de CDP
    6) Módulo de Modificaciones Ver 1.0
    7) Avance en Módulo de Calidad</t>
  </si>
  <si>
    <t xml:space="preserve">	
Se realizaron los siguientes cambios :
    1) Elaborar Módulo MIPG
    2) Elaborar Módulo PEI
    3) Elaborar Reporte PAA
    4) Elaborar Reporte PAI
    5) Culminar Módulo de CDP
    6) Módulo de Modificaciones Ver 1.0
    7) Avance en Módulo de Calidad
    8) Importador SIIF
    9) Actualizar Reportes para ver el valor de los RP y saldos disponibles
10) Actualizar estructura</t>
  </si>
  <si>
    <t>Se realizaron los siguientes cambios :
    1) Elaborar Módulo MIPG
    2) Elaborar Módulo PEI
    3) Elaborar Reporte PAA
    4) Elaborar Reporte PAI
    5) Culminar Módulo de CDP
    6) Módulo de Modificaciones Ver 1.0
    7) Avance en Módulo de Calidad
    8) Importador SIIF
    9) Actualizar Reportes para ver el valor de los RP y saldos disponibles
   10) Actualizar estructura
   11 Crear versión 1.0 para el reporte de indicadores
   12) Crear versión 2.0 del importador de SIIF</t>
  </si>
  <si>
    <t>Durante el mes de septiembre se trabajó sobre hitos ya desarrollados, por lo tanto no se representa un avance adicional</t>
  </si>
  <si>
    <t>Talleres o actividades de capacitación realizadas</t>
  </si>
  <si>
    <t># de actividades de capacitación/actualización a colaboradores realizadas</t>
  </si>
  <si>
    <t>Se realizó la capacitación de indicadores para las dependencias de la entidad</t>
  </si>
  <si>
    <t>Durante el mes de marzo no se realizó ninguna capacitación</t>
  </si>
  <si>
    <t>Durante el mes de abril no se realizaron capacitaciones</t>
  </si>
  <si>
    <t>A corte 31 de mayo se ha realizado un taller de los 5 programados para la vigencia</t>
  </si>
  <si>
    <t>A corte 30 de junio se han realizado 4 talleres de los 5 programados: indicadores, rendición de cuentas, racionalización de trámites y ODS</t>
  </si>
  <si>
    <t>A corte 31 de julio se han realizado 4 talleres de los 5 programados: indicadores, rendición de cuentas, racionalización de trámites y ODS</t>
  </si>
  <si>
    <t>Durante el mes de agosto se realizó la capacitación en riesgos</t>
  </si>
  <si>
    <t>Este indicador se dio por cumplido en el mes de agosto</t>
  </si>
  <si>
    <t>Porcentaje de avance en la actualización del mapa de procesos</t>
  </si>
  <si>
    <t>Se presenta un avance del 6% de plan de trabajo establecido para este indicador</t>
  </si>
  <si>
    <t xml:space="preserve">Se socializó el mapa de procesos aprobado en el Comité Directivo, el plan de trabajo y el inventario de documentos asociados al nuevo mapa a los líderes de los procesos y enlaces de calidad de manera virtual el 28/04/2020.
Se realizó mesas de trabajo para la planificación de las necesidades del aplicativo de gestión documental  
</t>
  </si>
  <si>
    <t>Se llevó a cabo mesas de trabajo para  definir las necesidades para el diseño del módulo de control de documentos. 
Se definió la tipología, jerarquía y contenidos mínimos de los documentos (caracterización, procedimiento, manual, instructivo, protocolo, programa, y formato)</t>
  </si>
  <si>
    <t>Con corte 30 de junio se realizó las siguientes actividades: Se socializaron las plantillas de los siguientes documentos: caracterización, procedimiento, manual, instructivo, protocolo, polìtica, programa y formato.
Se acompañó a los equipos de trabajo en la actualización de las caracterizaciones de los procesos con el siguiente avance: Sin iniciar 4 (23%), en proceso 8 (44%), finalizada 6 (33%).
Se ha acompañado a los enlaces y equipos de trabajo en la actualización de los documentos, de acuerdo al instructivo y procedimiento de información documentada, explicando las plantillas y el diligenciamiento de las mismas.
Se ha realizado mesas de trabajo para el diseño y el desarrollo del módulo de control de documentos, realizando pruebas de funcionamiento en cuanto a la asociación de procesos, dependencias y roles.</t>
  </si>
  <si>
    <t xml:space="preserve">Con corte  Julio 31 se presenta el siguiente avance:
1. Seguimiento  actualización de 18 caracterizaciones con el siguiente resultado:
Sin Iniciar (SI), En proceso (EP), Finalizada (F) 
Estrat: DP: (EP), GN: (EP), PC: (EP), I (SI)
Mis: EL (F), SL (F), EP (F), SP (F), SA (F)
Apoy: GTH (F), PD (F), GF (EP), GC (SI), GA (F), GD (F), GJ (F), AC (F)
Eval: CEM (F)
SI 2(11%), EP 4(22%), F 12(66,6%)
2. Se llevó a cabo reunión con el equipo de calidad  el 01 y /07/2020 para revisar el procedimiento de información documentada.
3. Se ha realizado mesas de trabajo con el proceso de Instrumentos, Control de evaluación y Mejora, Gestión Jurídica, Gestión Documental, Gestión Admiistrativa, Direccionamiento y Planeación, Mecanismos de Participacion, Gestión del Conocimiento y la Innovación y procesos disciplinarios,  para revisar actulización de procedimiento.
4. Se han realizado mesas de trabajo par el diseño y desarrollo del aplicativo del mapa de procesos .
5. Se han realizado mesas de trabajo con el fin de realizar pruebas de funcionalidad de aplicativo y de cada una de las tipologías de documentos. </t>
  </si>
  <si>
    <t xml:space="preserve">Con corte  Agosto 31 se presenta el siguiente avance:
1. Actualización del 100% (18) caracterizaciones con el siguiente resultado:
Sin Iniciar (SI), En proceso (EP), Finalizada (F) 
Estrat: DP: (F), GN: (F), PC: (F), I (F)
Mis: EL (F), SL (F), EP (F), SP (F), SA (F)
Apoy: GTH (F), PD (F), GF (EP), GC (F), GA (F), GD (F), GJ (F), AC (F)
Eval: CEM (F)
Se actualizó el 100% de las caracterizaciones
2. En el marco del Comité Institucional de Gestión y Desempeño realizado el pasado 21/08/2020, se presentó y aprobó las 18 caracterizaciones del mapa de procesos.
3. Se ha venido acompañanado la modificación de los documentos de los diferentes procesos realizando mesas de trabajo y revisión a través de correo electrónico de los procesos de Instrumentos y Regionalización, Gestión del Conocmiento e Innovación y Gestión Documental. 
4. Se ha realizado mesas de trabajo de pruebas y ajustes de funcionalidad de GESPRO 
5. Los días 3 y 5/08/2020, se capacitó a los facilitadores de calidad, explicado  la funcionalidad del Sistema de Información Gestión de Procesos  GESPRO - Gestión de Documentos,  para la creación, modificación y eliminación de documentos, utilizando las diferentes plantillas en ambiente web.
</t>
  </si>
  <si>
    <t>Con corte al 30/09/2020, se presenta el siguiente avance:
Se ajusta el tiempo de acompañamiento de los documentos hasta el mes de noviembre del 2020.
Se ha revisado procedimientos y manuales de los proceso de Direccionamiento y Planeación, Gestión del Conocimiento e Innovación,  Participación Ciudadana, Gestión Financiera, Gestión Administrativa, Evaluación, control y mejora.
Asi mismo, se ha revisado las caracterizaciones de los proceso cargados en GESPRO realizando las respectivas observaciones. 
Se han publicado en GESPRO un total de 22 documentos, incluyendo las 18 caracterizaciones de los sprocesos.</t>
  </si>
  <si>
    <t>Gestión de recursos</t>
  </si>
  <si>
    <t>Porcentaje de avance en el ajuste de los proyectos de inversión de la entidad</t>
  </si>
  <si>
    <t>A corte 29 de febrero se cuenta con la propuesta del árbol de problemas</t>
  </si>
  <si>
    <t>De acuerdo al plan de trabajo establecido, este indicador presenta un avance del 55% para el mes de marzo</t>
  </si>
  <si>
    <t>Se cuenta con un avance del 55% en la reformulación de los proyectos de inversión de la entidad, toda vez que los archivos trabajados con el DNP aún se encuentran en proceso de ajuste y no han sido aprobados.</t>
  </si>
  <si>
    <t>A corte 31 de mayo los proyectos de inversión presentan un avance del 80%, a la fecha hace falta terminar los documentos de soporte del proyecto de fortalecimiento.</t>
  </si>
  <si>
    <t>A corte 30 de junio los proyectos se registraron y actualizaron en el SUIFP, con lo cual se da por finalizada esta actividad</t>
  </si>
  <si>
    <t>PROMEDIO INDICADORES PRODUCTO</t>
  </si>
  <si>
    <t>PROMEDIO INDICADORES GESTIÓN</t>
  </si>
  <si>
    <t>Evaluación y resultados</t>
  </si>
  <si>
    <t>Gestión de permisos y trámites ambientales</t>
  </si>
  <si>
    <t>Subdirección de Instrumentos, Permisos y Trámites Ambientales</t>
  </si>
  <si>
    <t>Permisos y Trámites Ambientales</t>
  </si>
  <si>
    <t>Actos administrativos expedidos para resolver las solicitudes de evaluación de los permisos y trámites ambientales.</t>
  </si>
  <si>
    <t># de actos administrativos que resuelven solicitudes de permisos ambientales.</t>
  </si>
  <si>
    <t>Conceptos técnicos emitidos para resolver las solicitudes de evaluación a permisos y trámites ambientales.</t>
  </si>
  <si>
    <t># de conceptos técnicos realizados para resolver las solicitudes de evaluación de permisos ambientales.</t>
  </si>
  <si>
    <t>Subdirector de Instrumentos, Permisos y Trámites Ambientales</t>
  </si>
  <si>
    <t>Para la vigencia 2020 se estableció como meta la producción de 21.422 AA de evaluación; durante  enero se realizaron 1752 AA que lo corresponde a un avance del 8% frente a la meta.  VUCE participó con el 88.07% de esta producción, seguido de Beneficios Tributrarios con una participación de 4.74% y Prueba Dinámica con 4.22%</t>
  </si>
  <si>
    <t>El indicador de conceptos técnicos para resolver solicitudes de evaluación de permisos y trámites ambientales debe alcanzar 2700 CT gestionados durante 2020; en enero se logró gestionar 140 CT de evaluación, representando un avance en la meta del 5%. Durante este mes el equipo que mayor participación tuvo en la gestión de conceptos tecnicos fue Prueba Dinámica con una participación del 58% del total de la producción del mes, seguido de Diversidad Bilógica con el 20% y Beneficios tributarios con el 19%.</t>
  </si>
  <si>
    <t>Para la vigencia 2020 se estableció como meta la producción de 21.422 AA de evaluación; a corte del mes de febrero, se realizaron 3515 AA que lo corresponde a un avance del 16% frente a la meta.  VUCE participó con el 88.88% de esta producción, seguido de Prueba Dinámica con una participación de 4.75% y Beneficios Tributrarios  con 3.44%</t>
  </si>
  <si>
    <t>El indicador de conceptos técnicos para resolver solicitudes de evaluación de permisos y trámites ambientales debe alcanzar 2700 CT gestionados durante 2020; El avance de gestión para el mes de febrero es de 394 CT de evaluación, representando un avance en la meta del 15%. Durante este mes el equipo que mayor participación tuvo en la gestión de conceptos tecnicos fue Prueba Dinámica con una participación del 60 % del total de la producción del mes, seguido de Diversidad Bilógica con el 18 % y Beneficios tributarios con el 18%.</t>
  </si>
  <si>
    <t>Al 31 de marzo se gestionaron 5.007 AA para resolver solicitudes de evaluación de Permisos y Trámites ambientales. El sector que mayor participación tiene en este avance es VUCE,  88.5%, seguido de Prueba Dinámica con el 5.5% y Beneficios Tributarios con el 3.3%. Durante el primer trimestre del año se logró un avance del  23%, respecto a la meta de 21.422  AA  de evaluación de Permisos y trámites ambientales planteada  la vigencia 2020.</t>
  </si>
  <si>
    <t>El indicador de conceptos técnicos para resolver solicitudes de evaluación de permisos y trámites ambientales, al 31 de marzo alcanzó un avance total  del 24% respecto a la meta de 2.700 CT durante la vigencia 2020, es decir, 647 CT.  Prueba Dinámica es el sector que más ha aportado a este avance, 369 CT de Prueba Dinámica que representan el 57% del avance, seguido de Beneficios Tributarios con 21.6% y Diversidad Biológica con 18.3%.</t>
  </si>
  <si>
    <t>Al 30 de abril se gestionaron 6.290 AA para resolver solicitudes de evaluación de Permisos y Trámites ambientales. El sector que mayor participación tiene en este avance es VUCE,  87.6%, seguido de Prueba Dinámica con el 5.6% y Beneficios Tributarios con el 3.4%. Al cierre de abril se logró un avance del  29% respecto a la meta de 21.422  AA  de evaluación de Permisos y trámites ambientales planteada para  la vigencia 2020.</t>
  </si>
  <si>
    <t>El indicador de conceptos técnicos para resolver solicitudes de evaluación de permisos y trámites ambientales,  al 30 de abril alcanzó un avance total  del  31% respecto a la meta de 2.700 CT, meta programada para la vigencia 2020, es decir, al cierre de abril se finalizaron 840 CT de evaluación.  Prueba Dinámica es el sector que más ha aportado a este avance, 470 CT  que representan el 55.9% del avance, seguido de Beneficios Tributarios con 23.8% y Diversidad Biológica con 17.3%.</t>
  </si>
  <si>
    <t>Al 31 de mayo  se gestionaron 7,215 AA para resolver solicitudes de evaluación de Permisos y Trámites ambientales. El sector que mayor participación tiene en este avance es VUCE,  87.66%, seguido de Prueba Dinámica con el 5.5% y Beneficios Tributarios con el 3.6%. Al cierre de mayo se logró un avance del  34% respecto a la meta de 21.422  AA  de evaluación de Permisos y trámites ambientales planteada para  la vigencia 2020.</t>
  </si>
  <si>
    <t>El indicador de conceptos técnicos para resolver solicitudes de evaluación de permisos y trámites ambientales,  al 31 de mayo alcanzó un avance total  del  37% respecto a la meta de 2.700 CT, es decir, al cierre de mayo se finalizaron 1003 CT de evaluación.  Prueba Dinámica es el sector que más ha aportado a este avance, 542 CT  que representan el 54% del avance, seguido de Beneficios Tributarios con 26.6% y Diversidad Biológica con 17%.</t>
  </si>
  <si>
    <t>Al 30 de junio  se gestionaron 8.296 AA para resolver solicitudes de evaluación de Permisos y Trámites ambientales. El sector que mayor participación tiene en este avance es VUCE,  87.68%, seguido de Prueba Dinámica con el 5.45% y Beneficios Tributarios con el 3.69%. Al cierre de junio se logró un avance del  39% respecto a la meta de 21.422  AA  de evaluación de Permisos y trámites ambientales planteada para  la vigencia 2020.</t>
  </si>
  <si>
    <t>El indicador de conceptos técnicos para resolver solicitudes de evaluación de permisos y trámites ambientales,  al 30 de junio alcanzó un avance total  del  44% respecto a la meta de 2.700 CT, es decir, al cierre de junio se finalizaron 1201 CT de evaluación.  Prueba Dinámica es el sector que más ha aportado a este avance, 648 CT  que representan el 53.96% del avance, seguido de Beneficios Tributarios con 27.31% y Diversidad Biológica con 16.65%.</t>
  </si>
  <si>
    <t>Al 31 de julio  se gestionaron 9.683 AA para resolver solicitudes de evaluación de Permisos y Trámites ambientales. El sector que mayor participación tiene en este avance es VUCE,  87.33%, seguido de Prueba Dinámica con el 5.68% y Beneficios Tributarios con el 3.78%. Al cierre de julio se logró un avance del  45% respecto a la meta de 21.422  AA  de evaluación de Permisos y trámites ambientales planteada para  la vigencia 2020.</t>
  </si>
  <si>
    <t>El indicador de conceptos técnicos para resolver solicitudes de evaluación de permisos y trámites ambientales,  al 31 de julio alcanzó un avance total  del  54% respecto a la meta de 2.700 CT, es decir, al cierre de julio se finalizaron 1469 CT de evaluación.  Prueba Dinámica es el sector que más ha aportado a este avance, 797 CT  que representan el 54.25% del avance, seguido de Beneficios Tributarios con 27.30% y Diversidad Biológica con 16.54%.</t>
  </si>
  <si>
    <t>Al 31 de agosto  se gestionaron 11.092 AA para resolver solicitudes de evaluación de Permisos y Trámites ambientales. El sector que mayor participación tiene en este avance es VUCE,  87.24%, seguido de Prueba Dinámica con el 5.80% y Beneficios Tributarios con el 3.67%. Al cierre de agosto se logró un avance del  52% respecto a la meta de 21.422  AA  de evaluación de Permisos y trámites ambientales planteada para  la vigencia 2020. Es preciso mencionar que en el comité directivo del 21 de julio de 2020, se presento el impacto y análisis de las solicitudes de evaluación indicandose que se proyectaba una disminución de cerca del 27% porciento respecto a la meta proyectada.</t>
  </si>
  <si>
    <t>El indicador de conceptos técnicos para resolver solicitudes de evaluación de permisos y trámites ambientales,  al 31 de julio alcanzó un avance total  del  63% respecto a la meta de 2.700 CT, es decir, al cierre de agosto se finalizaron 1691 CT de evaluación.  Prueba Dinámica es el sector que más ha aportado a este avance, 920 CT  que representan el 54.41% del avance, seguido de Beneficios Tributarios con 26.73% y Diversidad Biológica con 17.03%. Es preciso mencionar que en el comité directivo del 21 de julio de 2020, se presento el impacto y análisis de las solicitudes de evaluación indicandose que se proyectaba una disminución de cerca del 14% porciento en coceptos técnicos  respecto a la meta proyectada</t>
  </si>
  <si>
    <t>Al 30 de septiembre  se gestionaron 12.533 AA para resolver solicitudes de evaluación de Permisos y Trámites ambientales. El sector que mayor participación tiene en este avance es VUCE,  87.41% con 10955 AA,  seguido de Prueba Dinámica con el 5.76% y Beneficios Tributarios con el 3.57%. Al cierre de septiembre se logró un avance del  58.5% respecto a la meta de 21.422  AA  de evaluación de Permisos y trámites ambientales planteada para  la vigencia 2020. Es preciso mencionar que en el comité directivo del 21 de julio de 2020, se presento el impacto y análisis de las solicitudes de evaluación indicandose que se proyectaba una disminución de cerca del 27% porciento respecto a la meta proyectada.</t>
  </si>
  <si>
    <t>El indicador de conceptos técnicos para resolver solicitudes de evaluación de permisos y trámites ambientales,  al 30 de septiembre alcanzó un avance total  del  70% respecto a la meta de 2.700 CT, es decir, al cierre de septiembre se finalizaron 1882 CT de evaluación.  Prueba Dinámica es el sector que más ha aportado a este avance, 1.025 CT  que representan el 54.46% del avance, seguido de Beneficios Tributarios con 26.14% y Diversidad Biológica con 17.59%. Es preciso mencionar que en el comité directivo del 21 de julio de 2020, se presento el impacto y análisis de las solicitudes de evaluación indicandose que se proyectaba una disminución de cerca del 14% porciento en coceptos técnicos  respecto a la meta proyectada.</t>
  </si>
  <si>
    <t>Visitas técnicas de evaluación</t>
  </si>
  <si>
    <t># de visitas de evaluación realizadas</t>
  </si>
  <si>
    <t>Corresponde a permisos fuera de licencia</t>
  </si>
  <si>
    <t>Se registran con corte  a 29 de febrero 6 visitas de evaluación en el área de Permisos Fuera de Licencia</t>
  </si>
  <si>
    <t>Se registran con corte  a 31 de marzo 8 visitas de evaluación. Se realizaron en el área de Permisos Fuera de Licencia</t>
  </si>
  <si>
    <t>Al corte de 30 de Abril, se reporta igual cantidad de visitas a las reportadas en el mes de Marzo debido al estado de emergencia decretado por el gobierno de Colombia, en cabeza del presidente de la república, así como a las directrices propias de la entidad para hacer frente a la emergencia del Covid-19</t>
  </si>
  <si>
    <t>Al corte de 31 de mayo se reporta igual cantidad de visitas a las reportadas en los meses de Marzo y abril, debido al estado de emergencia decretado por el gobierno de Colombia, en cabeza del presidente de la república, así como a las directrices propias de la entidad para hacer frente a la emergencia del Covid-19</t>
  </si>
  <si>
    <t>Al corte de 30 de junio se reporta igual cantidad de visitas a las reportadas en los meses de Marzo, abril y Mayo, debido al estado de emergencia decretado por el gobierno de Colombia, en cabeza del presidente de la república, así como a las directrices propias de la entidad para hacer frente a la emergencia del Covid-19</t>
  </si>
  <si>
    <t>Al corte de 31 de julio se reporta igual cantidad de visitas a las reportadas en los meses de Marzo, abril , Mayo y Junio, debido al estado de emergencia decretado por el gobierno de Colombia, en cabeza del presidente de la república, así como a las directrices propias de la entidad para hacer frente a la emergencia del Covid-19, lo aque imposibilita las visitas presenciales en territorio</t>
  </si>
  <si>
    <t>Al corte de 31 de Agosto se reportan 9 Vistas de Evaluación; una más que lo reportado en los periodos anteriores  de Marzo, abril , Mayo, Junio, y Julio, ya que a pesar de encontrarse aún en el estado de emergencia decretado por el gobierno de Colombia, en cabeza del presidente de la república, así como a las directrices propias de la entidad para hacer frente a la emergencia del Covid-19,lo aque imposibilita las visitas presenciales en territorio, se realizó una visita Guiada virtualmente.</t>
  </si>
  <si>
    <t>Al corte de 30 de Septiembre se reportan 15 Vistas de Evaluación, reportando un 34.09% de avance sobre la meta. Se reporta  visitas guiadas virtual y presencal</t>
  </si>
  <si>
    <t>Actos administrativos expedidos para resolver el seguimiento de los permisos y trámites ambientales.</t>
  </si>
  <si>
    <t># de actos administrativos que acogen el seguimiento realizado a permisos otorgados.</t>
  </si>
  <si>
    <t>Conceptos técnicos de seguimiento a permisos y trámites ambientales otorgados.</t>
  </si>
  <si>
    <t># de conceptos técnicos realizados para acoger el seguimiento realizado a los permisos otorgados.</t>
  </si>
  <si>
    <t>Durante 2020 de debe alcanzar una producción de 816 AA para resolver segumiento a permisos otorgados, en enero se realizaron 14 AA de segumiento, es decir, se tuvo un avance del 1.72% frente a la meta. Los grupos que participaron en este avance fueron Diversidad Biológica con el 93% y Permisos Fuera de Licencia con el 7%.</t>
  </si>
  <si>
    <t>El indicador de conceptos técnicos para seguimiento a permisos otorgados  debe alcanzar 816 CT gestionados durante 2020; en enero se logró gestionar 27 CT de seguimiento, esto representa un avance en la meta del 3.31%. Durante este mes el equipo que mayor participación tuvo en la gestión de conceptos tecnicos fue Diversidad Biológica con una participación del 94%,  seguido de Permisos fuera de Licencia con el 4%..</t>
  </si>
  <si>
    <t>Durante 2020 de debe alcanzar una producción de 816 AA para resolver segumiento a permisos otorgados, al finalizar el mes de febrero, se realizaron 42 AA de segumiento, es decir, se tuvo un avance del 4.90% frente a la meta. Los grupos que participaron en este avance fueron Diversidad Biológica con el 81% y Permisos Fuera de Licencia con el 8% y Psoconsumo con 7%.</t>
  </si>
  <si>
    <t>El indicador de conceptos técnicos para seguimiento a permisos otorgados  debe alcanzar 816 CT gestionados durante 2020; al corte del mes de febrero se logró gestionar 59 CT de seguimiento, esto representa un avance en la meta del 7.28%. Durante este mes el equipo que mayor participación tuvo en la gestión de conceptos tecnicos fue Diversidad Biológica con una participación del 71%,  seguido de Permisos fuera de Licencia con el 17% y Posconsumo con el 12%.</t>
  </si>
  <si>
    <t>La meta de Actos Administrativos  que acogen el seguimiento a permisos otorgados para la vigencia 2020 se proyectó en 816 AA,  durante el primer trimestre del año se alcanzó un avance del 11.40% respeto a la meta, es decir, que al 31 de marzo se gestionaron 93 AA de seguimiento a permisos.  La participación de los sectores en este avance se dio de la siguiente manera:  Diversidad Biológica 63%, Permisos Fuera de Licencia 19% y Posconsumo 17%.</t>
  </si>
  <si>
    <t>Durante la vigencia 2020 se proyecta realizar 816 CT de seguimiento a permisos otorgados, al 31 de marzo se realizaron 123 CT de seguimiento, de los cuales 73 son del sector Diversidad Biológica,  28 Permisos Fuera de Licencia y 22 Poscosumo, con este avance se llega al 15% de la meta.</t>
  </si>
  <si>
    <t>La meta de Actos Administrativos  que acogen el seguimiento a permisos otorgados para la vigencia 2020 se proyectó en 816 AA,  al finalizar abril se alcanzó un avance del 21.20% respeto a la meta, es decir que, al 30 de abril se gestionaron 173 AA de seguimiento a permisos.  La participación de los sectores en este avance se dio de la siguiente manera: Diversidad Biológica 50%, Permisos Fuera de Licencia 28% y Posconsumo 22%.</t>
  </si>
  <si>
    <t>Al 30 de abril se finalizaron 213 CT de seguimiento que representan el 26.1% de avance frente a la meta planteada para 2020 de 816 CT de seguimiento. Los grupos presentan los siguientes porcentajes de participación respecto a la producción mencionada: Diversidad Biológica 46%; Posconsumo 31% y PFL 23%.</t>
  </si>
  <si>
    <t>La meta de Actos Administrativos  que acogen el seguimiento a permisos otorgados,  para la vigencia 2020 se proyectó en 816 AA,  al finalizar mayo se alcanzó un avance del 30.27% respeto a la meta, es decir que, al 31 de mayo se gestionaron 247 AA de seguimiento a permisos.  La participación de los sectores en este avance se dio de la siguiente manera: Diversidad Biológica  43%, Posconsumo 35% y Permisos Fuera de Licencia 22%.</t>
  </si>
  <si>
    <t>Al 31 de mayo se finalizaron 275 CT de seguimiento que representan el 33,70% de avance frente a la meta planteada para 2020, 816 CT de seguimiento. Los grupos presentan los siguientes porcentajes de participación respecto a la producción mencionada: Diversidad Biológica 41%; Posconsumo 38% y PFL 21%.</t>
  </si>
  <si>
    <t>La meta de Actos Administrativos  que acogen el seguimiento a permisos otorgados,  para la vigencia 2020 se proyectó en 816 AA,  al finalizar junio se alcanzó un avance del 39.46% respeto a la meta, es decir que, al 30 de Junio se gestionaron 322 AA de seguimiento a permisos.  La participación de los sectores en este avance se dio de la siguiente manera: Diversidad Biológica  41%, Posconsumo 39% y Permisos Fuera de Licencia 20%.</t>
  </si>
  <si>
    <t>Al 30 de mayo se finalizaron 360 CT de seguimiento que representan el 44.12% de avance frente a la meta planteada para 2020, 816 CT de seguimiento. Los grupos presentan los siguientes porcentajes de participación respecto a la producción mencionada: Diversidad Biológica 42,8%; Posconsumo 38.6% y PFL 18.6%.</t>
  </si>
  <si>
    <t>La meta de Actos Administrativos  que acogen el seguimiento a permisos otorgados,  para la vigencia 2020 se proyectó en 816 AA,  al finalizar julio se alcanzó un avance del 50.49% respeto a la meta, es decir que, al 31 de Julio se gestionaron 412 AA de seguimiento a permisos.  La participación de los sectores en este avance se dio de la siguiente manera: Posconsumo 42%, Diversidad Biológica  40% y Permisos Fuera de Licencia 17%.</t>
  </si>
  <si>
    <t>Al 31 de julio se finalizaron 446 CT de seguimiento que representan el 54.66% de avance frente a la meta planteada para 2020, 816 CT de seguimiento. Los grupos presentan los siguientes porcentajes de participación respecto a la producción mencionada: Posconsumo 43%, Diversidad Biológica  41% y Permisos Fuera de Licencia 16%.</t>
  </si>
  <si>
    <t xml:space="preserve">La meta de Actos Administrativos  que acogen el seguimiento a permisos otorgados,  para la vigencia 2020 se proyectó en 816 AA,  al finalizar agosto se alcanzó un avance del 62.75% respeto a la meta, es decir que, al 31 de agosto se gestionaron 515 AA de seguimiento a permisos.  La participación de los sectores en este avance se dio de la siguiente manera: Posconsumo 43%, Diversidad Biológica  41% y Permisos Fuera de Licencia 16%. Es preciso mencionar que, en el comité directivo del 21 de julio de 2020, se presentó análisis en relación con el seguimiento a los permisos y trámites relacionados con aprovechamiento de recursos naturales y las corrientes de posconsumo otorgados, respecto a la contingencia actual del Covid-19 sobre la radicación de los informes de actualización y avance, la imposibilidad de visitas presenciales de seguimiento, así como la información requerida a los usuarios sobre los proyectos, no obstante, de acuerdo con las disposiciones establecidas en el artículo primero de la Resolución 1309 de 2020, donde dispone lo siguiente: “Adicionar dos numerales 10 y 11 al artículo 17 de la Resolución 415 del 2020 con el siguiente texto: 10. Realizar el seguimiento a los Planes de Gestión de Devolución de Productos Posconsumo, incluido el de plaguicidas y en general a los trámites relativos a gestión ambiental de residuos, de competencia de la Autoridad Nacional de Licencias Ambientales. 11. Apoyar a la Oficina Asesora Jurídica en el trámite de los procesos sancionatorios en curso y aquellos que se inicien, respecto de los Planes de Gestión de Devolución de Productos Posconsumo de Plaguicidas, lo anterior sumando al universo actual compensando el impacto temporal </t>
  </si>
  <si>
    <t xml:space="preserve">Al 31 de agosto se finalizaron 539 CT de seguimiento que representan el 66.05% de avance frente a la meta planteada para 2020, 816 CT de seguimiento. Los grupos presentan los siguientes porcentajes de participación respecto a la producción mencionada: Posconsumo 44%, Diversidad Biológica  41% y Permisos Fuera de Licencia 15%.Es preciso mencionar que, en el comité directivo del 21 de julio de 2020, se presentó análisis en relación con el seguimiento a los permisos y trámites relacionados con aprovechamiento de recursos naturales y las corrientes de posconsumo otorgados, respecto a la contingencia actual del Covid-19 sobre la radicación de los informes de actualización y avance, la imposibilidad de visitas presenciales de seguimiento, así como la información requerida a los usuarios sobre los proyectos, no obstante, de acuerdo con las disposiciones establecidas en el artículo primero de la Resolución 1309 de 2020, donde dispone lo siguiente: “Adicionar dos numerales 10 y 11 al artículo 17 de la Resolución 415 del 2020 con el siguiente texto: 10. Realizar el seguimiento a los Planes de Gestión de Devolución de Productos Posconsumo, incluido el de plaguicidas y en general a los trámites relativos a gestión ambiental de residuos, de competencia de la Autoridad Nacional de Licencias Ambientales. 11. Apoyar a la Oficina Asesora Jurídica en el trámite de los procesos sancionatorios en curso y aquellos que se inicien, respecto de los Planes de Gestión de Devolución de Productos Posconsumo de Plaguicidas, lo anterior sumando al universo actual compensando el impacto temporal </t>
  </si>
  <si>
    <t xml:space="preserve">La meta de Actos Administrativos  que acogen el seguimiento a permisos otorgados,  para la vigencia 2020 se proyectó en 816 AA,  al finalizar septiembre, se alcanzó un avance del 73.65% respeto a la meta, es decir que, al 30 de septiembrese gestionaron 601 AA de seguimiento a permisos.  La participación de los sectores en este avance se dio de la siguiente manera: Posconsumo 44.06%, Diversidad Biológica  40.06% y Permisos Fuera de Licencia 14.80%. Es preciso mencionar que, en el comité directivo del 21 de julio de 2020, se presentó análisis en relación con el seguimiento a los permisos y trámites relacionados con aprovechamiento de recursos naturales y las corrientes de posconsumo otorgados, respecto a la contingencia actual del Covid-19 sobre la radicación de los informes de actualización y avance, la imposibilidad de visitas presenciales de seguimiento, así como la información requerida a los usuarios sobre los proyectos, no obstante, de acuerdo con las disposiciones establecidas en el artículo primero de la Resolución 1309 de 2020, donde dispone lo siguiente: “Adicionar dos numerales 10 y 11 al artículo 17 de la Resolución 415 del 2020 con el siguiente texto: 10. Realizar el seguimiento a los Planes de Gestión de Devolución de Productos Posconsumo, incluido el de plaguicidas y en general a los trámites relativos a gestión ambiental de residuos, de competencia de la Autoridad Nacional de Licencias Ambientales. 11. Apoyar a la Oficina Asesora Jurídica en el trámite de los procesos sancionatorios en curso y aquellos que se inicien, respecto de los Planes de Gestión de Devolución de Productos Posconsumo de Plaguicidas, lo anterior sumando al universo actual compensando el impacto temporal </t>
  </si>
  <si>
    <t xml:space="preserve">Al 30 de septiembre se finalizaron 625 CT de seguimiento que representan el 76.59% de avance frente a la meta planteada para 2020, 816 CT de seguimiento. Los grupos presentan los siguientes porcentajes de participación respecto a la producción mencionada: Posconsumo 46.9%, Diversidad Biológica  39.5% y Permisos Fuera de Licencia 13.6%. Es preciso mencionar que, en el comité directivo del 21 de julio de 2020, se presentó análisis en relación con el seguimiento a los permisos y trámites relacionados con aprovechamiento de recursos naturales y las corrientes de posconsumo otorgados, respecto a la contingencia actual del Covid-19 sobre la radicación de los informes de actualización y avance, la imposibilidad de visitas presenciales de seguimiento, así como la información requerida a los usuarios sobre los proyectos, no obstante, de acuerdo con las disposiciones establecidas en el artículo primero de la Resolución 1309 de 2020, donde dispone lo siguiente: “Adicionar dos numerales 10 y 11 al artículo 17 de la Resolución 415 del 2020 con el siguiente texto: 10. Realizar el seguimiento a los Planes de Gestión de Devolución de Productos Posconsumo, incluido el de plaguicidas y en general a los trámites relativos a gestión ambiental de residuos, de competencia de la Autoridad Nacional de Licencias Ambientales. 11. Apoyar a la Oficina Asesora Jurídica en el trámite de los procesos sancionatorios en curso y aquellos que se inicien, respecto de los Planes de Gestión de Devolución de Productos Posconsumo de Plaguicidas, lo anterior sumando al universo actual compensando el impacto temporal </t>
  </si>
  <si>
    <t>Visitas técnicas de seguimiento</t>
  </si>
  <si>
    <t># de visitas de seguimiento realizadas</t>
  </si>
  <si>
    <t>Permisos fuera de licencia y posconsumo https://anla-my.sharepoint.com/:x:/r/personal/aromero_anla_gov_co/_layouts/15/Doc.aspx?sourcedoc=%7B555CC33D-3207-48E2-920F-9D96B04A9EDD%7D&amp;file=BASE%20DE%20DATOS%20VISITAS%20PAI%202020.xlsx&amp;action=default&amp;mobileredirect=true</t>
  </si>
  <si>
    <t>A corte del mes de febrero se realizaron 24 visitas de seguimento, reflejado en un avance del 6.6%. 17 visitas realizadas por Posconsumo y 7 por Permisos fuera de Licencia C:\Users\lluna\ANLA - Autoridad Nacional de Licencias Ambientales\Angela Patricia Romero Rodriguez (ANLA) - PAI 2020\Permisos\Febrero</t>
  </si>
  <si>
    <t>A corte de 31de marzo se realizaron 83 visitas de seguimento, reflejado en un avance del 23.12 %. 73 visitas realizadas por Posconsumo y 10 por Permisos fuera de Licencia C:\Users\lluna\ANLA - Autoridad Nacional de Licencias Ambientales\Angela Patricia Romero Rodriguez (ANLA) - PAI 2020\Permisos\Febrero</t>
  </si>
  <si>
    <t>Al corte de 31 de mayo se reporta igual cantidad de visitas a las reportadas en los meses de marzo y abril, debido al estado de emergencia decretado por el gobierno de Colombia, en cabeza del presidente de la república, así como a las directrices propias de la entidad para hacer frente a la emergencia del Covid-19</t>
  </si>
  <si>
    <t>Al corte de 30 de Junio se reporta igual cantidad de visitas a las reportadas en los meses de marzo, abril y Mayo, debido al estado de emergencia decretado por el gobierno de Colombia, en cabeza del presidente de la república, así como a las directrices propias de la entidad para hacer frente a la emergencia del Covid-19</t>
  </si>
  <si>
    <t>Al corte de 31 de julio se reporta igual cantidad de visitas a las reportadas en los meses de Marzo, abril , Mayo y Junio, debido al estado de emergencia decretado por el gobierno de Colombia, en cabeza del presidente de la república, así como a las directrices propias de la entidad para hacer frente a la emergencia del Covid-19,  lo aque imposibilita las visitas presenciales en territorio.</t>
  </si>
  <si>
    <t>Al corte de 31 de Agosto se reporta igual cantidad de visitas a las reportadas en los meses de Marzo, abril , Mayo y Junioy Julio debido al estado de emergencia decretado por el gobierno de Colombia, en cabeza del presidente de la república, así como a las directrices propias de la entidad para hacer frente a la emergencia del Covid-19,  lo aque imposibilita las visitas presenciales en territorio.</t>
  </si>
  <si>
    <t>Al corte de 30 de Septiembre se reporta igual cantidad de visitas a las reportadas en los meses de Marzo, abril , Mayo y Junioy Julio y Agosto.</t>
  </si>
  <si>
    <t>Promedio de la reducción porcentual de los contaminantes emitidos por la flota de vehículos livianos y motocicletas al implementar la normativa vigente (Resolución 910 del 2008, modificada por la Resolución 1111 del 2013, o Resolución 2604 del 2009</t>
  </si>
  <si>
    <t>x ̅=1/n ∑_i^n▒x_i  
Promedio de la reducción en porcentaje de los contaminantes emitidos por la flota de vehículos livianos y motocicletas al implementar la normativa vigente. n: Cantidad de contaminantes x_i: Reducción en porcentaje del contaminante i emitido por la flota de vehículos livianos y motocicletas al implementar la normativa vigente i: Monóxido de Carbono (CO), Hidrocarburos, Óxidos de Nitrógeno (NOx), Material Particulado (MP), Metano (CH4), Hidrocarburos diferentes del Metano (HCNM) x_i=(m_(i,anterior a normativa)-m_(i,con normativa))/m_(i,anterior a normativa) m_(i,anterior a normativa): Masa en g/kWh del contaminante i de la flota si ésta solamente cumpliera con los estándares de emisiones anteriores a la Resolución 910 del 2008 m_(i,con normativa): Masa en g/kWh del contaminante i de la flota con los datos de CEPD aprobados m_(i,anterior a normativa)=z∙l_i m_(i,con normativa)=∑_j^y▒〖m_(i,j) z_j 〗 z: Cantidad de vehículos importados en la vigencia l_i: Límite de emisiones para el contaminante i descrito en la normativa anterior a la actual j: CEPD y: Cantidad de CEPD utilizados en la vigencia m_(i,j): Masa en g/kWh del contaminante i que se encuentra en el CEPD j z_j: Cantidad de vehículos importados por CEPD j Normativa anterior: Resolución 1048 de 1999</t>
  </si>
  <si>
    <t>P.D</t>
  </si>
  <si>
    <t>pd</t>
  </si>
  <si>
    <t>Se estimaron los indicadores de impacto de los años 2017 y 2018, de donde se obtuvo el ponderado de la reducción porcentual de emisiones en prueba dinámica a vehículo completo para el año 2017 el cual correspondió al 86% y para el año 2018 correspondió al 87%.  El indicador para el año 2018 es superior al estimado para el año 2017, así mismo, las emisiones contaminantes por motocarros, Monóxidos de Carbono (CO), Hidrocárburos más Óxidos de Nitrógeno (HC+NOx) disminuyeron de 2,85 g/km a 2,71 g/km, de 0,96 g/km a 0,64 g/km, respectivamente, las emisiones contaminantes por motocicletas Monóxidos de Carbono (CO), Hidrocárburos más Óxidos de Nitrógeno (HC+NOx) disminuyeron de 1,91 g/km a 1,44 g/km, de 0,47 g/km a 0,43 g/km, respectivamente y las emisiones contaminantes por motocicletas Monóxidos de Carbono (CO), Hidrocárburos más Óxidos de Nitrógeno (HC+NOx) disminuyeron de 1,91 g/km a 1,44 g/km, de 0,47 g/km a 0,43 g/km, respectivamente; por lo que se puede asumir que los motocarros y las motocicletas importados en el 2018 son más limpios que los que fueron importados en el 2017.</t>
  </si>
  <si>
    <t>Promedio de la reducción porcentual de los contaminantes emitidos por la flota de vehículos pesados al implementar la normativa vigente (Resolución 910 del 2008, modificada por la Resolución 1111 del 2013, o Resolución 2604 del 2009)</t>
  </si>
  <si>
    <t>x ̅=1/n ∑_i^n▒x_i x ̅
Promedio de la reducción en porcentaje de los contaminantes emitidos por la flota de vehículos pesados al implementar la normativa vigente. n: Cantidad de contaminantes x_i: Reducción en porcentaje del contaminante i emitido por la flota de vehículos pesados al implementar la normativa vigente i: Monóxido de Carbono (CO), Hidrocarburos, Óxidos de Nitrógeno (NOx), Material Particulado (MP), Metano (CH4), Hidrocarburos diferentes del Metano (HCNM) x_i=(m_(i,anterior a normativa)-m_(i,con normativa))/m_(i,anterior a normativa) m_(i,anterior a normativa): Masa en g/kWh del contaminante i de la flota si ésta solamente cumpliera con los estándares de emisiones anteriores a la Resolución 910 del 2008 m_(i,con normativa): Masa en g/kWh del contaminante i de la flota con los datos de CEPD aprobados m_(i,anterior a normativa)=z∙l_i m_(i,con normativa)=∑_j^y▒〖m_(i,j) z_j 〗 z: Cantidad de vehículos importados en la vigencia l_i: Límite de emisiones para el contaminante i descrito en la normativa anterior a la actual j: CEPD y: Cantidad de CEPD utilizados en la vigencia m_(i,j): Masa en g/kWh del contaminante i que se encuentra en el CEPD j z_j: Cantidad de vehículos importados por CEPD j Normativa anterior: Resolución 1048 de 1999</t>
  </si>
  <si>
    <t>Se estimaron los indicadores de impacto de los años 2017 y 2018, de donde se obtuvo el ponderado de la reducción porcentual de emisiones en prueba dinámica a prueba motor para el año 2017 el cual correspondió al 76% y para el año 2018 correspondió al 77%. El indicador para el año 2018 es superior al estimado para el año 2017, así mismo, las emisiones contaminantes por vehículos pesados que operan con gas natural como combustible, Monóxidos de Carbono (CO), Hidrocárburos (HC), Óxidos de Nitrógeno (NOx), disminuyeron de 0,59 g/kWh a 0,42 g/kWh, de 0,61 g/kWh a 0,31 g/kWh,  de 0,63 g/kWh a 0,40 g/kWh respectivamente; por lo que se puede asumir que los vehículos pesados que operan con gas natural como combustible importados en el 2018 son más limpios que los que fueron importados en el 2017.</t>
  </si>
  <si>
    <t>Porcentaje de cumplimiento de la meta de gestión de llantas</t>
  </si>
  <si>
    <t>Sumatoria total de llantas validadas/ sumatoria total de llantas de meta de gestión</t>
  </si>
  <si>
    <t>Porcentaje de cumplimiento de la meta de gestión de Baterías Plomo Acido</t>
  </si>
  <si>
    <t>Sumatoria total de BUPAS validadas/ sumatoria total de BUPAS de meta de gestión</t>
  </si>
  <si>
    <t>Porcentaje de cumplimiento de la meta de gestión de Bombillas</t>
  </si>
  <si>
    <t>Sumatoria total de bombillas validadas/ sumatoria total de bombillas de meta de gestión</t>
  </si>
  <si>
    <t>Porcentaje de cumplimiento de la meta de gestión de pilas y/o acumuladores</t>
  </si>
  <si>
    <t>Sumatoria total de pilas y/o acumuladoras validadas/ sumatoria total de pilas y/o acumuladoras de meta de gestión</t>
  </si>
  <si>
    <t>Porcentaje de cumplimiento de la meta de gestión de computadores y/o perifericos validadas</t>
  </si>
  <si>
    <t>Sumatoria total de computadores y/o perifericos validadas/ sumatoria total de computadores y/o perifericos de meta de gestión</t>
  </si>
  <si>
    <t>Gestión con valores para el resultado</t>
  </si>
  <si>
    <t>Porcentaje de reprocesos por verificación de documentos inicial</t>
  </si>
  <si>
    <t>Número de devoluciones por verificación de documentos inicial /Número total de solicitudes</t>
  </si>
  <si>
    <t>En el mes de enero, las solicitudes de completitud de requisitos de inicio, reflejaron en un 8.1% de las 1992 solicitudes presentadas a corte de 31 de diciembre.</t>
  </si>
  <si>
    <t>Al corte del mes de febrero, las solicitudes de completitud de requisitos de inicio reflejaron un 7.3% de las 3902 solicitudes presentadas hasta 29 d efebrero de 2020</t>
  </si>
  <si>
    <t>Al 31 de marzo se realizaron 440 requerimientos de información información adicional sobre las 5.537 solicitudes recibidas,  esto representa un porcentaje de reproceso del 7.9%.</t>
  </si>
  <si>
    <t>Al 30 de abril se realizaron 549 requerimientos de información información adicional sobre las 6,791 solicitudes recibidas,  esto representa un porcentaje de reproceso del 8.08%.</t>
  </si>
  <si>
    <t>Al 31 de mayo se realizaron 643 requerimientos de información información adicional sobre las 7,804 solicitudes recibidas,  esto representa un porcentaje de reproceso del 8.24%.</t>
  </si>
  <si>
    <t>8,38%%</t>
  </si>
  <si>
    <t>Al 30 de junio se realizaron 755 requerimientos de información información adicional sobre las 9,014 solicitudes recibidas,  esto representa un porcentaje de reproceso del 8.38%.</t>
  </si>
  <si>
    <t>Al 31 de julio se realizaron 861 requerimientos de  información adicional sobre las 10.551 solicitudes recibidas,  esto representa un porcentaje de reproceso del 8.16%.</t>
  </si>
  <si>
    <t>Al 31 de agosto se realizaron 995 requerimientos de  información adicional sobre las  11.982 solicitudes recibidas,  esto representa un porcentaje de reproceso del 8.30%.</t>
  </si>
  <si>
    <t>Al 30 de septiembre se realizaron 1.091 requerimientos de  información adicional sobre las  13.490  solicitudes recibidas,  esto representa un porcentaje de reproceso del 8.09%.</t>
  </si>
  <si>
    <t>Instrumentos y regionalización</t>
  </si>
  <si>
    <t>Porcentaje de gestión de Instrumentos técnicos de apoyo ambiental externo elaborados.</t>
  </si>
  <si>
    <t>Instrumentos De Gestión Y Control Optimizados.</t>
  </si>
  <si>
    <t>% de propuestas de instrumentos elaborados</t>
  </si>
  <si>
    <t>A 31 de enero se avanza en un 9% de los instrumentos de apoyo ambiental externo</t>
  </si>
  <si>
    <t>En el transcurso del mes de Enero se llevo a cabo el proceso de aseguramiento de los instrumentos de obligaciones mínimas Fase I,Desmantelamiento y Abandono de hidrocarburos y Periodicidad de ICAS(Expedientes: INS0012-00-2019, INS0018-002019, INS0014-00-2019).Con respecto al IDA hubo una priorización con el equipo detecnologías lo que permitió iniciar el proceso de análisis y diseño del tablero de control de este instrumento (Exp. INS-0013-00-2019)</t>
  </si>
  <si>
    <t>A 29 de febrero se avanza en un 14 % de los instrumentos de apoyo ambiental externo: D:\OneDrive - ANLA - Autoridad Nacional de Licencias Ambientales\NO MISIONAL\PAI 2020\Instrumentos</t>
  </si>
  <si>
    <t>A 31 de marzo se avanza en un 22 % de los instrumentos de apoyo ambiental externo: D:\OneDrive - ANLA - Autoridad Nacional de Licencias Ambientales\NO MISIONAL\PAI 2020\Instrumentos</t>
  </si>
  <si>
    <t xml:space="preserve">En el mes de Marzo, se registra un avance promedio de 42%,  se tuvo en cuenta la realización de reuniones de socialización con profesionales de la SES, con el fin de implementar herramientas necesarias para el entendimiento de los instrumentos que por este mes, cumplieron con el 100% en su fase de socialización como lo son: obligaciones mínimas, desmantelamiento y abandono en el sector hidrocarburos y Periodicidad ICA´S. Por tal motivo se da inicio a la implementación del mismo reportando el inicio de esta fase en un 46% para obligaciones mínimas un 100% para desmantelamiento y abandono (hidrocarburos), para el mes de abril se iniciarán estas actividades con periodicidad ICA´S. De otro modo se sigue trabajando con el desarrollo del instrumento Estandarización de fichas que a la fecha sigue en su etapa de desarrollo con un 37%, y el instrumento denominado cierre minería con un desarrollo del 38%. </t>
  </si>
  <si>
    <t>A 30 de abril se avanza en un 29 % de los instrumentos de apoyo ambiental externo: D:\OneDrive - ANLA - Autoridad Nacional de Licencias Ambientales\NO MISIONAL\PAI 2020\Instrumentos</t>
  </si>
  <si>
    <t>FASE DE SOCIALIZACION E IMPLEMENTACION:
Obligaciones mínimas finalizó la fase de socialización en el mes de marzo, durante Abril se realizó un 133% de implementación a diferentes proyectos del sector energía e infraestructura.
Desmantelamiento y abandono finalizó esta fase en el mes de marzo, en Abril se realizaron algunas aclaraciones de carácter técnico y jurídico para generar la versión final del documento con un 95% de avance.
Periodicidad de ICAS: únicamente se realizaron socializaciones en el mes de Abril, ninguna implementación ya que dada la situación de emergencia no se han radicado nuevos estudios para evaluación (Fase en la cual aplica la implementación de este instrumento).
En cuanto a Cambios menores se realizó la presentación del procedimiento de radiación y de los criterios de evaluación a 21 profesionales, adicional se programó validación de este procedimiento con las sub direcciones sin obtener espacio en sus agendas.
FASE DE DESARROLLO Y CONSTRUCCION:
Abandono y desmantelamiento Sector minería: instrumento finalizado y en proceso de revisión interna.
Abandono y desmantelamiento Sector energía: revisión de documentación asociada a normatividad y expedientes.
Manual de seguimiento: mesas de trabajo con Ministerio con el fin de presentar los instrumentos internos y validar su aplicabilidad en la actualización del manual; revisión de la actualización versión 2018 realizada por SIPTA.
CTS Aplicativo: validación de componente administrativo con Sub dirección de seguimiento y reuniones de inicio de desarrollo con Tecnologías.
CTS Matriz de obligaciones: finalización de la matriz en SIG.ANLA e inicio del diligenciamiento on line. 
IDA: en su última fase de construcción con un 95% de avance.
Fichas PMA_PSM: realizando inclusiones de la última versión del instrumento de estandarización de impactos.</t>
  </si>
  <si>
    <t>A 31 de mayo se avanza en un 41 % de los instrumentos de apoyo ambiental externo: D:\OneDrive - ANLA - Autoridad Nacional de Licencias Ambientales\NO MISIONAL\PAI 2020\Instrumentos</t>
  </si>
  <si>
    <t>INSTRUMENTOS EN IMPLEMENTACION_x000D_
_x000D_
_x000D_
Abandono y desmantelamiento Hidrocarburos: en proceso  de adopción con OAP._x000D_
_x000D_
CTS - Matriz de balance al aire y para el sector de agroquímicos en proceso de desarrollo._x000D_
_x000D_
Obligaciones mínimas Fase I: en espera respuesta de memorando remitido a OAJ._x000D_
_x000D_
Periodicidad en la entrega de ICAS: en espera respuesta de memorando remitido a OAJ._x000D_
_x000D_
IDA: en fase de pruebas para finalizar en Junio 5,  para después oficializar su adopción._x000D_
_x000D_
Criterios de evaluación de cambios menores: en proceso de ajuste con base en comentarios de OAJ._x000D_
_x000D_
_x000D_
INSTRUMENTOS EN DESARROLLO_x000D_
_x000D_
Estandarización de fichas PMA/PSM: en proceso de elaboración._x000D_
_x000D_
Desmantelamiento y Abandono de Energía: en análisis de información preliminar._x000D_
_x000D_
Desmantelamiento y Abandono de Minería: en proceso de revisión interno SIPTA._x000D_
_x000D_
Modificación estructura del ICA: en análisis de información preliminar._x000D_
_x000D_
Manual de Seguimiento: tabla de contenido establecida para iniciar la programación de mesas de trabajo con SS y SA._x000D_
_x000D_
Obligaciones mínimas Fase II: instrumento reactivado mediante mesas de trabajo con SS y SA.</t>
  </si>
  <si>
    <t>A 30 de junio se avanza en un 68 % de los instrumentos de apoyo ambiental externo: D:\OneDrive - ANLA - Autoridad Nacional de Licencias Ambientales\NO MISIONAL\PAI 2020\Instrumentos_x000D_
Es preciso indicar que de acuerdo con el memorando No. 8141-3-0095, se define quitar el instrumento NORM del plan de acción</t>
  </si>
  <si>
    <t>INSTRUMENTOS EN IMPLEMENTACION_x000D_
_x000D_
Abandono y desmantelamiento Hidrocarburos: Este instrumento está a la espera para iniciar su desarrollo con el área de tecnologías, a la fecha su avance en etapa de implementación es de un 45%._x000D_
_x000D_
CTS - Matriz de balance – Obligaciones mínimas Fase I y Criterios de evaluación de cambios menores: Se encuentran en proceso de adopción con OAP._x000D_
_x000D_
Periodicidad en la entrega de ICAS: Se encuentra en espera de respuesta al memorando por la OAJ._x000D_
_x000D_
INSTRUMENTOS EN DESARROLLO_x000D_
_x000D_
Estandarización de fichas PMA/PSM: Se encuentra en revisión interna por la SIPTA._x000D_
_x000D_
Desmantelamiento y Abandono de Energía: Este instrumento a la fecha se encuentra suspendido y tiene un avance del 21% en su fase de desarrollo._x000D_
_x000D_
Desmantelamiento y Abandono de Minería: Este instrumento a la fecha se encuentra suspendido y tiene un avance del 47% en su fase de desarrollo._x000D_
_x000D_
Modificación estructura del ICA y el Manual de Seguimiento: A la fecha se están realizando mesas de trabajo internas en la SIPTA._x000D_
_x000D_
Obligaciones mínimas Fase II: Para este instrumento, se están programando mesas de trabajo con SELA.</t>
  </si>
  <si>
    <t>A corte de 31 de julio se registra un avance de gestión de 70% correspondiente al avance de los hitos para cada uno de los instrumentos definidos para la vigencia. Se cuenta con el instrumentos de la Metodología remitido al MADS para  adelantar el proceso de consulta pública y adopción cumpliendo la gestion de ANLA Ver detalle de avance en: https://anla-my.sharepoint.com/:x:/g/personal/aromero_anla_gov_co/ERUIeq0Gsd9Gtp62vFdfxLoBYnPHM7DB5CSGWpRWFIoqBg?e=FtkWN9</t>
  </si>
  <si>
    <t>Con corte a 31 de julio se reporta 70% de avance de gestión de 14 instrumentos, es preciso indicar que una vez realizado el análisis de los instrumentos iniciales 19; 5 no se contemplan a partir de este mes toda vez que de acuerdo con las dinámicas de los sectores  y complejidad en el desarrollo, se imposibilita la culminacion de estos en la vigencia. De los 14 instrumentos incluidos en el calculo del indicador 11 contemplan las fases de desarrollo e implementación y 3 tienen solo fase de desarrollo para cumplir el 100%.https://anla-my.sharepoint.com/:f:/g/personal/aromero_anla_gov_co/Eljg_uIeQLJGuvsy1ElGgt4BWrJrrgqfsHYm84WkpxMPsA?e=PhaTq6</t>
  </si>
  <si>
    <t xml:space="preserve">A corte 31 de agosto se registra un 74% de avance en la elaboración de Instrumentos técnicos de apoyo ambiental externos: los avances mas significativos se han dado con relación al manual de multas, la incorporación de la variable de Cambio Climatico en el licenciamiento Ambiental. Sobre el instrumento Ajuste de la metodologia general para la elaboración y presentación de estudios ambientales y actualización del modelo de almacenamiento geográfico ANLA cumpli+o desde su competencia el desarrollo del instrumento y envio al MADS, siendo 85/15 su equivalencia en el proyecto de inversión es igual a 1, así mismo se inicio la fase de consulta pública, recepción y respuesta a comentarios donde la presente autoridad participa en este ejercicio incrementando el porcentaje de gestión al 86%. </t>
  </si>
  <si>
    <t>A corte de 31 de Agosto del 2020, se registra un avance de gestión del 74%,  correspondiente a 9/14  instrumentos en fase de desarrollo y  5/14 instrumentos en fase de socialización e implementación. 
A la fecha contamos con 5 instrumentos finalizados con un 100%, los cuales son:
+ CTS - Matriz de obligaciones derivadas de actos administrativos.
+ Periodicidad en la entrega de ICAS.
+ Cambios Menores: criterios.
+ IDA Fase .
+ Obligaciones mínimas Fase I.</t>
  </si>
  <si>
    <t xml:space="preserve">A 30 de septimbre se evidencia un 77% de avance en la elaboración de Instrumentos técnicos de apoyo ambiental externos: durante el periodo los avances mas significativos se han dado con relación a la sistematización de expedientes 2020, a Incorporación de la variable de Cambio Climatico en el licenciamiento Ambiental, al avance en la generación de terminos de referencia específicos (solicitudes). </t>
  </si>
  <si>
    <t xml:space="preserve">A corte de 30 de septiembre del 2020, se registra un avance de gestión del 81%,  correspondiente a 9/14  instrumentos en fase de desarrollo y  5/14 instrumentos en fase de socialización e implementación. 
A la fecha contamos con 5 instrumentos finalizados con un 100%, los cuales son:
+ CTS - Matriz de obligaciones derivadas de actos administrativos.
+ Periodicidad en la entrega de ICAS.
+ Cambios Menores: criterios.
+ IDA Fase .
+ Obligaciones mínimas Fase I.
</t>
  </si>
  <si>
    <t>Solicitudes Atendidas</t>
  </si>
  <si>
    <t># de solicitudes de términos de referencia específicos atendidos</t>
  </si>
  <si>
    <t>A corte de 31 de enero se recibieron dos soicitudes que se encuentra en solicitud de conceptos previo al inicio de los hitos de desarrollo.</t>
  </si>
  <si>
    <t>Actualmente se adelanta información secundaria en relación con 3 solicitudes: 
1. Aprovechamiento de biosólidos en el predio Tequendama
2. Solicitud los términos de referencia para la elaboración de los estudios requeridos para la modificación del Plan de Manejo Ambiental, asociado al Expediente LAM-514, con el propósito de conocer los parámetros y condiciones para las actividades de mantenimiento requeridas en la central hidroeléctrica de Chivor
3. Solicitud de terminos de referencia para los tramites ambientales en las etapas de prefactibilidad, factibilidad y diseño con el fin de adelantar el estudio de una pequeña central hidroelectrica en el municipio de Nuqui, departamento del Chocó, que se traslapa con el Parque Nacional Natural Utria</t>
  </si>
  <si>
    <t>A la fecha ningun requerimiento (11) que ha llegado a la entidad cumplen con lo aspectos previos al inicio de las actividades hito, que lleven al desarrollo de algún termino de referencia especifico, o en algunos caso no son competencia de la autoridad.
https://anla-my.sharepoint.com/:x:/g/personal/aromero_anla_gov_co/EdOcji5iqkVJq3ong8vTWi4B_Lc_rqsVh18UDCUoF8J_-g?e=VyBLJG</t>
  </si>
  <si>
    <t>A la fecha ningun requerimiento (14) que ha llegado a la entidad cumplen con lo aspectos previos al inicio de las actividades hito, que lleven al desarrollo de algún termino de referencia especifico, o en algunos caso no son competencia de la autoridad.
https://anla-my.sharepoint.com/:x:/g/personal/aromero_anla_gov_co/EdOcji5iqkVJq3ong8vTWi4B_Lc_rqsVh18UDCUoF8J_-g?e=VyBLJG</t>
  </si>
  <si>
    <t>A la fecha ningun requerimiento (20) que ha llegado a la entidad cumplen con lo aspectos previos al inicio de las actividades hito, que lleven al desarrollo de algún termino de referencia especifico, o en algunos caso no son competencia de la autoridad.
https://anla-my.sharepoint.com/:x:/g/personal/aromero_anla_gov_co/EdOcji5iqkVJq3ong8vTWi4B_Lc_rqsVh18UDCUoF8J_-g?e=VyBLJG</t>
  </si>
  <si>
    <t>A 31 de agosto no se cuentan con solicitudes gestionadas para realizar términos de referencia específicos</t>
  </si>
  <si>
    <t>Con corte a 30 de septiembre se tiene 3 solicitudes de  Términos de Referencia (TdR)  de las cuales se gestiono en un 100% TdR celda relleno sanitario en predio Doña Juana y se encuentran en elaboración TdR para DAA “Trazado de Línea de Conducción de Gas Campo de Producción Orca - Ballenas, TdR proyecto eólico costa afuera GERCOL RENOVABLES S.A.S. y TdR aumentar pie parental para programar de zoocría de Crocodylus sp.</t>
  </si>
  <si>
    <t>Racionalización de trámites</t>
  </si>
  <si>
    <t>Actos administrativos relacionados con la evaluación y/o modificación de Licencias Ambientales en áreas regionalizadas que incluyan condicionantes de análisis regional</t>
  </si>
  <si>
    <t>Número de actos administrativos relacionados con la evaluación de proyectos y/o modificación de Licencias Ambientales que incluyan condicionantes de análisis regional/Número de actos administrativos emitidos en áreas regionalizadas o relacionados con proyectos de alta complejidad</t>
  </si>
  <si>
    <t>Se registra un acto administrativo de otorgamiento emitido durante el mes de enero del proyecto Conconcreto (LAV0050-13), adicional a lo anterior, el equipo de evaluación y  seguimiento se encuentra apoyando la evaluación de 11 proyectos mas que se encuentran en el siguiente estado: 1.LAV033-00-2019 (Verderón) y 2. LAV0038-00-2109 (Bienparado). En revisión por parte de la coordinación de hidrocarburos. 3. LAM3816 (Campo Capella). En revisión por parte de líderes. 4. LAM0793 (PECIG). En espera de información adicional. 5. LAV0002-00-2020 (Cerromatoso), 6. LAV0041-13 (Pendare) y 7. LAM0761 (Reficar). En fase de campo. 8. LAV0012-00-2019. (Soto Norte). En elaboración de concepto. 9. LAV0052-00-2019 (Planeta Rica). En fase de preparación visita de campo. 10. LAV0001-00-2020. (Quebradona) y 11. LAV0004-00-2020 (Dragado de Cartagena). En fase de revisión de información radicada. De acuerdo a lo anterior se registran 12 solicitudes de apoyo en la evaluación, de las cuales 1 cuenta con acto administrativo.</t>
  </si>
  <si>
    <t>Se registra un acto administrativo de otorgamiento emitido durante el mes de enero del proyecto Conconcreto (LAV0050-13) Y y un acto administrativo de modificación de licencia en febrero del proyecto Campo Capella, adicional a lo anterior, el equipo de evaluación y  seguimiento se encuentra apoyando la evaluación de 11 proyectos mas que se encuentran en el siguiente estado: 1.LAV033-00-2019 (Verderón) y 2. LAV0038-00-2109 (Bienparado). Pendiente generación acto administrativo. 3. LAM0793 (PECIG) y 4. LAM0761 (Reficar). En espera de información adicional. 5. LAV0002-00-2020 (Cerromatoso),  6. LAV0052-00-2019 (Planeta Rica  y 7. LAV0004-00-2020 (Dragado de Cartagena) Preparando audiencia de información adicional. 8. LAV0041-13 (Pendare) 9. LAV0012-00-2019. (Soto Norte) y 10. LAV0017-00-2019 (La Virginia)  En elaboración de concepto.  11. LAV0001-00-2020. (Quebradona)En fase de preparación visita de campo. De acuerdo a lo anterior se registran 13 solicitudes de apoyo en la evaluación, de las cuales 2 cuentan con acto administrativo.</t>
  </si>
  <si>
    <t>Se registran dos actos administrativos de otorgamiento de los proyectos Conconcreto (LAV0050-13) y  Verderón (LAV033-00-2019), un acto administrativo de modificación de licencia del proyecto Campo Capella y un acto administrativo de archivo del proyecto Bienparado (LAV0038-00-2109), adicional a lo anterior, el equipo de evaluación y  seguimiento se encuentra apoyando la evaluación de 9 proyectos mas que se encuentran en el siguiente estado: 1. LAV0041-13 (Pendare). En revisión por parte de los jurídicos del sector. 2. LAM0793 (PECIG),3. LAM0761 (Reficar), 4. LAV0002-00-2020 (Cerromatoso) y 5. LAV0004-00-2020 (Dragado de Cartagena)  En espera de información adicional. 6. LAV0052-00-2019 (Planeta Rica) y 7. LAV0001-00-2020. (Quebradona) Preparando audiencia de información adicional. 8. LAV0012-00-2019. (Soto Norte) y 9. LAV0017-00-2019 (La Virginia)  En elaboración de concepto. De acuerdo a lo anterior se registran 13 solicitudes de apoyo en la evaluación, de las cuales 4 cuentan con acto administrativo.</t>
  </si>
  <si>
    <t>Se registran dos actos administrativos de otorgamiento de los proyectos Conconcreto (LAV0050-13) y  Verderón (LAV033-00-2019), un acto administrativo de modificación de licencia del proyecto Campo Capella y dos actos administrativos de terminación del trámite del proyecto Bienparado (LAV0038-00-2109) y Pendare (LAV0041-13); adicional a lo anterior, el equipo de evaluación y  seguimiento se encuentra apoyando la evaluación de 9 proyectos mas que se encuentran en el siguiente estado: 1. LAM0793 (PECIG), 2. LAV0002-00-2020 (Cerromatoso) y 3.LAV0052-00-2019 (Planeta Rica), En espera de información adicional. 4. LAV0001-00-2020. (Quebradona) Preparando audiencia de información adicional; 5. LAV0012-00-2019. (Soto Norte) 6. LAM0761 (Reficar) y 7. Solicitud de prórroga del permiso de captación de agua subterránea proveniente del pozo profundo La Francia (ASB0008); en elaboración de concepto, 8. LAM0806 Mosificación PMA Nechí en revisión de información radicada y 9. LAV0004-00-2020 (Dragado de Cartagena), suspendido . De acuerdo a lo anterior se registran 14 solicitudes de apoyo en la evaluación, de las cuales 5 cuentan con acto administrativo. El proyecto LAV0017-00-2019 (La Virginia), es retirado del reporte toda vez que la subdirección de evaluación desistió del apoyo en virtud de la llegad de profesionales transversales especializados en los temas que de manera previa fueron solicitados para apoyo.</t>
  </si>
  <si>
    <t xml:space="preserve">Se registran dos actos administrativos de otorgamiento de los proyectos Conconcreto (LAV0050-13) y  Verderón (LAV033-00-2019), un acto administrativo de modificación de licencia del proyecto Campo Capella y dos actos administrativos de terminación del trámite del proyecto Bienparado (LAV0038-00-2109) y Pendare (LAV0041-13); adicional a lo anterior, el equipo de evaluación y  seguimiento se encuentra apoyando la evaluación de 9 proyectos mas que se encuentran en el siguiente estado: 1. LAM0793 (PECIG), 2. LAV0002-00-2020 (Cerromatoso) y 3.LAV0052-00-2019 (Planeta Rica), En espera de información adicional. 4. LAV0001-00-2020. (Quebradona) Preparando audiencia de mesas de expertos y audiencia de información adicional; 5. LAV0012-00-2019. (Soto Norte) 6. LAM0761 (Reficar) y 7. Solicitud de prórroga del permiso de captación de agua subterránea proveniente del pozo profundo La Francia (ASB0008); en revisión de concepto, 8. LAM0806 Modificación PMA Nechí y 9. Evaluación pozo Cedrillo en revisión de información radicada y elaboración de protocolo visita guiada. 10. LAV0004-00-2020 (Dragado de Cartagena), suspendido . De acuerdo a lo anterior se registran 15 solicitudes de apoyo en la evaluación, de las cuales 5 cuentan con acto administrativo. </t>
  </si>
  <si>
    <t xml:space="preserve">Se registran dos actos administrativos de otorgamiento de los proyectos 1.Conconcreto (LAV0050-13) y  2.Verderón (LAV033-00-2019), un acto administrativo de modificación de licencia del proyecto 3.Campo Capella (LAM3816), dos actos administrativos de terminación del trámite del proyecto 4.Bienparado (LAV0038-00-2109) y 5.Pendare (LAV0041-13) y un acto administrativo de prórroga concesión de aguas subterráneas pozo profundo 6.La Francia (ASB0008); adicional a lo anterior, el equipo de evaluación y  seguimiento se encuentra apoyando la evaluación de 13 proyectos mas que se encuentran en el siguiente estado: 1. LAM0793 (PECIG) en revisión por parte de la Dirección general; 2. LAV0002-00-2020 (Cerromatoso) en elaboración de concepto: 3.LAV0052-00-2019 (Planeta Rica) revisando información adicional radicada. 4. LAV0001-00-2020. (Quebradona) Participación mesas de expertos y preparación audiencia de información adicional; 5. LAV0012-00-2019. (Soto Norte) Ajustes concepto técnico y en mesas técnicas con la subdirección, 6. LAM0761 (Reficar) revisión de concepto por parte de líder y coordinación, 7. LAM0806 (Modificación PMA Nechí)  y 8. Evaluación pozo Cedrillo en en visita virtual guiada. 9. LAV0004-00-2020 (Dragado de Cartagena), suspendido; 10. LAV0018-00-2020 (Termoeléctrica Tesorito) en reunión de información adicional; 11. VPD0073-00-2020 (Parque eólico Guajira) y 12.VPD0071-00-2020 (LÍNEA DE TRANSMISIÓN ASOCIADA A LA CONEXIÓN PORCE III SOGAMOSO) en reunión de presentación del proyecto y definición de protocolo visita virtual guiada; 13. VPD0041-00-2020 (Parque eólica casa eléctrica) en revisión de información radicada por el licenciatario. De acuerdo a lo anterior se registran 18 solicitudes de apoyo en la evaluación, de las cuales 6 cuentan con acto administrativo. </t>
  </si>
  <si>
    <t>A corte de 31 de julio de 2020 se registra un 29% de avance en la meta, la cual corresponde a 6 actos administrativos de 21 solicitudes de apoyo en la evaluación. Los soportes de los actos administrativos respectivos se pueden visualizar en: https://anla-my.sharepoint.com/personal/aromero_anla_gov_co/_layouts/15/onedrive.aspx?id=%2Fpersonal%2Faromero%5Fanla%5Fgov%5Fco%2FDocuments%2FNO%20MISIONAL%2FPAI%202020%2FRegionalizaci%C3%B3n</t>
  </si>
  <si>
    <t>A corte de 31 de Agosto de 2020 se registra un 30% de avance en la meta, la cual corresponde a 7 actos administrativos de 23 solicitudes de apoyo en la evaluación, el detalle de los proyectos que cuentan con acto administrativo se relacionan a continuación:   Tres actos administrativos de otorgamiento de los proyectos 1.Conconcreto (LAV0050-13), 2.Verderón (LAV033-00-2019) y 3. LAV0033-00-2016 (Línea Tequendama) , un acto administrativo de modificación de licencia del proyecto 4.Campo Capella (LAM3816), dos actos administrativos de terminación del trámite del proyecto 5.Bienparado (LAV0038-00-2109) y 6.Pendare (LAV0041-13) y un acto administrativo de prórroga concesión de aguas subterráneas pozo profundo 7.La Francia (ASB0008). Los soportes respectivos pueden visualizarse en: https://anla-my.sharepoint.com/personal/aromero_anla_gov_co/_layouts/15/onedrive.aspx?FolderCTID=0x012000DD76C04FB6E57F4BA7E3B7251A36270F&amp;id=%2Fpersonal%2Faromero%5Fanla%5Fgov%5Fco%2FDocuments%2FNO%20MISIONAL%2FPAI%202020%2FRegionalizaci%C3%B3n%2FAgosto2020</t>
  </si>
  <si>
    <t xml:space="preserve">En virtud de las decisiones tomadas en comité directivo del 6 de octubre de 2020, se define que el total de acompañamientos de proyectos en evaluación por parte del instrumento de regionalización pasa de 23 a 18 solicitudes, eliminando del universo los proyectos con fecha proyectada de cierre 2021 (5 proyectos), por lo anterior, a corte de 30 de Septiembre de 2020 se registra un 44% de avance en la meta, la cual corresponde a 8 actos administrativos de 18 solicitudes de apoyo en la evaluación, el detalle de los proyectos que cuentan con acto administrativo se relacionan a continuación:   Tres actos administrativos de otorgamiento de los proyectos 1.Conconcreto (LAV0050-13), 2.Verderón (LAV033-00-2019) y 3. LAV0033-00-2016 (Línea Tequendama) , un acto administrativo de modificación de licencia del proyecto 4.Campo Capella (LAM3816), dos actos administrativos de terminación del trámite del proyecto 5.Bienparado (LAV0038-00-2109) y 6.Pendare (LAV0041-13), un acto administrativo de prórroga concesión de aguas subterráneas pozo profundo 7.La Francia (ASB0008) y 8. Soto Norte (LAV0012) un acto administrativo de archivo. </t>
  </si>
  <si>
    <t>Conceptos técnicos de seguimiento de apoyo a la Subdirección de Evaluación y Seguimiento - SES</t>
  </si>
  <si>
    <t>Número de conceptos técnicos realizados / número de apoyos solicitados * 100</t>
  </si>
  <si>
    <t>Se registra solicitud de apoyo para cuatro conceptos de seguimiento (enero-abril) del LAM0209. Aeropuerto del Dorado. Durante la vigencia enero 2019, se elaboró el concepto correspondiente a Enero el cual se encuentra actualmente en revisión. Adicionalmente se realiza solicitud de apoyo para el concepto de seguimiento del expediente LAM1094 (Cerrejón) en el marco de la sentencia T-614. De acuerdo a lo anterior se reportan cinco solicitudes, de las cuales 1 se encuentra en elaboración para la vigencia enero/2020.</t>
  </si>
  <si>
    <t>Se registran dos conceptos técnicos generados para el mes de febrero de los proyectos LAM0209 (Aeropuerto el Dorado-Enero) y PEA0004 (La Francia); adicional a lo anterior, el equipo de evaluación y seguimiento se encuentra apoyando la elaboración de cuatro proyectos mas que se encuentran en el siguiente estado: 1. LAM0209. (Aeropuerto El Dorado - Febrero) 2. LAM1094 (Cerrejón) y 3. LAM2233 (Ituango) En elaboración de concepto.  4. LAM2249 (Lisama). En revisión por parte de líderes. De acuerdo a lo anterior se registran 6 solicitudes de apoyo en el seguimiento, de las cuales 2 cuentan con concepto técnico</t>
  </si>
  <si>
    <t>Se registran cuatro conceptos técnicos generados a la fecha de los proyectos LAM0209 (Aeropuerto el Dorado-Enero), PEA0004 (La Francia) y  LAM2249 (Lisama); adicional a lo anterior, el equipo de evaluación y seguimiento se encuentra apoyando la elaboración de dos proyectos mas que se encuentran en el siguiente estado: 1. LAM1094 (Cerrejón) y  2. LAM2233 (Ituango) En revisión por parte de líderes. De acuerdo a lo anterior se registran 6 solicitudes de apoyo en el seguimiento, de las cuales 4 cuentan con concepto técnico</t>
  </si>
  <si>
    <t>Se registran cinco conceptos técnicos generados a la fecha de los proyectos LAM0209 (Aeropuerto el Dorado-Enero), PEA0004 (La Francia), LAM2249 (Lisama) y LAM2233 (Ituango); adicional a lo anterior, el equipo de evaluación y seguimiento se encuentra apoyando la elaboración de dos proyectos mas que se encuentran en el siguiente estado: 1. LAM1094 (Cerrejón), 2.LAM3308 (La Loma), 3. LAM1248 (Matachín) y 4. LAM8039 (Doña Juana) En revisión por parte de líderes y  5. LAM0237 Hidrosogamoso, revisando información para análisis climatológico. De acuerdo a lo anterior se registran 10  solicitudes de apoyo en el seguimiento, de las cuales 5 cuentan con concepto técnico</t>
  </si>
  <si>
    <t>Se registran once conceptos técnicos generados a la fecha de los proyectos LAM0209 (Aeropuerto el Dorado-2), PEA0004 (La Francia), LAM2249 (Lisama), LAM2233 (Ituango), LAM8039-00 (Doña Juana - 3), LAM3308 (La Loma), LAM1094 (Cerrejón) y LAM1248 (Matachín); adicional a lo anterior, el equipo de evaluación y seguimiento se encuentra apoyando la elaboración de dos conceptos mas que se encuentran en el siguiente estado:  1. LAM8039 (Doña Juana) En revisión por parte de líderes y  2. LAM0237 Hidrosogamoso, revisando información para análisis climatológico. De acuerdo a lo anterior se registran 13  solicitudes de apoyo en el seguimiento, de las cuales 11 cuentan con concepto técnico</t>
  </si>
  <si>
    <t>Se registran doce conceptos técnicos generados a la fecha de los proyectos 1 y 2.LAM0209 (Aeropuerto el Dorado-2), 3.PEA0004 (La Francia), 4.LAM2249 (Lisama), 5.LAM2233 (Ituango), 6-9.LAM8039-00 (Doña Juana - 4), 10.LAM3308 (La Loma), 11.LAM1094 (Cerrejón) y 12.LAM1248 (Matachín); adicional a lo anterior, el equipo de evaluación y seguimiento se encuentra apoyando la elaboración de cinco conceptos mas que se encuentran en el siguiente estado:  1.LAM8039 (Doña Juana) Quinto concepto en revisión por parte de líderes; 2. LAM0237 Hidrosogamoso, revisando información para análisis climatológico y en mesas técnicos con expertos, 3. Urrá observaciones por parte de líder, 4. LAM0209 Dorado en elaboración concepto de seguimiento y 5. LAM0019 Rubiales. Concepto en revisión. De acuerdo a lo anterior se registran 17  solicitudes de apoyo en el seguimiento, de las cuales 12 cuentan con concepto técnico</t>
  </si>
  <si>
    <t>A corte 31 de julio se registra un 88% de avance en la meta, la cual corresponde a  15 conceptos técnicos numerados de 17 solicitudes de apoyo en el seguimiento. Los soportes de los conceptos numerados se pueden visualizar en: https://anla-my.sharepoint.com/personal/aromero_anla_gov_co/_layouts/15/onedrive.aspx?id=%2Fpersonal%2Faromero%5Fanla%5Fgov%5Fco%2FDocuments%2FNO%20MISIONAL%2FPAI%202020%2FRegionalizaci%C3%B3n</t>
  </si>
  <si>
    <t>A corte 31 de julio se registra un 94% de avance en la meta, la cual corresponde a  16 conceptos técnicos numerados de 17 solicitudes de apoyo en el seguimiento, el detalle de los proyectos que cuenta con concepto numerado de seguimiento se relaciona a continuación: Conceptos técnicos generados: 1-3.LAM0209 (Aeropuerto el Dorado-3), 4.PEA0004 (La Francia), 5.LAM2249 (Lisama), 6.LAM2233 (Ituango), 7-11.LAM8039-00 (Doña Juana - 5), 12.LAM3308 (La Loma), 13.LAM1094 (Cerrejón), 14.LAM1248 (Matachín), 15. LAM0112 (Urrá), 16. LAM0019 (Rubiales) y 17. LAM2577 (Central hidroeléctrica Tasajera). Los soportes respectivos pueden visualizarse en: https://anla-my.sharepoint.com/personal/aromero_anla_gov_co/_layouts/15/onedrive.aspx?FolderCTID=0x012000DD76C04FB6E57F4BA7E3B7251A36270F&amp;id=%2Fpersonal%2Faromero%5Fanla%5Fgov%5Fco%2FDocuments%2FNO%20MISIONAL%2FPAI%202020%2FRegionalizaci%C3%B3n%2FAgosto2020</t>
  </si>
  <si>
    <t xml:space="preserve">A corte 30 de septiembre se registra un 90% de avance en la meta, la cual corresponde a  18 conceptos técnicos numerados de 20 solicitudes de apoyo en el seguimiento, el detalle de los proyectos que cuenta con concepto numerado de seguimiento se relaciona a continuación: Conceptos técnicos generados: 1-3.LAM0209 (Aeropuerto el Dorado-3), 4.PEA0004 (La Francia), 5-6.LAM2249 (Lisama-2), 7.LAM2233 (Ituango), 8-12.LAM8039-00 (Doña Juana - 5), 13.LAM3308 (La Loma), 14.LAM1094 (Cerrejón), 15.LAM1248 (Matachín), 16. LAM0112 (Urrá), 17. LAM0019 (Rubiales) y 18. LAM2577 (Central hidroeléctrica Tasajera). </t>
  </si>
  <si>
    <t>Documentos técnicos de modelación regional de medios biótico, abiótico y social elaborados</t>
  </si>
  <si>
    <t># de documentos técnicos de modelación regional elaborados</t>
  </si>
  <si>
    <t>Espacios de Divulgación de Resultados.</t>
  </si>
  <si>
    <t>% de socializaciones y/o divulgaciones de las Estrategias de redes de monitoreo para las Regiónes priorizadas</t>
  </si>
  <si>
    <t>Para la vigencia de 2020 se tiene programada la elaboración de tres reportes de análisis regional los cuales cuentan seis fases. 
Reporte SZH Río Bogota (primer reporte)
1. Definición del área de estudio: se realizó reunión técnicas para delimitar y definir el área de estudio de este reporte (17-01-2020) y se generaro el shape del área, lo que corresponde al 2% de la actividad.
2. Gestión documental de expedientes: se generó la identificación de expedientes  del área de estudio en AGIL/SLLA, se generó la selección y distribución de los anexos de archivo, y se esta realizando la solicitud y descarga de los mismos. En total se identificaron 1410 radicados a descargar de 68 expedientes. De igual manera se generó la descarga en SILA de resolución y conceptos para el diligenciamiento de la matriz preliminar de permisos. Esto corresponde a un avance del  5,8% de la actividad.
Se lleva un avance del 7,8% del reporte.</t>
  </si>
  <si>
    <t xml:space="preserve">Para la vigencia enero 2020 no se reporta ninguna socialización realizada. </t>
  </si>
  <si>
    <t>Para la vigencia de 2020 se tiene programada la elaboración de tres reportes de análisis regional:
Reporte SZH Río Bogota (primer reporte)
1. Definición del área de estudio: se realizó reunión técnicas para delimitar y definir el área de estudio de este reporte (17-01-2020) y se generaro el shape del área, lo que corresponde al 2% de la actividad.
2. Gestión documental de expedientes: se generó la identificación de expedientes  del área de estudio en AGIL/SILA, la selección y distribución de los anexos de archivo, y se realizó la solicitud y descarga de los mismos. En total se descargó la información de 1410 radicados de 68 expedientes; de igual manera se generó la descarga en SILA de resolución y conceptos para el diligenciamiento de la matriz preliminar de permisos. Con la depuración de la información se estableció que el universo son 64 expedientes a sistematizar.  Esto corresponde al 8% de la actividad.
3.Gestión información secundaria y articulación: se realizó la revisión de la información disponible en la página web de la CAR, SDA, y otras entidades y se proyecto oficio de solitud de información y de una reunión con la CAR para presentar el instrumento y darle alcance a la información solicitada. Se encuentra pendiente la confirmación del CAR del espacio de reunión, esto corresponde a un  3,5% de avance.
4. Sistematización de expedientes: se inicio la sistematización de la información de cada uno de los componentes (flora, fauna, recurso hídrico superficial, recurso hídrico subtéraneo, aire, ruido y socioeconómico) en la base de datos del modelo de almacenamiento de regionalización. De esta actividad se lleva un 7,5% de avance.
Para este reporte se tiene un avance del 21%.</t>
  </si>
  <si>
    <t>Las socializaciones de estrategias de monitoreo se encuentran programadas para el segundo semestre de 2020</t>
  </si>
  <si>
    <t>Para la vigencia de 2020 se tiene programada la elaboración de tres reportes de análisis regional:
Reporte SZH Río Bogota (primer reporte)
1. Definición del área de estudio: se realizó reunión técnicas para delimitar y definir el área de estudio de este reporte (17-01-2020) y se generaro el shape del área, lo que corresponde al 2% de la actividad.
2. Gestión documental de expedientes: se generó la identificación de expedientes  del área de estudio en AGIL/SILA, la selección y distribución de los anexos de archivo, y se realizó la solicitud y descarga de los mismos. En total se descargó la información de 1410 radicados de 68 expedientes; de igual manera se generó la descarga en SILA de resolución y conceptos para el diligenciamiento de la matriz preliminar de permisos. Con la depuración de la información se estableció que el universo son 64 expedientes a sistematizar.  Esto corresponde al 8% de la actividad.
3.Gestión información secundaria y articulación: se realizó la revisión de la información disponible en la página web de la CAR, SDA, y otras entidades y se proyecto oficio de solitud de información y de una reunión con la CAR para presentar el instrumento y darle alcance a la información solicitada. Se encuentra pendiente la confirmación del CAR del espacio de reunión, esto corresponde a un  4% de avance.
4. Sistematización de expedientes: se finalizó la sistematización de la información de cada uno de los componentes (flora, fauna, recurso hídrico superficial, recurso hídrico subtéraneo, aire, ruido y socioeconómico) en la base de datos del modelo de almacenamiento de regionalización. Queda pendiente incorporar la información de las CARs. Esto corresponde a un  25% de avance.
5. Elaboración de documento por componente: Se inicio la estructuración de los documentos de cada uno de los componentes (flora, fauna, recurso hídrico superficial, recurso hídrico subtéraneo, aire, ruido y socioeconómico). Esto corresponde a un 15% de avance. Se tiene programado reunion de integralidad el 6 de abril.
Para este reporte se tiene un avance del 53,6%.</t>
  </si>
  <si>
    <t>Durante el mes de abril se realizaron dos socializaciones de las estrategias de monitoreo generadas por regionalización a las nuevas coordinaciones Caribe - pacífico (17-04-20) y Medio Magdalena - Cauca - Catatumbo (20-04-20)</t>
  </si>
  <si>
    <t>Durante el mes de abril se realizaron dos socializaciones de las estrategias de monitoreo generadas por regionalización a las nuevas coordinaciones Caribe - pacífico (17-04-20) y Medio Magdalena - Cauca - Catatumbo (20-04-20). Durante el mes de mayo se realizaron tres socializaciones:  La socialización de la estrategia de monitoreo recurso hídrico en la cuenca del río Cusiana, la cual culminó con la fase de elaboración de conceptos (07-05-20), así mismo se socializó la estrategia de monitoreo recurso hídrico subterráneo en la  SZH río Guarrojo, Alto Vichada y Muco, la cual se encuentra en fase de formulación  a la coordinación Orinoquía y profesionales a cargo de dicha coordinación. (18-05-20), por último se realizó la socialización de la estrategia de monitoreo para el sector hidroeléctrico en reunión con CORNARE. (19-05-20)</t>
  </si>
  <si>
    <t>A corte 31 de julio se registra un 67% de avance en la meta, la cual corresponde a dos reportes finalizados (SZH Rio Bogota ) y uno en elaboración (Actualización Guajira, Tribugá)                                                                                                                                                                                 Los soportes de los dos documentos elaborados pueden visualizarse en: https://anla-my.sharepoint.com/personal/aromero_anla_gov_co/_layouts/15/onedrive.aspx?id=%2Fpersonal%2Faromero%5Fanla%5Fgov%5Fco%2FDocuments%2FNO%20MISIONAL%2FPAI%202020%2FRegionalizaci%C3%B3n</t>
  </si>
  <si>
    <t>A corte de 31 de julio se registra un 100% de cumplimiento de la meta, correspondiente a 5 espacios de divulgación generados. Los soportes de las socializaciones generadas pueden visualizarse en: https://anla-my.sharepoint.com/personal/aromero_anla_gov_co/_layouts/15/onedrive.aspx?id=%2Fpersonal%2Faromero%5Fanla%5Fgov%5Fco%2FDocuments%2FNO%20MISIONAL%2FPAI%202020%2FRegionalizaci%C3%B3n</t>
  </si>
  <si>
    <t>A corte 31 de agosto se registra un 67% de cumplimiento de la meta, correspondiente a dos reportes finalizados y uno en elaboración. Reporte Golfo de Cupica y Golfo de Tribugá y Reporte de Alertas SZH Río Bogotá. Los soportes respectivos pueden visualizarse en: https://anla-my.sharepoint.com/personal/aromero_anla_gov_co/_layouts/15/onedrive.aspx?FolderCTID=0x012000DD76C04FB6E57F4BA7E3B7251A36270F&amp;id=%2Fpersonal%2Faromero%5Fanla%5Fgov%5Fco%2FDocuments%2FNO%20MISIONAL%2FPAI%202020%2FRegionalizaci%C3%B3n%2FAgosto2020</t>
  </si>
  <si>
    <t>A corte de 31 de agosto se registra un 100% de cumplimiento de la meta, correspondiente a 5 espacios de divulgación generados. Los soportes de las socializaciones generadas pueden visualizarse en:https://anla-my.sharepoint.com/personal/aromero_anla_gov_co/_layouts/15/onedrive.aspx?FolderCTID=0x012000DD76C04FB6E57F4BA7E3B7251A36270F&amp;id=%2Fpersonal%2Faromero%5Fanla%5Fgov%5Fco%2FDocuments%2FNO%20MISIONAL%2FPAI%202020%2FRegionalizaci%C3%B3n%2FAgosto2020</t>
  </si>
  <si>
    <t xml:space="preserve">A corte 30 de septiembre se registra un 100% de cumplimiento de la meta, correspondiente a tres reportes finalizados. Reporte Golfo de Cupica y Golfo de Tribugá, Reporte de Alertas SZH Río Bogotá y actualización Repote de Alertas SZH Caribe - Guajira. Los soportes respectivos pueden visualizarse en: </t>
  </si>
  <si>
    <t>A corte de 30 de septiembre se registra un 100% de cumplimiento de la meta, correspondiente a 5 espacios de divulgación generados. Los soportes de las socializaciones generadas pueden visualizarse en:https://anla-my.sharepoint.com/personal/aromero_anla_gov_co/_layouts/15/onedrive.aspx?FolderCTID=0x012000DD76C04FB6E57F4BA7E3B7251A36270F&amp;id=%2Fpersonal%2Faromero%5Fanla%5Fgov%5Fco%2FDocuments%2FNO%20MISIONAL%2FPAI%202020%2FRegionalizaci%C3%B3n%2FAgosto2020</t>
  </si>
  <si>
    <t>Nodo Regional De Información Operando.</t>
  </si>
  <si>
    <t># de reportes de alertas regionales elaborados</t>
  </si>
  <si>
    <t>Para la vigencia de 2020 se tiene programada la elaboración de tres reportes de análisis regional:
Reporte SZH Río Bogota (primer reporte)
1. Definición del área de estudio: se realizó reunión técnicas para delimitar y definir el área de estudio de este reporte (17-01-2020) y se generaro el shape del área, lo que corresponde al 2% de la actividad.
2. Gestión documental de expedientes: se generó la identificación de expedientes  del área de estudio en AGIL/SILA, la selección y distribución de los anexos de archivo, y se realizó la solicitud y descarga de los mismos. En total se descargó la información de 1410 radicados de 68 expedientes; de igual manera se generó la descarga en SILA de resolución y conceptos para el diligenciamiento de la matriz preliminar de permisos. Con la depuración de la información se estableció que el universo son 64 expedientes a sistematizar.  Esto corresponde al 8% de la actividad.
3.Gestión información secundaria y articulación: se realizó la revisión de la información disponible en la página web de la CAR, SDA, y otras entidades y se proyecto oficio de solitud de información y de una reunión con la CAR para presentar el instrumento y darle alcance a la información solicitada. Se encuentra pendiente la confirmación del CAR del espacio de reunión, esto corresponde a un  8% de la actividad
4. Sistematización de expedientes: se finalizó la sistematización de la información de cada uno de los componentes (flora, fauna, recurso hídrico superficial, recurso hídrico subtéraneo, aire, ruido y socioeconómico) en la base de datos del modelo de almacenamiento de regionalización. Igualmente se incorporo la información remitida por la SDA, respecto a la información de la CAR se incorporara en una actualización del reporte de acuerdo con la información obtenida de la propuesta de convenio con esta entidad. Esto corresponde a un  30% de la actividad
5. Elaboración de documento por componente: Se finalizo la estructuración de los documentos de cada uno de los componentes (flora, fauna, recurso hídrico superficial, recurso hídrico subtéraneo, aire, ruido y socioeconómico). Esto corresponde a un 30% de la actividad. Se tiene programado reunion de integralidad el 6 de abril. 
6.Elaboración del documento de integralidad y acumulativos. El 6 de abril se realizó la reunion de impactos acumulativos e integralidad y conforme a esta reunion, el equipo estructuro el documento. El cual ya se encuentra finalizado. Esto corresponde a un 14% de la actividad.                                                                                                                                                                                                                                                                                          7. Revisión, ajuste y documento final: El día 29 de abril ya se encuentra consolidada la versión final de la ficha consolidada, con los respectivos ajustes y correciones. Esto corresponde a un 8% de la actividad                                                      
De acuerdo a lo anterior, para este reporte se tiene un avance del 100%.                                                                                                                                                                                                                                                                             En el mes de mayo se adelantara la socialización del reporte de Río Bogotá al Subdirector y el envió del reporte ala OAJ, para luego remitir a Diagramación. Por otra parte se iniciara de manera simultanea con los reportes de alertas del Golfo de Tribuga y la actualización del reporte de la Guajira</t>
  </si>
  <si>
    <t>Para la vigencia de 2020 se tiene programada la elaboración de tres reportes de análisis regional:_x000D_
_x000D_
Reporte SZH Río Bogota (primer reporte finalizado 100%) En el mes de mayo se realizo la socialización de resultados al Subdirector y producto de dicha socialización se elaboro un video de resultados del reporte con el fin de aumentar el alcance de divulgación de los reportes de alertas._x000D_
Reporte Actualización Guajira (14%)                                                                                                                                                                                                                                                                                                                                            1. Definición del área de estudio: se realizó reunión técnicas para delimitar y definir el área de estudio de este reporte (17-01-2020) y se generaro el shape del área, lo que corresponde al 2% de la actividad._x000D_
2. Gestión documental de expedientes: se generó la identificación de expedientes  del área de estudio en AGIL/SILA, la selección y distribución de los anexos de archivo, y se realizó la solicitud y descarga de los mismos. En total se descargó la información de 200 radicados de 26 expedientes información despues de agosto de 2017 fecha de corte de reporte de 2017. Esto corresponde al 8% de la actividad._x000D_
3.Gestión información secundaria y articulación: se realizó la revisión de la información disponible en la página web de la Corpoguajira y otras entidades y se proyecto oficio de solitud de información y de una reunión con Corpoguajira para presentar el instrumento y darle alcance a la información solicitada. Se encuentra pendiente la confirmación del Corpoguajira del espacio de reunión, esto corresponde a un  8% de la actividad y se tiene avance del 4%_x000D_
Reporte Pacifico Norte: Golfo de Tribuga y Cupica (14%)                                                                                                                                                                                                                                                                                                         1. Definición del área de estudio: se realizó reunión técnicas para delimitar y definir el área de estudio de este reporte (17-01-2020) y se generaro el shape del área, lo que corresponde al 2% de la actividad._x000D_
2. Gestión documental de expedientes: Segun la revision del estado de licenciamiento e el área de estudio no se encuentran proyectos activos razon por la cual no se realiza esta gestión (8%)_x000D_
3.Gestión información secundaria y articulación: se realizó la revisión de la información disponible en la página web de las entidades en la zona y se proyecto oficio de solitud de información y de una reunión con: CODECHOCO, ANI, AUNAP, IIAP e Invemar.  para presentar el instrumento y darle alcance a la información solicitada. A la fecha se ha realizado la socialización con la AUNPA; se encuentra pendiente la confirmación de las demás entidades del espacio de reunión, esto corresponde a un  8% de la actividad y se tiene avance del 4%                                                                                                                                                                                                                                                  En el mes de junio para los reportes de alertas del Golfo de Tribuga y la actualización del reporte de la Guajira, se realizara la sistematización de información primaria y secundaria y elaboración de los documentos por componentes.</t>
  </si>
  <si>
    <t>Para la vigencia de 2020 se tiene programada la elaboración de tres reportes de análisis regional:_x000D_
_x000D_
Reporte SZH Río Bogota (primer reporte finalizado 100%) En el mes de junio el Subdirector realizo la revisión de la ficha y posterior a esto se remitió a la OAJ para revisión juridica. En el mes de julio se propone socializar la metodología y los resultados del reporte de manera interna a los demas  grupos de Regionalización_x000D_
Reporte Actualización Guajira (54%)                                                                                                                                                                                                                                                                                                                                            1. Definición del área de estudio: se realizó reunión técnicas para delimitar y definir el área de estudio de este reporte (17-01-2020) y se generaro el shape del área, lo que corresponde al 2% de la actividad._x000D_
2. Gestión documental de expedientes: se generó la identificación de expedientes  del área de estudio en AGIL/SILA, la selección y distribución de los anexos de archivo, y se realizó la solicitud y descarga de los mismos. En total se descargó la información de 200 radicados de 26 expedientes información despues de agosto de 2017 fecha de corte de reporte de 2017. Esto corresponde al 8% de la actividad._x000D_
3.Gestión información secundaria y articulación: se realizó la revisión de la información disponible en la página web de la Corpoguajira y otras entidades y se proyecto oficio de solitud de información y de una reunión con Corpoguajira para presentar el instrumento y darle alcance a la información solicitada. Se encuentra pendiente la confirmación del Corpoguajira del espacio de reunión, esto corresponde a un  8% de la actividad y se tiene avance del 4%_x000D_
4. Sistematización expedientes por componente.   Esta actividad representa el 30% y se cuenta con porcentaje de avance del 25%         _x000D_
5. Documento por componente análisis regional: Esta actividad representa el 30% y se tiene un % de avance del 14%                  _x000D_
6. Integralidad e impactos acumulativos: El 30 de junio se realizo reunion de integralidad e impactos acumulativos. Esta actividad representa el 14%._x000D_
Reporte Pacifico Norte: Golfo de Tribuga y Cupica (78%)                                                                                                                                                                                                                                                                                                         1. Definición del área de estudio: se realizó reunión técnicas para delimitar y definir el área de estudio de este reporte (17-01-2020) y se generaro el shape del área, lo que corresponde al 2% de la actividad._x000D_
2. Gestión documental de expedientes: Segun la revision del estado de licenciamiento e el área de estudio no se encuentran proyectos activos razon por la cual no se realiza esta gestión (8%)_x000D_
3.Gestión información secundaria y articulación: se realizó la revisión de la información disponible en la página web de las entidades en la zona y se proyecto oficio de solitud de información y de una reunión con: CODECHOCO, ANI, AUNAP, IIAP e Invemar.  para presentar el instrumento y darle alcance a la información solicitada. A la fecha se ha realizado la socialización con la AUNAP y Fundación Marviva, esto corresponde a un  8% de la actividad y se tiene avance del 8%   _x000D_
4. Sistematización expedientes por componente. Para este reporte no se realizo sistematizacion de información primaria (expedientes), a cambio se realizo la revisión de la información secundaria remitida por Fundación Marviva y la AUNAP. Esta actividad se encuentra finalizada y representa el 30%._x000D_
5. Documento por componente análisis regional: Este reporte contempló los siguientes componentes: Hidrico superficial, Biotico, Socioeconomico y un analisis fisico de oleaje y sismicidad. Adicionalmente se conto con la participación de VEA y el apoyo de Cambio Climatico. Esta actividad representa el 30% y se tiene un avance del 23,3%_x000D_
6. Integralidad e impactos acumulativos: En esta actividad se esta estructurando e implementado una nueva metodologia de impactos acumulativos con lo cual se generan 2 documentos: Descripción de actividades y el documento de Analisis de integralidad e impactos acumulativos. Esta actividad representa el 14% y se tiene un porcentaje de avance de 6,5%                                                                                                                                                                                                                                   Adicionalmente en el mes de junio se realizo la socialización de resultados de la CH-ALZP con la CDMB.</t>
  </si>
  <si>
    <t>A corte 31 de julio se registra un 67% de avance en la meta, la cual corresponde a dos reportes finalizados (SZH Rio Bogota ) y uno en elaboración (Actualización Guajira, Tribugá)                                                                                                                                                                                 Los soportes de los dos documentos elaborados pueden visualizarse en: https://anla-my.sharepoint.com/personal/aromero_anla_gov_co/_layouts/15/onedrive.aspx?id=%2Fpersonal%2Faromero%5Fanla%5Fgov%5Fco%2FDocuments%2FNO%20MISIONAL%2FPAI%202020%2FRegionalizaci%C3%B</t>
  </si>
  <si>
    <t>A corte 30 de septiembre se registra un 100% de cumplimiento de la meta, correspondiente a tres reportes finalizados. Reporte Golfo de Cupica y Golfo de Tribugá, Reporte de Alertas SZH Río Bogotá y actualización Repote de Alertas SZH Caribe - Guajira. 
Por otra parte, se inicio la elaboración del Reporte de alertas del Centro y Sur del Tolima; este reporte adicional se debe al apoyo prestado por profesionales de la SELA, que dada la contingencia del COVID-19 presentaron un descenso significativo en la solicitudes de evaluación, razon por la cual pudieron prestar su apoyo en la elaboracion de este documento.</t>
  </si>
  <si>
    <t>Documentos de soporte elaborado.</t>
  </si>
  <si>
    <t># de propuestas de Documento de las Estrategias de redes de monitoreo para las Regiones priorizadas.</t>
  </si>
  <si>
    <t>Para la vigencia 2020 se tiene programado obtener productos finales en al menos tres de las estrategias del monitoreo del instrumento para las fases de: Generación de información: Estrategia hídrica superficial cuenca del río Tillavá (en espera de información deriviada de la imposición de obligación para su respectivo análisis). Imposición de actos administrativos para las estrategias de Alto San Jorge, cuenca del río Cusiana y Tillavá hídrica subterráneo (en fase de gestión para la primera y revisión final para la segunda y tercera). Elaboración actos administrativos para las estrategias de Guajira y Antioquia (se cuenta con propuesta de red, pendiente socializar con actores internos y externos e iniciar con la elaboración de conceptos técnicos). Formulación de red para las estrategias de Putumayo, Meta y Buenaventura (no se han iniciado actividades, se proyecta iniciar durante el segundo semestre de 2020). De acuerdo a lo anterior durante la vigencia enero 2020 se avanzó en la gestión y ajuste final de concecptos para la fase de imposición de actos adminsitrativos para las estrategias Cusiana y Tillavá hídrico subterráneo, se espera contar con conceptos finalizados durante el mes de febrero de 2020.</t>
  </si>
  <si>
    <t>ESTRATEGIAS FASE DE IMPOSICIÓN OBLIGACIONES. Estrategia hídrica subterránea cuenca del río Tillavá. 50% Cuatro conceptos. LAM4795. (Concepto técnico 31-12-20), LAM5995 (Concepto técnico 28-02-20), LAM5281 (Concepto en revisión/verificación), LAV0084 (En espera de comentarios por parte de SES). Estrategia Hídrica Superficial y atmosférica Alto San Jorge. 25%. Cuatro conceptos. LAV0051-00-2017 (Sator-Mina BIjao). Se enviaron requerimientos de monitoreo hídricos superficiales y atmosféricos a ser vinculados en el concepto de evaluación de la modificación. LAM4656 (Gecelca). Se enviaron requerimientos  de monitoreo hídricos superficiales y atmosféricos a ser vinculados en el concepto técnico de seguimiento. LAV0045-00-2016 (Termobijao-Sator). En espera de inicio fase de construcción para imposición de obligación. LAV0002-00-2020. (Cerromatoso. Se vincularan requerimientos hídricos superficiales y atmosféricos en el concepto de evaluación de licencia ambiental). Estrategia Hídrica Superficial Cuenca del Río Cusiana. 25%. 7 conceptos. LAV0029-00-2017 (Rumba-Enviado  a SES para comentarios). LAV0061-13 (Chitamena Sur - Enviado  a SES para comentarios), LAM6045 (Casimena- Enviado  a SES para comentarios), LAM0425 (Campo Santiago - En ajuste final concepto), LAM2160 (Entreríos- Enviado  a SES para comentarios), LAM0524 (CPF Cusiana-En ajuste final concepto), LAM0668 (Campo Cupiagua- En elaboración). ESTRATEGIAS FASE DE ELABORACIÓN DE CONCEPTOS: Estrategia componente atmósfera Guajira. 12% 4 Conceptos. LAM1179 (Termoguajira - Priorizado segundo semestre de 2020), LAM2619 (Puerto Brisa - Seguimiento Abril), LAM1094 (Cerrejón - En elaboración de concepto) LAM3491 (Caipa- Pdte definir alcance sector)</t>
  </si>
  <si>
    <t xml:space="preserve">ESTRATEGIAS FASE DE IMPOSICIÓN OBLIGACIONES. Estrategia hídrica subterránea cuenca del río Tillavá. 75% Cuatro conceptos. LAM4795. (Concepto técnico 31-12-20), LAM5995 (Concepto técnico 28-02-20), LAM5281 (Concepto técnico 3-03-20), LAV0084 (En espera de comentarios por parte de SES). Estrategia Hídrica Superficial y atmosférica Alto San Jorge. 50%. Cuatro conceptos. LAV0051-00-2017 (concepto técnico 16-03-20). LAM4656 (concepto técnico 31-03-20). LAV0045-00-2016 (Termobijao-Sator). En espera de inicio fase de construcción para imposición de obligación. LAV0002-00-2020. (Cerromatoso. Se vincularan requerimientos hídricos superficiales y atmosféricos en el concepto de evaluación de licencia ambiental). Estrategia Hídrica Superficial Cuenca del Río Cusiana. 25%. 7 conceptos. LAV0029-00-2017 (Rumba-Enviado  a SES para comentarios). LAV0061-13 (Chitamena Sur - Enviado  a SES para comentarios), LAM6045 (Casimena- Enviado  a SES para comentarios), LAM0425 (Campo Santiago - En ajuste final concepto), LAM2160 (Entreríos- Enviado  a SES para comentarios), LAM0524 (CPF Cusiana-En ajuste final concepto), LAM0668 (Campo Cupiagua- En elaboración). ESTRATEGIAS FASE DE ELABORACIÓN DE CONCEPTOS: Estrategia componente atmósfera Guajira. 12% 4 Conceptos. LAM1179 (Termoguajira - Priorizado segundo semestre de 2020), LAM2619 (Puerto Brisa - Seguimiento Abril), LAM1094 (Cerrejón - concepto en revisión), LAM3491 (Caypa- en fase de revisión). </t>
  </si>
  <si>
    <t>ESTRATEGIAS FASE DE IMPOSICIÓN OBLIGACIONES. Estrategia hídrica subterránea cuenca del río Tillavá. 100% Cuatro conceptos. LAM4795. (Concepto técnico 31-12-20), LAM5995 (Concepto técnico 28-02-20), LAM5281 (Concepto técnico 3-03-20), LAV0084 (Concepto técnico del 22-04-20). Estrategia Hídrica Superficial y atmosférica Alto San Jorge. 50%. Cuatro conceptos. LAV0051-00-2017 (concepto técnico 16-03-20). LAM4656 (concepto técnico 31-03-20). LAV0045-00-2016 (Termobijao-Sator). En espera de inicio fase de construcción para imposición de obligación. LAV0002-00-2020. (Cerromatoso. Se vincularan requerimientos hídricos superficiales y atmosféricos en el concepto de evaluación de licencia ambiental). Estrategia Hídrica Superficial Cuenca del Río Cusiana. 50%. 7 conceptos. LAV0029-00-2017 (Rumba-Enviado  a SES para comentarios). LAV0061-13 (Chitamena Sur - Enviado  a SES para comentarios), LAM6045 (Casimena- Enviado  a SES para comentarios), LAM0425 (Campo Santiago - Enviado a SES- En espera de comentarios), LAM2160 (Entreríos- Enviado  a SES para comentarios), LAM0524 (CPF Cusiana-Ennviado a SES en espera de comentarios), LAM0668 (Campo Cupiagua- Enviado a SES - en espera de comentarios). ESTRATEGIAS FASE DE ELABORACIÓN DE CONCEPTOS: Estrategia componente atmósfera Guajira. 50% 4 Conceptos. LAM1179 (Termoguajira - Priorizado segundo semestre de 2020), LAM2619 (Puerto Brisa - Concepto técnico 29-04-20), LAM1094 (Cerrejón - concepto en revisión), LAM3491 (Caypa- Concepto técnico 8-04-20). ESTRATEGIAS FASE DE FORMULACIÓN. Estrategia componente hìdrico subterraneo VMM 50% en Fase de revisión interna. Estrategia componente hídrico subterráneo SZH Muco, Guarrojo y Alto Vichada. 50% En fase de revisión interna.</t>
  </si>
  <si>
    <t>ESTRATEGIAS FASE DE IMPOSICIÓN OBLIGACIONES. Estrategia hídrica subterránea cuenca del río Tillavá. 100% Cuatro conceptos. LAM4795. (Concepto técnico 31-12-20), LAM5995 (Concepto técnico 28-02-20), LAM5281 (Concepto técnico 3-03-20), LAV0084 (Concepto técnico del 22-04-20). Estrategia Hídrica Superficial y atmosférica Alto San Jorge. 50%. Cuatro conceptos. LAV0051-00-2017 (concepto técnico 16-03-20). LAM4656 (concepto técnico 31-03-20). LAV0045-00-2016 (Termobijao-Sator). En espera de inicio fase de construcción para imposición de obligación. LAV0002-00-2020. (Cerromatoso. Se vincularan requerimientos hídricos superficiales y atmosféricos en el concepto de evaluación de licencia ambiental). Estrategia Hídrica Superficial Cuenca del Río Cusiana. 50%. Se reinició proceso de socialización con los nuevos profesionales a cargo de acuerdo a reestructuración de la entidad, en proceso de revisión de priorización de proyectos según Subdirección de seguimiento, se espera durante el mes de junio iniciar socializaciones con los líderes a cargo de los siete expedientes incluidos en la estrategia. ESTRATEGIAS FASE DE ELABORACIÓN DE CONCEPTOS: Estrategia componente atmósfera Guajira. 75% 4 Conceptos. LAM1179 (Termoguajira - Priorizado segundo semestre de 2020), LAM2619 (Puerto Brisa - Concepto técnico 29-04-20), LAM1094 (Cerrejón - Concepto técnico 15-05-20), LAM3491 (Caypa- Concepto técnico 8-04-20). ESTRATEGIAS FASE DE FORMULACIÓN. Estrategia componente hìdrico subterraneo VMM 50% en Fase de revisión interna. Estrategia componente hídrico subterráneo SZH Muco, Guarrojo y Alto Vichada. 50% En fase de revisión interna, teniendo en cuenta priorización de la nueva subdirección de seguimiento.</t>
  </si>
  <si>
    <t xml:space="preserve">ESTRATEGIAS FASE DE IMPOSICIÓN OBLIGACIONES. Estrategia hídrica subterránea cuenca del río Tillavá. 100% Cuatro conceptos. LAM4795. (Concepto técnico 31-12-20), LAM5995 (Concepto técnico 28-02-20), LAM5281 (Concepto técnico 3-03-20), LAV0084 (Concepto técnico del 22-04-20). Estrategia Hídrica Superficial y atmosférica Alto San Jorge. 50%. Cuatro conceptos. LAV0051-00-2017 (concepto técnico 16-03-20). LAM4656 (concepto técnico 31-03-20). LAV0045-00-2016 (Termobijao-Sator). En espera de inicio fase de construcción para imposición de obligación. LAV0002-00-2020. (Cerromatoso. Se vincularan requerimientos hídricos superficiales y atmosféricos en el concepto de evaluación de licencia ambiental). Estrategia Hídrica Superficial Cuenca del Río Cusiana. 50%. Durante el mes de junio se inició con las socializaciones con los líderes a cargo de los siete expedientes incluidos en la estrategia y se definieron fechas de entrega para cada unod e los expedientes. ESTRATEGIAS FASE DE ELABORACIÓN DE CONCEPTOS: Estrategia componente atmósfera Guajira. 75% 4 Conceptos. LAM1179 (Termoguajira - Priorizado segundo semestre de 2020), LAM2619 (Puerto Brisa - Concepto técnico 29-04-20), LAM1094 (Cerrejón - Concepto técnico 15-05-20), LAM3491 (Caypa- Concepto técnico 8-04-20). ESTRATEGIAS FASE DE FORMULACIÓN. Estrategia componente hìdrico subterraneo VMM 50% en Fase de revisión interna. Estrategia componente hídrico subterráneo SZH Muco, Guarrojo y Alto Vichada. 50% En fase de revisión interna.  Estrategia </t>
  </si>
  <si>
    <t>A corte 31 de julio se registra un 33% de cumplimiento de la meta, correspondiente a la finalización de 1 estrategia en fase de imposición de obligaciones. Los soportes de los documentos elaborados pueden visualizarse en: https://anla-my.sharepoint.com/personal/aromero_anla_gov_co/_layouts/15/onedrive.aspx?id=%2Fpersonal%2Faromero%5Fanla%5Fgov%5Fco%2FDocuments%2FNO%20MISIONAL%2FPAI%202020%2FRegionalizaci%C3%B3n</t>
  </si>
  <si>
    <t>A corte 31 de agosto se registra un 100% de cumplimiento de la meta, correspondiente a la finalización de 1 estrategia en fase de imposición de obligaciones (Estrategia hídrica subterránea Cuenca del río Tillavá) y 2 estrategias en fase de formulación (Estrategias hídricas subterráneas SZH río Muco y VMM). Los soportes respectivos pueden visualizarse en: https://anla-my.sharepoint.com/personal/aromero_anla_gov_co/_layouts/15/onedrive.aspx?FolderCTID=0x012000DD76C04FB6E57F4BA7E3B7251A36270F&amp;id=%2Fpersonal%2Faromero%5Fanla%5Fgov%5Fco%2FDocuments%2FNO%20MISIONAL%2FPAI%202020%2FRegionalizaci%C3%B3n%2FAgosto2020</t>
  </si>
  <si>
    <t>A corte 30 de septiembre se registra un 100% de cumplimiento de la meta, correspondiente a la finalización de 1 estrategia en fase de imposición de obligaciones (Estrategia hídrica subterránea Cuenca del río Tillavá) y 2 estrategias en fase de formulación (Estrategias hídricas subterráneas SZH río Muco y VMM). Los soportes respectivos pueden visualizarse en: https://anla-my.sharepoint.com/personal/aromero_anla_gov_co/_layouts/15/onedrive.aspx?FolderCTID=0x012000DD76C04FB6E57F4BA7E3B7251A36270F&amp;id=%2Fpersonal%2Faromero%5Fanla%5Fgov%5Fco%2FDocuments%2FNO%20MISIONAL%2FPAI%202020%2FRegionalizaci%C3%B3n%2FAgosto2020</t>
  </si>
  <si>
    <t>Indicadores producto</t>
  </si>
  <si>
    <t>Indicadores de Gestión</t>
  </si>
  <si>
    <t>OAP</t>
  </si>
  <si>
    <t>7,0%</t>
  </si>
  <si>
    <t>11,0%</t>
  </si>
  <si>
    <t>14,0%</t>
  </si>
  <si>
    <t>18,0%</t>
  </si>
  <si>
    <t>28,0%</t>
  </si>
  <si>
    <t>31,0%</t>
  </si>
  <si>
    <t>OAJ</t>
  </si>
  <si>
    <t>16,9%</t>
  </si>
  <si>
    <t>19,7%</t>
  </si>
  <si>
    <t>18,1%</t>
  </si>
  <si>
    <t>17,4%</t>
  </si>
  <si>
    <t>27,0%</t>
  </si>
  <si>
    <t>28,6%</t>
  </si>
  <si>
    <t>TIC</t>
  </si>
  <si>
    <t>12,5%</t>
  </si>
  <si>
    <t>15,8%</t>
  </si>
  <si>
    <t>16,0%</t>
  </si>
  <si>
    <t>7,7%</t>
  </si>
  <si>
    <t>34,7%</t>
  </si>
  <si>
    <t>28,2%</t>
  </si>
  <si>
    <t>Control disciplinario</t>
  </si>
  <si>
    <t>17,0%</t>
  </si>
  <si>
    <t>20,6%</t>
  </si>
  <si>
    <t>20,8%</t>
  </si>
  <si>
    <t>29,0%</t>
  </si>
  <si>
    <t>4,5%</t>
  </si>
  <si>
    <t>5,6%</t>
  </si>
  <si>
    <t>27,7%</t>
  </si>
  <si>
    <t>20,2%</t>
  </si>
  <si>
    <t>53,3%</t>
  </si>
  <si>
    <t>OCI</t>
  </si>
  <si>
    <t>9,3%</t>
  </si>
  <si>
    <t>18,6%</t>
  </si>
  <si>
    <t>17,6%</t>
  </si>
  <si>
    <t>27,1%</t>
  </si>
  <si>
    <t>8,3%</t>
  </si>
  <si>
    <t>16,7%</t>
  </si>
  <si>
    <t>33,1%</t>
  </si>
  <si>
    <t>22,0%</t>
  </si>
  <si>
    <t>5,0%</t>
  </si>
  <si>
    <t>23,1%</t>
  </si>
  <si>
    <t>35,7%</t>
  </si>
  <si>
    <t>0,0%</t>
  </si>
  <si>
    <t>9,0%</t>
  </si>
  <si>
    <t>13,1%</t>
  </si>
  <si>
    <t>17,7%</t>
  </si>
  <si>
    <t>7,9%</t>
  </si>
  <si>
    <t>11,3%</t>
  </si>
  <si>
    <t>16,5%</t>
  </si>
  <si>
    <t>8,0%</t>
  </si>
  <si>
    <t>24,8%</t>
  </si>
  <si>
    <t>23,4%</t>
  </si>
  <si>
    <t>20,0%</t>
  </si>
  <si>
    <t>PROMEDIO SAF</t>
  </si>
  <si>
    <t>13,6%</t>
  </si>
  <si>
    <t>11,7%</t>
  </si>
  <si>
    <t>21,4%</t>
  </si>
  <si>
    <t>19,2%</t>
  </si>
  <si>
    <t>SMPC</t>
  </si>
  <si>
    <t>27,8%</t>
  </si>
  <si>
    <t>30,5%</t>
  </si>
  <si>
    <t>41,8%</t>
  </si>
  <si>
    <t>24,9%</t>
  </si>
  <si>
    <t>39,0%</t>
  </si>
  <si>
    <t>30,7%</t>
  </si>
  <si>
    <t>PROMEDIO SMPC</t>
  </si>
  <si>
    <t>18,4%</t>
  </si>
  <si>
    <t>6,6%</t>
  </si>
  <si>
    <t>4,3%</t>
  </si>
  <si>
    <t>14,1%</t>
  </si>
  <si>
    <t>30,9%</t>
  </si>
  <si>
    <t>30,8%</t>
  </si>
  <si>
    <t>5,8%</t>
  </si>
  <si>
    <t>4,8%</t>
  </si>
  <si>
    <t>11,9%</t>
  </si>
  <si>
    <t>10,2%</t>
  </si>
  <si>
    <t>17,8%</t>
  </si>
  <si>
    <t>15,7%</t>
  </si>
  <si>
    <t>5,3%</t>
  </si>
  <si>
    <t>4,0%</t>
  </si>
  <si>
    <t>13,0%</t>
  </si>
  <si>
    <t>17,5%</t>
  </si>
  <si>
    <t>18,8%</t>
  </si>
  <si>
    <t>Energía</t>
  </si>
  <si>
    <t>6,2%</t>
  </si>
  <si>
    <t>3,9%</t>
  </si>
  <si>
    <t>13,8%</t>
  </si>
  <si>
    <t>11,2%</t>
  </si>
  <si>
    <t>16,4%</t>
  </si>
  <si>
    <t>8,8%</t>
  </si>
  <si>
    <t>2,7%</t>
  </si>
  <si>
    <t>12,9%</t>
  </si>
  <si>
    <t>9,8%</t>
  </si>
  <si>
    <t>21,2%</t>
  </si>
  <si>
    <t>6,9%</t>
  </si>
  <si>
    <t>10,7%</t>
  </si>
  <si>
    <t>15,5%</t>
  </si>
  <si>
    <t>23,7%</t>
  </si>
  <si>
    <t>25,0%</t>
  </si>
  <si>
    <t>0,2%</t>
  </si>
  <si>
    <t>3,4%</t>
  </si>
  <si>
    <t>4,7%</t>
  </si>
  <si>
    <t>Geomática</t>
  </si>
  <si>
    <t>7,2%</t>
  </si>
  <si>
    <t>16,2%</t>
  </si>
  <si>
    <t>24,1%</t>
  </si>
  <si>
    <t>1,1%</t>
  </si>
  <si>
    <t>19,0%</t>
  </si>
  <si>
    <t>PROMEDIO SES</t>
  </si>
  <si>
    <t>13,9%</t>
  </si>
  <si>
    <t>20,5%</t>
  </si>
  <si>
    <t>SIPTA</t>
  </si>
  <si>
    <t>Permisos y trámites</t>
  </si>
  <si>
    <t>6,4%</t>
  </si>
  <si>
    <t>12,8%</t>
  </si>
  <si>
    <t>10,5%</t>
  </si>
  <si>
    <t>17,9%</t>
  </si>
  <si>
    <t>Instrumentos</t>
  </si>
  <si>
    <t>Regionalización</t>
  </si>
  <si>
    <t>30,0%</t>
  </si>
  <si>
    <t>8,4%</t>
  </si>
  <si>
    <t>PROMEDIO SIPTA</t>
  </si>
  <si>
    <t>7,8%</t>
  </si>
  <si>
    <t>6,7%</t>
  </si>
  <si>
    <t>14,3%</t>
  </si>
  <si>
    <t>10,3%</t>
  </si>
  <si>
    <t>24,0%</t>
  </si>
  <si>
    <t>PROMEDIO ENTIDAD</t>
  </si>
  <si>
    <t>9,2%</t>
  </si>
  <si>
    <t>29,8%</t>
  </si>
  <si>
    <t>26,1%</t>
  </si>
  <si>
    <t>ABRIL</t>
  </si>
  <si>
    <t>MAYO</t>
  </si>
  <si>
    <t>JUNIO</t>
  </si>
  <si>
    <t>JULIO</t>
  </si>
  <si>
    <t>AGOSTO</t>
  </si>
  <si>
    <t>SEPTIEMBRE</t>
  </si>
  <si>
    <t>SELA</t>
  </si>
  <si>
    <t>PROMEDIO SELA</t>
  </si>
  <si>
    <t>SSLA</t>
  </si>
  <si>
    <t xml:space="preserve">Agroquímicos </t>
  </si>
  <si>
    <t>40,70%</t>
  </si>
  <si>
    <t>PROMEDIO SSLA</t>
  </si>
  <si>
    <t>* Aquellos indicadores que son constantes (todos los meses deben cumplir la meta propuesta) son normalizados según el tiempo promedio transcurridos, para no inflar el promedio de avance ni de los grupos, ni el de la entidad.</t>
  </si>
  <si>
    <t>** El avance presentado por cada indicador de las dependencias, se refleja en las hojas  del presente consolidado.</t>
  </si>
  <si>
    <t>*** El avance de aquellos indicadores que superan el 100% de su ejecución, para el promedio de grupo o dependencia su máximo será tomado como 100%, para no inflar el promedio de avance ni de los grupos, ni el de la entidad; e identificar alertas.</t>
  </si>
  <si>
    <t>**** La entidad se reestructuró el 11 de marzo del 2020. En este sentido, para este segundo trimestre aparecen las nuevas dependencias en este consolidado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</si>
</sst>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 #,##0;[Red]\-&quot;$&quot;\ #,##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 #,##0.00_);_(&quot;$&quot;\ * \(#,##0.00\);_(&quot;$&quot;\ * &quot;-&quot;??_);_(@_)"/>
    <numFmt numFmtId="165" formatCode="_(&quot;$&quot;\ * #,##0_);_(&quot;$&quot;\ * \(#,##0\);_(&quot;$&quot;\ * &quot;-&quot;??_);_(@_)"/>
    <numFmt numFmtId="166" formatCode="0.0%"/>
    <numFmt numFmtId="167" formatCode="_-&quot;$&quot;* #,##0_-;\-&quot;$&quot;* #,##0_-;_-&quot;$&quot;* &quot;-&quot;_-;_-@_-"/>
    <numFmt numFmtId="168" formatCode="_-[$$-240A]\ * #,##0.00_-;\-[$$-240A]\ * #,##0.00_-;_-[$$-240A]\ * &quot;-&quot;??_-;_-@_-"/>
    <numFmt numFmtId="169" formatCode="_-&quot;$&quot;* #,##0.00_-;\-&quot;$&quot;* #,##0.00_-;_-&quot;$&quot;* &quot;-&quot;??_-;_-@_-"/>
    <numFmt numFmtId="170" formatCode="0.000%"/>
    <numFmt numFmtId="171" formatCode="_-&quot;$&quot;\ * #,##0_-;\-&quot;$&quot;\ * #,##0_-;_-&quot;$&quot;\ * &quot;-&quot;??_-;_-@_-"/>
    <numFmt numFmtId="172" formatCode="0.0"/>
    <numFmt numFmtId="173" formatCode="_(* #,##0_);_(* \(#,##0\);_(* &quot;-&quot;_);_(@_)"/>
  </numFmts>
  <fonts count="35" x14ac:knownFonts="1">
    <font>
      <sz val="11"/>
      <color theme="1"/>
      <name val="Calibri"/>
      <family val="2"/>
      <scheme val="minor"/>
    </font>
    <font>
      <sz val="11"/>
      <color theme="1"/>
      <name val="Calibri"/>
      <family val="2"/>
      <scheme val="minor"/>
    </font>
    <font>
      <b/>
      <sz val="11"/>
      <color theme="0"/>
      <name val="Calibri"/>
      <family val="2"/>
      <scheme val="minor"/>
    </font>
    <font>
      <sz val="9"/>
      <color theme="1"/>
      <name val="Calibri"/>
      <family val="2"/>
      <scheme val="minor"/>
    </font>
    <font>
      <b/>
      <sz val="24"/>
      <color theme="1"/>
      <name val="Arial Narrow"/>
      <family val="2"/>
    </font>
    <font>
      <sz val="12"/>
      <color theme="1"/>
      <name val="Arial Narrow"/>
      <family val="2"/>
    </font>
    <font>
      <sz val="9"/>
      <name val="Calibri"/>
      <family val="2"/>
      <scheme val="minor"/>
    </font>
    <font>
      <b/>
      <sz val="14"/>
      <color theme="1"/>
      <name val="Calibri"/>
      <family val="2"/>
      <scheme val="minor"/>
    </font>
    <font>
      <b/>
      <sz val="12"/>
      <color theme="1"/>
      <name val="Arial Narrow"/>
      <family val="2"/>
    </font>
    <font>
      <b/>
      <sz val="14"/>
      <name val="Calibri"/>
      <family val="2"/>
      <scheme val="minor"/>
    </font>
    <font>
      <b/>
      <sz val="12"/>
      <name val="Arial Narrow"/>
      <family val="2"/>
    </font>
    <font>
      <sz val="9"/>
      <color theme="0"/>
      <name val="Calibri"/>
      <family val="2"/>
      <scheme val="minor"/>
    </font>
    <font>
      <sz val="9"/>
      <color rgb="FFFF0000"/>
      <name val="Calibri"/>
      <family val="2"/>
      <scheme val="minor"/>
    </font>
    <font>
      <b/>
      <sz val="9"/>
      <color rgb="FFFF0000"/>
      <name val="Calibri"/>
      <family val="2"/>
      <scheme val="minor"/>
    </font>
    <font>
      <b/>
      <sz val="9"/>
      <name val="Calibri"/>
      <family val="2"/>
      <scheme val="minor"/>
    </font>
    <font>
      <sz val="9"/>
      <color rgb="FF000000"/>
      <name val="Calibri"/>
      <family val="2"/>
      <scheme val="minor"/>
    </font>
    <font>
      <b/>
      <sz val="11"/>
      <color theme="1"/>
      <name val="Calibri"/>
      <family val="2"/>
      <scheme val="minor"/>
    </font>
    <font>
      <sz val="10"/>
      <color theme="1"/>
      <name val="Calibri"/>
      <family val="2"/>
      <scheme val="minor"/>
    </font>
    <font>
      <sz val="10"/>
      <color rgb="FFFF0000"/>
      <name val="Calibri"/>
      <family val="2"/>
      <scheme val="minor"/>
    </font>
    <font>
      <sz val="10"/>
      <name val="Calibri"/>
      <family val="2"/>
      <scheme val="minor"/>
    </font>
    <font>
      <u/>
      <sz val="10"/>
      <name val="Calibri"/>
      <family val="2"/>
      <scheme val="minor"/>
    </font>
    <font>
      <b/>
      <sz val="9"/>
      <color theme="1"/>
      <name val="Calibri"/>
      <family val="2"/>
      <scheme val="minor"/>
    </font>
    <font>
      <b/>
      <sz val="11"/>
      <color rgb="FF002060"/>
      <name val="Calibri"/>
      <family val="2"/>
      <scheme val="minor"/>
    </font>
    <font>
      <b/>
      <sz val="11"/>
      <name val="Calibri"/>
      <family val="2"/>
      <scheme val="minor"/>
    </font>
    <font>
      <b/>
      <sz val="10"/>
      <color theme="1"/>
      <name val="Calibri"/>
      <family val="2"/>
      <scheme val="minor"/>
    </font>
    <font>
      <sz val="11"/>
      <name val="Calibri"/>
      <family val="2"/>
      <scheme val="minor"/>
    </font>
    <font>
      <sz val="11"/>
      <color rgb="FFC00000"/>
      <name val="Calibri"/>
      <family val="2"/>
      <scheme val="minor"/>
    </font>
    <font>
      <b/>
      <sz val="11"/>
      <color rgb="FF000000"/>
      <name val="Calibri"/>
      <family val="2"/>
      <scheme val="minor"/>
    </font>
    <font>
      <sz val="10"/>
      <color theme="0"/>
      <name val="Calibri"/>
      <family val="2"/>
      <scheme val="minor"/>
    </font>
    <font>
      <sz val="9"/>
      <color theme="9" tint="-0.499984740745262"/>
      <name val="Calibri"/>
      <family val="2"/>
      <scheme val="minor"/>
    </font>
    <font>
      <u/>
      <sz val="11"/>
      <color theme="10"/>
      <name val="Calibri"/>
      <family val="2"/>
      <scheme val="minor"/>
    </font>
    <font>
      <b/>
      <sz val="12"/>
      <color theme="0"/>
      <name val="Calibri"/>
      <family val="2"/>
      <scheme val="minor"/>
    </font>
    <font>
      <sz val="11"/>
      <color rgb="FF000000"/>
      <name val="Calibri"/>
      <family val="2"/>
    </font>
    <font>
      <b/>
      <sz val="11"/>
      <color rgb="FF000000"/>
      <name val="Calibri"/>
      <family val="2"/>
    </font>
    <font>
      <sz val="11"/>
      <color rgb="FFFFFFFF"/>
      <name val="Calibri"/>
      <family val="2"/>
      <scheme val="minor"/>
    </font>
  </fonts>
  <fills count="26">
    <fill>
      <patternFill patternType="none"/>
    </fill>
    <fill>
      <patternFill patternType="gray125"/>
    </fill>
    <fill>
      <patternFill patternType="solid">
        <fgColor theme="0"/>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theme="9"/>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2" tint="-0.499984740745262"/>
        <bgColor indexed="64"/>
      </patternFill>
    </fill>
    <fill>
      <patternFill patternType="solid">
        <fgColor theme="8" tint="0.79998168889431442"/>
        <bgColor indexed="64"/>
      </patternFill>
    </fill>
    <fill>
      <patternFill patternType="solid">
        <fgColor rgb="FFFF0000"/>
        <bgColor indexed="64"/>
      </patternFill>
    </fill>
    <fill>
      <patternFill patternType="solid">
        <fgColor rgb="FFA9D08E"/>
        <bgColor rgb="FF000000"/>
      </patternFill>
    </fill>
    <fill>
      <patternFill patternType="solid">
        <fgColor rgb="FFFFFF00"/>
        <bgColor indexed="64"/>
      </patternFill>
    </fill>
    <fill>
      <patternFill patternType="solid">
        <fgColor theme="0" tint="-0.499984740745262"/>
        <bgColor indexed="64"/>
      </patternFill>
    </fill>
    <fill>
      <patternFill patternType="solid">
        <fgColor theme="4" tint="-0.249977111117893"/>
        <bgColor indexed="64"/>
      </patternFill>
    </fill>
    <fill>
      <patternFill patternType="solid">
        <fgColor theme="5" tint="-0.249977111117893"/>
        <bgColor indexed="64"/>
      </patternFill>
    </fill>
    <fill>
      <patternFill patternType="solid">
        <fgColor theme="6" tint="0.79998168889431442"/>
        <bgColor indexed="64"/>
      </patternFill>
    </fill>
    <fill>
      <patternFill patternType="solid">
        <fgColor rgb="FF757171"/>
        <bgColor rgb="FF000000"/>
      </patternFill>
    </fill>
    <fill>
      <patternFill patternType="solid">
        <fgColor theme="6" tint="-0.249977111117893"/>
        <bgColor indexed="64"/>
      </patternFill>
    </fill>
    <fill>
      <patternFill patternType="solid">
        <fgColor rgb="FFE2EFDA"/>
        <bgColor rgb="FF000000"/>
      </patternFill>
    </fill>
    <fill>
      <patternFill patternType="solid">
        <fgColor theme="9" tint="0.59999389629810485"/>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rgb="FFE2EFDA"/>
        <bgColor indexed="64"/>
      </patternFill>
    </fill>
    <fill>
      <patternFill patternType="solid">
        <fgColor rgb="FFA9D08E"/>
        <bgColor indexed="64"/>
      </patternFill>
    </fill>
    <fill>
      <patternFill patternType="solid">
        <fgColor rgb="FFFFFFFF"/>
        <bgColor rgb="FF000000"/>
      </patternFill>
    </fill>
  </fills>
  <borders count="136">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theme="2"/>
      </left>
      <right/>
      <top/>
      <bottom style="thin">
        <color theme="2"/>
      </bottom>
      <diagonal/>
    </border>
    <border>
      <left/>
      <right/>
      <top/>
      <bottom style="thin">
        <color theme="2"/>
      </bottom>
      <diagonal/>
    </border>
    <border>
      <left/>
      <right style="thin">
        <color theme="2"/>
      </right>
      <top/>
      <bottom style="thin">
        <color theme="2"/>
      </bottom>
      <diagonal/>
    </border>
    <border>
      <left style="thin">
        <color theme="2"/>
      </left>
      <right/>
      <top/>
      <bottom/>
      <diagonal/>
    </border>
    <border>
      <left/>
      <right style="thin">
        <color theme="2"/>
      </right>
      <top/>
      <bottom/>
      <diagonal/>
    </border>
    <border>
      <left style="thin">
        <color theme="2"/>
      </left>
      <right style="thin">
        <color theme="2"/>
      </right>
      <top/>
      <bottom/>
      <diagonal/>
    </border>
    <border>
      <left style="thin">
        <color theme="2"/>
      </left>
      <right/>
      <top style="thin">
        <color theme="2"/>
      </top>
      <bottom style="thin">
        <color theme="2"/>
      </bottom>
      <diagonal/>
    </border>
    <border>
      <left/>
      <right/>
      <top style="thin">
        <color theme="2"/>
      </top>
      <bottom style="thin">
        <color theme="2"/>
      </bottom>
      <diagonal/>
    </border>
    <border>
      <left/>
      <right style="thin">
        <color theme="2"/>
      </right>
      <top style="thin">
        <color theme="2"/>
      </top>
      <bottom style="thin">
        <color theme="2"/>
      </bottom>
      <diagonal/>
    </border>
    <border>
      <left style="thin">
        <color theme="2"/>
      </left>
      <right style="thin">
        <color theme="2"/>
      </right>
      <top style="thin">
        <color theme="2"/>
      </top>
      <bottom/>
      <diagonal/>
    </border>
    <border>
      <left style="thin">
        <color theme="2"/>
      </left>
      <right style="thin">
        <color theme="2"/>
      </right>
      <top/>
      <bottom style="thin">
        <color theme="2"/>
      </bottom>
      <diagonal/>
    </border>
    <border>
      <left/>
      <right style="thin">
        <color indexed="64"/>
      </right>
      <top style="thin">
        <color theme="2"/>
      </top>
      <bottom style="thin">
        <color theme="2"/>
      </bottom>
      <diagonal/>
    </border>
    <border>
      <left style="thin">
        <color indexed="64"/>
      </left>
      <right/>
      <top style="thin">
        <color theme="2"/>
      </top>
      <bottom style="thin">
        <color theme="2"/>
      </bottom>
      <diagonal/>
    </border>
    <border>
      <left style="thin">
        <color theme="2"/>
      </left>
      <right style="thin">
        <color theme="2"/>
      </right>
      <top style="thin">
        <color theme="2"/>
      </top>
      <bottom style="thin">
        <color theme="2"/>
      </bottom>
      <diagonal/>
    </border>
    <border>
      <left style="thin">
        <color theme="9" tint="0.79998168889431442"/>
      </left>
      <right/>
      <top style="thin">
        <color theme="9" tint="0.79998168889431442"/>
      </top>
      <bottom/>
      <diagonal/>
    </border>
    <border>
      <left style="thin">
        <color theme="2"/>
      </left>
      <right/>
      <top style="thin">
        <color theme="2"/>
      </top>
      <bottom/>
      <diagonal/>
    </border>
    <border>
      <left style="thin">
        <color theme="9"/>
      </left>
      <right style="thin">
        <color theme="9"/>
      </right>
      <top style="thin">
        <color theme="9"/>
      </top>
      <bottom/>
      <diagonal/>
    </border>
    <border>
      <left style="thin">
        <color theme="9" tint="0.39997558519241921"/>
      </left>
      <right style="thin">
        <color theme="9" tint="0.39997558519241921"/>
      </right>
      <top style="thin">
        <color theme="9" tint="0.39997558519241921"/>
      </top>
      <bottom/>
      <diagonal/>
    </border>
    <border>
      <left style="thin">
        <color theme="9" tint="0.79998168889431442"/>
      </left>
      <right style="thin">
        <color theme="9" tint="0.79998168889431442"/>
      </right>
      <top style="thin">
        <color theme="9" tint="0.79998168889431442"/>
      </top>
      <bottom style="thin">
        <color theme="9" tint="0.79998168889431442"/>
      </bottom>
      <diagonal/>
    </border>
    <border>
      <left/>
      <right style="thin">
        <color theme="9" tint="0.79998168889431442"/>
      </right>
      <top style="thin">
        <color theme="9" tint="0.79998168889431442"/>
      </top>
      <bottom/>
      <diagonal/>
    </border>
    <border>
      <left/>
      <right/>
      <top style="thin">
        <color theme="9" tint="0.79998168889431442"/>
      </top>
      <bottom/>
      <diagonal/>
    </border>
    <border>
      <left style="thin">
        <color theme="9" tint="0.79995117038483843"/>
      </left>
      <right style="thin">
        <color theme="9" tint="0.79995117038483843"/>
      </right>
      <top style="thin">
        <color theme="9" tint="0.79995117038483843"/>
      </top>
      <bottom/>
      <diagonal/>
    </border>
    <border>
      <left style="thin">
        <color theme="9" tint="0.79995117038483843"/>
      </left>
      <right/>
      <top style="thin">
        <color theme="9" tint="0.79995117038483843"/>
      </top>
      <bottom/>
      <diagonal/>
    </border>
    <border>
      <left style="thin">
        <color theme="9" tint="0.79998168889431442"/>
      </left>
      <right/>
      <top/>
      <bottom/>
      <diagonal/>
    </border>
    <border>
      <left style="thin">
        <color theme="9"/>
      </left>
      <right style="thin">
        <color theme="9"/>
      </right>
      <top/>
      <bottom/>
      <diagonal/>
    </border>
    <border>
      <left style="thin">
        <color theme="9" tint="0.39997558519241921"/>
      </left>
      <right style="thin">
        <color theme="9" tint="0.39997558519241921"/>
      </right>
      <top/>
      <bottom style="thin">
        <color theme="9" tint="0.79998168889431442"/>
      </bottom>
      <diagonal/>
    </border>
    <border>
      <left style="thin">
        <color theme="9" tint="0.39997558519241921"/>
      </left>
      <right style="thin">
        <color theme="9" tint="0.39997558519241921"/>
      </right>
      <top/>
      <bottom style="thin">
        <color theme="9" tint="0.39997558519241921"/>
      </bottom>
      <diagonal/>
    </border>
    <border>
      <left/>
      <right style="thin">
        <color theme="9" tint="0.79998168889431442"/>
      </right>
      <top/>
      <bottom/>
      <diagonal/>
    </border>
    <border>
      <left style="thin">
        <color theme="9" tint="0.79995117038483843"/>
      </left>
      <right style="thin">
        <color theme="9" tint="0.79995117038483843"/>
      </right>
      <top/>
      <bottom style="thin">
        <color theme="9" tint="0.79995117038483843"/>
      </bottom>
      <diagonal/>
    </border>
    <border>
      <left style="thin">
        <color theme="9" tint="0.79995117038483843"/>
      </left>
      <right/>
      <top/>
      <bottom style="thin">
        <color theme="9" tint="0.79995117038483843"/>
      </bottom>
      <diagonal/>
    </border>
    <border>
      <left style="thin">
        <color theme="9" tint="0.39997558519241921"/>
      </left>
      <right style="thin">
        <color theme="9" tint="0.39997558519241921"/>
      </right>
      <top/>
      <bottom/>
      <diagonal/>
    </border>
    <border>
      <left/>
      <right style="thin">
        <color theme="9" tint="0.39997558519241921"/>
      </right>
      <top style="thin">
        <color theme="9" tint="0.39997558519241921"/>
      </top>
      <bottom style="thin">
        <color theme="9" tint="0.39997558519241921"/>
      </bottom>
      <diagonal/>
    </border>
    <border>
      <left style="thin">
        <color theme="9" tint="0.39997558519241921"/>
      </left>
      <right style="thin">
        <color theme="9" tint="0.39997558519241921"/>
      </right>
      <top style="thin">
        <color theme="9" tint="0.39997558519241921"/>
      </top>
      <bottom style="thin">
        <color theme="9" tint="0.39997558519241921"/>
      </bottom>
      <diagonal/>
    </border>
    <border>
      <left style="thin">
        <color theme="9" tint="0.39997558519241921"/>
      </left>
      <right/>
      <top style="thin">
        <color theme="9" tint="0.39997558519241921"/>
      </top>
      <bottom style="thin">
        <color theme="9" tint="0.39997558519241921"/>
      </bottom>
      <diagonal/>
    </border>
    <border>
      <left/>
      <right style="thin">
        <color theme="9" tint="0.79998168889431442"/>
      </right>
      <top/>
      <bottom style="thin">
        <color theme="9" tint="0.79998168889431442"/>
      </bottom>
      <diagonal/>
    </border>
    <border>
      <left style="thin">
        <color theme="9" tint="0.79998168889431442"/>
      </left>
      <right/>
      <top/>
      <bottom style="thin">
        <color theme="9" tint="0.79998168889431442"/>
      </bottom>
      <diagonal/>
    </border>
    <border>
      <left style="thin">
        <color theme="9" tint="0.79998168889431442"/>
      </left>
      <right style="thin">
        <color theme="9" tint="0.79998168889431442"/>
      </right>
      <top/>
      <bottom style="thin">
        <color theme="9" tint="0.79998168889431442"/>
      </bottom>
      <diagonal/>
    </border>
    <border>
      <left style="thin">
        <color theme="9" tint="0.79998168889431442"/>
      </left>
      <right/>
      <top style="thin">
        <color theme="9" tint="0.79998168889431442"/>
      </top>
      <bottom style="thin">
        <color theme="9" tint="0.79998168889431442"/>
      </bottom>
      <diagonal/>
    </border>
    <border>
      <left/>
      <right/>
      <top style="thin">
        <color theme="9" tint="0.79998168889431442"/>
      </top>
      <bottom style="thin">
        <color theme="9" tint="0.79998168889431442"/>
      </bottom>
      <diagonal/>
    </border>
    <border>
      <left/>
      <right style="thin">
        <color theme="9" tint="0.79998168889431442"/>
      </right>
      <top style="thin">
        <color theme="9" tint="0.79998168889431442"/>
      </top>
      <bottom style="thin">
        <color theme="9" tint="0.79998168889431442"/>
      </bottom>
      <diagonal/>
    </border>
    <border>
      <left style="thin">
        <color theme="9" tint="0.79998168889431442"/>
      </left>
      <right style="thin">
        <color theme="9" tint="0.39997558519241921"/>
      </right>
      <top style="thin">
        <color theme="9" tint="0.39997558519241921"/>
      </top>
      <bottom/>
      <diagonal/>
    </border>
    <border>
      <left style="thin">
        <color theme="9" tint="0.39997558519241921"/>
      </left>
      <right style="thin">
        <color theme="9"/>
      </right>
      <top style="thin">
        <color theme="9" tint="0.39997558519241921"/>
      </top>
      <bottom/>
      <diagonal/>
    </border>
    <border>
      <left style="thin">
        <color theme="9"/>
      </left>
      <right style="thin">
        <color theme="9"/>
      </right>
      <top style="thin">
        <color theme="9"/>
      </top>
      <bottom style="thin">
        <color theme="9"/>
      </bottom>
      <diagonal/>
    </border>
    <border>
      <left style="thin">
        <color theme="9"/>
      </left>
      <right style="thin">
        <color theme="9" tint="0.79998168889431442"/>
      </right>
      <top style="thin">
        <color theme="9" tint="0.79998168889431442"/>
      </top>
      <bottom/>
      <diagonal/>
    </border>
    <border>
      <left style="thin">
        <color theme="9" tint="0.79998168889431442"/>
      </left>
      <right style="thin">
        <color theme="9" tint="0.39997558519241921"/>
      </right>
      <top/>
      <bottom style="thin">
        <color theme="9" tint="0.79998168889431442"/>
      </bottom>
      <diagonal/>
    </border>
    <border>
      <left style="thin">
        <color theme="9" tint="0.39997558519241921"/>
      </left>
      <right style="thin">
        <color theme="9"/>
      </right>
      <top/>
      <bottom style="thin">
        <color theme="9" tint="0.79998168889431442"/>
      </bottom>
      <diagonal/>
    </border>
    <border>
      <left style="thin">
        <color theme="9"/>
      </left>
      <right style="thin">
        <color theme="9"/>
      </right>
      <top/>
      <bottom style="thin">
        <color theme="9"/>
      </bottom>
      <diagonal/>
    </border>
    <border>
      <left style="thin">
        <color theme="9"/>
      </left>
      <right style="thin">
        <color theme="9" tint="0.79998168889431442"/>
      </right>
      <top/>
      <bottom/>
      <diagonal/>
    </border>
    <border>
      <left/>
      <right/>
      <top style="thin">
        <color theme="2"/>
      </top>
      <bottom/>
      <diagonal/>
    </border>
    <border>
      <left style="thin">
        <color theme="9" tint="0.79998168889431442"/>
      </left>
      <right style="thin">
        <color theme="9" tint="0.79998168889431442"/>
      </right>
      <top style="thin">
        <color theme="9" tint="0.79998168889431442"/>
      </top>
      <bottom/>
      <diagonal/>
    </border>
    <border>
      <left style="thin">
        <color theme="9"/>
      </left>
      <right style="thin">
        <color theme="9" tint="0.79998168889431442"/>
      </right>
      <top/>
      <bottom style="thin">
        <color theme="9" tint="0.79998168889431442"/>
      </bottom>
      <diagonal/>
    </border>
    <border>
      <left style="thin">
        <color theme="9"/>
      </left>
      <right/>
      <top style="thin">
        <color theme="9"/>
      </top>
      <bottom style="thin">
        <color theme="9"/>
      </bottom>
      <diagonal/>
    </border>
    <border>
      <left/>
      <right/>
      <top style="thin">
        <color theme="9"/>
      </top>
      <bottom style="thin">
        <color theme="9"/>
      </bottom>
      <diagonal/>
    </border>
    <border>
      <left/>
      <right style="thin">
        <color theme="9"/>
      </right>
      <top style="thin">
        <color theme="9"/>
      </top>
      <bottom style="thin">
        <color theme="9"/>
      </bottom>
      <diagonal/>
    </border>
    <border>
      <left style="thin">
        <color theme="9" tint="0.39997558519241921"/>
      </left>
      <right/>
      <top/>
      <bottom/>
      <diagonal/>
    </border>
    <border>
      <left style="thin">
        <color theme="9" tint="0.39997558519241921"/>
      </left>
      <right/>
      <top/>
      <bottom style="thin">
        <color theme="2"/>
      </bottom>
      <diagonal/>
    </border>
    <border>
      <left/>
      <right/>
      <top/>
      <bottom style="thin">
        <color theme="9"/>
      </bottom>
      <diagonal/>
    </border>
    <border>
      <left style="thin">
        <color theme="9" tint="0.79992065187536243"/>
      </left>
      <right/>
      <top style="thin">
        <color theme="9" tint="0.79998168889431442"/>
      </top>
      <bottom/>
      <diagonal/>
    </border>
    <border>
      <left style="thin">
        <color theme="9"/>
      </left>
      <right/>
      <top style="thin">
        <color theme="9" tint="0.79998168889431442"/>
      </top>
      <bottom/>
      <diagonal/>
    </border>
    <border>
      <left style="thin">
        <color theme="9" tint="0.79992065187536243"/>
      </left>
      <right/>
      <top/>
      <bottom/>
      <diagonal/>
    </border>
    <border>
      <left style="thin">
        <color theme="9"/>
      </left>
      <right/>
      <top/>
      <bottom/>
      <diagonal/>
    </border>
    <border>
      <left/>
      <right/>
      <top/>
      <bottom style="thin">
        <color theme="9" tint="0.39997558519241921"/>
      </bottom>
      <diagonal/>
    </border>
    <border>
      <left style="thin">
        <color theme="9" tint="0.79992065187536243"/>
      </left>
      <right/>
      <top/>
      <bottom style="thin">
        <color theme="9" tint="0.39997558519241921"/>
      </bottom>
      <diagonal/>
    </border>
    <border>
      <left style="thin">
        <color theme="9"/>
      </left>
      <right/>
      <top/>
      <bottom style="thin">
        <color theme="9" tint="0.39997558519241921"/>
      </bottom>
      <diagonal/>
    </border>
    <border>
      <left style="thin">
        <color theme="9" tint="0.79998168889431442"/>
      </left>
      <right/>
      <top style="thin">
        <color theme="9" tint="0.39997558519241921"/>
      </top>
      <bottom/>
      <diagonal/>
    </border>
    <border>
      <left style="thin">
        <color theme="9" tint="0.79998168889431442"/>
      </left>
      <right style="thin">
        <color theme="9" tint="0.39997558519241921"/>
      </right>
      <top/>
      <bottom/>
      <diagonal/>
    </border>
    <border>
      <left/>
      <right style="thin">
        <color theme="2"/>
      </right>
      <top style="thin">
        <color theme="2"/>
      </top>
      <bottom/>
      <diagonal/>
    </border>
    <border>
      <left style="thin">
        <color rgb="FFE7E6E6"/>
      </left>
      <right style="thin">
        <color rgb="FFE7E6E6"/>
      </right>
      <top style="thin">
        <color rgb="FFE7E6E6"/>
      </top>
      <bottom/>
      <diagonal/>
    </border>
    <border>
      <left style="thin">
        <color rgb="FF70AD47"/>
      </left>
      <right style="thin">
        <color rgb="FF70AD47"/>
      </right>
      <top style="thin">
        <color rgb="FF70AD47"/>
      </top>
      <bottom style="thin">
        <color rgb="FF70AD47"/>
      </bottom>
      <diagonal/>
    </border>
    <border>
      <left style="thin">
        <color indexed="64"/>
      </left>
      <right style="thin">
        <color indexed="64"/>
      </right>
      <top style="thin">
        <color indexed="64"/>
      </top>
      <bottom/>
      <diagonal/>
    </border>
    <border>
      <left style="medium">
        <color indexed="64"/>
      </left>
      <right/>
      <top style="medium">
        <color indexed="64"/>
      </top>
      <bottom style="thin">
        <color theme="2"/>
      </bottom>
      <diagonal/>
    </border>
    <border>
      <left/>
      <right/>
      <top style="medium">
        <color indexed="64"/>
      </top>
      <bottom style="thin">
        <color theme="2"/>
      </bottom>
      <diagonal/>
    </border>
    <border>
      <left/>
      <right style="medium">
        <color indexed="64"/>
      </right>
      <top style="medium">
        <color indexed="64"/>
      </top>
      <bottom style="thin">
        <color theme="2"/>
      </bottom>
      <diagonal/>
    </border>
    <border>
      <left style="medium">
        <color indexed="64"/>
      </left>
      <right/>
      <top style="thin">
        <color theme="2"/>
      </top>
      <bottom style="thin">
        <color theme="2"/>
      </bottom>
      <diagonal/>
    </border>
    <border>
      <left/>
      <right style="medium">
        <color indexed="64"/>
      </right>
      <top style="thin">
        <color theme="2"/>
      </top>
      <bottom style="thin">
        <color theme="2"/>
      </bottom>
      <diagonal/>
    </border>
    <border>
      <left style="medium">
        <color indexed="64"/>
      </left>
      <right style="thin">
        <color theme="2"/>
      </right>
      <top style="thin">
        <color theme="2"/>
      </top>
      <bottom style="thin">
        <color theme="2"/>
      </bottom>
      <diagonal/>
    </border>
    <border>
      <left style="thin">
        <color theme="2"/>
      </left>
      <right style="medium">
        <color indexed="64"/>
      </right>
      <top style="thin">
        <color theme="2"/>
      </top>
      <bottom style="thin">
        <color theme="2"/>
      </bottom>
      <diagonal/>
    </border>
    <border>
      <left style="medium">
        <color indexed="64"/>
      </left>
      <right/>
      <top style="thin">
        <color theme="2"/>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rgb="FF70AD47"/>
      </bottom>
      <diagonal/>
    </border>
    <border>
      <left style="thin">
        <color rgb="FF70AD47"/>
      </left>
      <right/>
      <top style="thin">
        <color rgb="FF70AD47"/>
      </top>
      <bottom style="thin">
        <color rgb="FF70AD47"/>
      </bottom>
      <diagonal/>
    </border>
    <border>
      <left/>
      <right/>
      <top style="thin">
        <color rgb="FF70AD47"/>
      </top>
      <bottom style="thin">
        <color rgb="FF70AD47"/>
      </bottom>
      <diagonal/>
    </border>
    <border>
      <left/>
      <right style="thin">
        <color rgb="FF70AD47"/>
      </right>
      <top style="thin">
        <color rgb="FF70AD47"/>
      </top>
      <bottom style="thin">
        <color rgb="FF70AD47"/>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dotted">
        <color indexed="64"/>
      </right>
      <top style="dotted">
        <color indexed="64"/>
      </top>
      <bottom style="dotted">
        <color indexed="64"/>
      </bottom>
      <diagonal/>
    </border>
    <border>
      <left style="thin">
        <color theme="9" tint="0.39997558519241921"/>
      </left>
      <right style="thin">
        <color theme="9" tint="0.39997558519241921"/>
      </right>
      <top/>
      <bottom style="thin">
        <color theme="2"/>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auto="1"/>
      </left>
      <right style="dotted">
        <color auto="1"/>
      </right>
      <top style="thin">
        <color indexed="64"/>
      </top>
      <bottom style="thin">
        <color indexed="64"/>
      </bottom>
      <diagonal/>
    </border>
    <border>
      <left style="dotted">
        <color auto="1"/>
      </left>
      <right style="thin">
        <color auto="1"/>
      </right>
      <top style="thin">
        <color indexed="64"/>
      </top>
      <bottom style="thin">
        <color indexed="64"/>
      </bottom>
      <diagonal/>
    </border>
    <border>
      <left style="thin">
        <color auto="1"/>
      </left>
      <right/>
      <top/>
      <bottom style="dotted">
        <color auto="1"/>
      </bottom>
      <diagonal/>
    </border>
    <border>
      <left style="thin">
        <color auto="1"/>
      </left>
      <right style="dotted">
        <color auto="1"/>
      </right>
      <top/>
      <bottom style="dotted">
        <color auto="1"/>
      </bottom>
      <diagonal/>
    </border>
    <border>
      <left style="dotted">
        <color auto="1"/>
      </left>
      <right style="thin">
        <color auto="1"/>
      </right>
      <top/>
      <bottom style="dotted">
        <color auto="1"/>
      </bottom>
      <diagonal/>
    </border>
    <border>
      <left style="thin">
        <color auto="1"/>
      </left>
      <right/>
      <top style="dotted">
        <color auto="1"/>
      </top>
      <bottom style="dotted">
        <color auto="1"/>
      </bottom>
      <diagonal/>
    </border>
    <border>
      <left style="dotted">
        <color auto="1"/>
      </left>
      <right style="thin">
        <color auto="1"/>
      </right>
      <top style="dotted">
        <color auto="1"/>
      </top>
      <bottom style="dotted">
        <color auto="1"/>
      </bottom>
      <diagonal/>
    </border>
    <border>
      <left style="thin">
        <color auto="1"/>
      </left>
      <right style="thin">
        <color auto="1"/>
      </right>
      <top style="dotted">
        <color auto="1"/>
      </top>
      <bottom/>
      <diagonal/>
    </border>
    <border>
      <left style="dotted">
        <color auto="1"/>
      </left>
      <right style="thin">
        <color auto="1"/>
      </right>
      <top style="dotted">
        <color auto="1"/>
      </top>
      <bottom/>
      <diagonal/>
    </border>
    <border>
      <left style="thin">
        <color auto="1"/>
      </left>
      <right style="thin">
        <color auto="1"/>
      </right>
      <top/>
      <bottom style="dotted">
        <color auto="1"/>
      </bottom>
      <diagonal/>
    </border>
    <border>
      <left/>
      <right style="thin">
        <color indexed="64"/>
      </right>
      <top style="dotted">
        <color auto="1"/>
      </top>
      <bottom/>
      <diagonal/>
    </border>
    <border>
      <left style="thin">
        <color auto="1"/>
      </left>
      <right/>
      <top style="dotted">
        <color auto="1"/>
      </top>
      <bottom/>
      <diagonal/>
    </border>
    <border>
      <left/>
      <right style="thin">
        <color indexed="64"/>
      </right>
      <top/>
      <bottom style="dotted">
        <color auto="1"/>
      </bottom>
      <diagonal/>
    </border>
    <border>
      <left style="thin">
        <color auto="1"/>
      </left>
      <right style="dotted">
        <color auto="1"/>
      </right>
      <top style="dotted">
        <color auto="1"/>
      </top>
      <bottom/>
      <diagonal/>
    </border>
    <border>
      <left style="thin">
        <color auto="1"/>
      </left>
      <right style="dotted">
        <color auto="1"/>
      </right>
      <top/>
      <bottom/>
      <diagonal/>
    </border>
    <border>
      <left style="dotted">
        <color auto="1"/>
      </left>
      <right style="thin">
        <color auto="1"/>
      </right>
      <top/>
      <bottom/>
      <diagonal/>
    </border>
    <border>
      <left/>
      <right style="thin">
        <color auto="1"/>
      </right>
      <top/>
      <bottom style="thin">
        <color indexed="64"/>
      </bottom>
      <diagonal/>
    </border>
    <border>
      <left style="thin">
        <color auto="1"/>
      </left>
      <right style="dotted">
        <color auto="1"/>
      </right>
      <top style="thin">
        <color auto="1"/>
      </top>
      <bottom/>
      <diagonal/>
    </border>
    <border>
      <left style="dotted">
        <color auto="1"/>
      </left>
      <right style="thin">
        <color auto="1"/>
      </right>
      <top style="thin">
        <color auto="1"/>
      </top>
      <bottom/>
      <diagonal/>
    </border>
    <border>
      <left/>
      <right style="thin">
        <color indexed="64"/>
      </right>
      <top style="dotted">
        <color indexed="64"/>
      </top>
      <bottom style="dotted">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s>
  <cellStyleXfs count="11">
    <xf numFmtId="0" fontId="0" fillId="0" borderId="0"/>
    <xf numFmtId="16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167" fontId="1" fillId="0" borderId="0" applyFont="0" applyFill="0" applyBorder="0" applyAlignment="0" applyProtection="0"/>
    <xf numFmtId="169" fontId="1" fillId="0" borderId="0" applyFont="0" applyFill="0" applyBorder="0" applyAlignment="0" applyProtection="0"/>
    <xf numFmtId="42" fontId="1" fillId="0" borderId="0" applyFont="0" applyFill="0" applyBorder="0" applyAlignment="0" applyProtection="0"/>
    <xf numFmtId="173" fontId="1" fillId="0" borderId="0" applyFont="0" applyFill="0" applyBorder="0" applyAlignment="0" applyProtection="0"/>
    <xf numFmtId="0" fontId="30" fillId="0" borderId="0" applyNumberFormat="0" applyFill="0" applyBorder="0" applyAlignment="0" applyProtection="0"/>
  </cellStyleXfs>
  <cellXfs count="902">
    <xf numFmtId="0" fontId="0" fillId="0" borderId="0" xfId="0"/>
    <xf numFmtId="0" fontId="3" fillId="2" borderId="0" xfId="0" applyFont="1" applyFill="1" applyAlignment="1">
      <alignment horizontal="center" vertical="center"/>
    </xf>
    <xf numFmtId="0" fontId="5" fillId="2" borderId="2" xfId="0" applyFont="1" applyFill="1" applyBorder="1" applyAlignment="1">
      <alignment horizontal="center" vertical="center"/>
    </xf>
    <xf numFmtId="14" fontId="5" fillId="2" borderId="2" xfId="0" applyNumberFormat="1" applyFont="1" applyFill="1" applyBorder="1" applyAlignment="1">
      <alignment horizontal="center" vertical="center"/>
    </xf>
    <xf numFmtId="0" fontId="2" fillId="2" borderId="0" xfId="0" applyFont="1" applyFill="1" applyAlignment="1">
      <alignment horizontal="center" vertical="center"/>
    </xf>
    <xf numFmtId="0" fontId="2" fillId="5" borderId="0" xfId="0" applyFont="1" applyFill="1" applyAlignment="1">
      <alignment horizontal="center" vertical="center"/>
    </xf>
    <xf numFmtId="0" fontId="2" fillId="4" borderId="10" xfId="0" applyFont="1" applyFill="1" applyBorder="1" applyAlignment="1">
      <alignment horizontal="center" vertical="center"/>
    </xf>
    <xf numFmtId="0" fontId="2" fillId="4" borderId="0" xfId="0" applyFont="1" applyFill="1" applyAlignment="1">
      <alignment horizontal="center" vertical="center"/>
    </xf>
    <xf numFmtId="0" fontId="2" fillId="5" borderId="16" xfId="0" applyFont="1" applyFill="1" applyBorder="1" applyAlignment="1">
      <alignment horizontal="center" vertical="center"/>
    </xf>
    <xf numFmtId="0" fontId="2" fillId="5" borderId="12" xfId="0" applyFont="1" applyFill="1" applyBorder="1" applyAlignment="1">
      <alignment horizontal="center" vertical="center"/>
    </xf>
    <xf numFmtId="0" fontId="2" fillId="5" borderId="12" xfId="0" applyFont="1" applyFill="1" applyBorder="1" applyAlignment="1">
      <alignment horizontal="center" vertical="center" wrapText="1"/>
    </xf>
    <xf numFmtId="164" fontId="2" fillId="5" borderId="12" xfId="1" applyFont="1" applyFill="1" applyBorder="1" applyAlignment="1">
      <alignment horizontal="center" vertical="center"/>
    </xf>
    <xf numFmtId="0" fontId="3" fillId="6" borderId="21" xfId="0" applyFont="1" applyFill="1" applyBorder="1" applyAlignment="1">
      <alignment vertical="center" wrapText="1"/>
    </xf>
    <xf numFmtId="0" fontId="3" fillId="6" borderId="21" xfId="0" applyFont="1" applyFill="1" applyBorder="1" applyAlignment="1">
      <alignment horizontal="center" vertical="center" wrapText="1"/>
    </xf>
    <xf numFmtId="9" fontId="3" fillId="6" borderId="21" xfId="2" applyFont="1" applyFill="1" applyBorder="1" applyAlignment="1">
      <alignment horizontal="center" vertical="center" wrapText="1"/>
    </xf>
    <xf numFmtId="0" fontId="6" fillId="6" borderId="21" xfId="0" applyFont="1" applyFill="1" applyBorder="1" applyAlignment="1">
      <alignment horizontal="center" vertical="center" wrapText="1"/>
    </xf>
    <xf numFmtId="9" fontId="6" fillId="6" borderId="21" xfId="2" applyFont="1" applyFill="1" applyBorder="1" applyAlignment="1">
      <alignment horizontal="center" vertical="center" wrapText="1"/>
    </xf>
    <xf numFmtId="0" fontId="3" fillId="2" borderId="0" xfId="0" applyFont="1" applyFill="1" applyAlignment="1">
      <alignment horizontal="left" vertical="center"/>
    </xf>
    <xf numFmtId="0" fontId="3" fillId="6" borderId="0" xfId="0" applyFont="1" applyFill="1" applyAlignment="1">
      <alignment horizontal="left" vertical="center"/>
    </xf>
    <xf numFmtId="0" fontId="3" fillId="7" borderId="29" xfId="0" applyFont="1" applyFill="1" applyBorder="1" applyAlignment="1">
      <alignment vertical="center" wrapText="1"/>
    </xf>
    <xf numFmtId="0" fontId="3" fillId="7" borderId="29" xfId="0" applyFont="1" applyFill="1" applyBorder="1" applyAlignment="1">
      <alignment horizontal="center" vertical="center" wrapText="1"/>
    </xf>
    <xf numFmtId="0" fontId="3" fillId="7" borderId="33" xfId="0" applyFont="1" applyFill="1" applyBorder="1" applyAlignment="1">
      <alignment horizontal="center" vertical="center"/>
    </xf>
    <xf numFmtId="9" fontId="3" fillId="7" borderId="33" xfId="2" applyFont="1" applyFill="1" applyBorder="1" applyAlignment="1">
      <alignment horizontal="center" vertical="center"/>
    </xf>
    <xf numFmtId="0" fontId="3" fillId="7" borderId="33" xfId="0" applyFont="1" applyFill="1" applyBorder="1" applyAlignment="1">
      <alignment horizontal="center" vertical="center" wrapText="1"/>
    </xf>
    <xf numFmtId="0" fontId="6" fillId="7" borderId="33" xfId="0" applyFont="1" applyFill="1" applyBorder="1" applyAlignment="1">
      <alignment horizontal="center" vertical="center"/>
    </xf>
    <xf numFmtId="9" fontId="6" fillId="7" borderId="33" xfId="2" applyFont="1" applyFill="1" applyBorder="1" applyAlignment="1">
      <alignment horizontal="center" vertical="center"/>
    </xf>
    <xf numFmtId="0" fontId="6" fillId="7" borderId="33" xfId="0" applyFont="1" applyFill="1" applyBorder="1" applyAlignment="1">
      <alignment horizontal="center" vertical="center" wrapText="1"/>
    </xf>
    <xf numFmtId="1" fontId="6" fillId="7" borderId="33" xfId="0" applyNumberFormat="1" applyFont="1" applyFill="1" applyBorder="1" applyAlignment="1">
      <alignment horizontal="center" vertical="center"/>
    </xf>
    <xf numFmtId="1" fontId="3" fillId="7" borderId="33" xfId="0" applyNumberFormat="1" applyFont="1" applyFill="1" applyBorder="1" applyAlignment="1">
      <alignment horizontal="center" vertical="center"/>
    </xf>
    <xf numFmtId="0" fontId="3" fillId="7" borderId="0" xfId="0" applyFont="1" applyFill="1" applyAlignment="1">
      <alignment horizontal="left" vertical="center"/>
    </xf>
    <xf numFmtId="9" fontId="3" fillId="6" borderId="21" xfId="0" applyNumberFormat="1" applyFont="1" applyFill="1" applyBorder="1" applyAlignment="1">
      <alignment horizontal="center" vertical="center" wrapText="1"/>
    </xf>
    <xf numFmtId="0" fontId="3" fillId="8" borderId="34" xfId="0" applyFont="1" applyFill="1" applyBorder="1" applyAlignment="1">
      <alignment vertical="center" wrapText="1"/>
    </xf>
    <xf numFmtId="0" fontId="3" fillId="8" borderId="35" xfId="0" applyFont="1" applyFill="1" applyBorder="1" applyAlignment="1">
      <alignment vertical="center" wrapText="1"/>
    </xf>
    <xf numFmtId="0" fontId="3" fillId="8" borderId="35" xfId="0" applyFont="1" applyFill="1" applyBorder="1" applyAlignment="1">
      <alignment horizontal="center" vertical="center" wrapText="1"/>
    </xf>
    <xf numFmtId="0" fontId="3" fillId="8" borderId="36" xfId="0" applyFont="1" applyFill="1" applyBorder="1" applyAlignment="1">
      <alignment vertical="center" wrapText="1"/>
    </xf>
    <xf numFmtId="9" fontId="3" fillId="6" borderId="39" xfId="2" applyFont="1" applyFill="1" applyBorder="1" applyAlignment="1">
      <alignment horizontal="center" vertical="center" wrapText="1"/>
    </xf>
    <xf numFmtId="0" fontId="3" fillId="6" borderId="39" xfId="0" applyFont="1" applyFill="1" applyBorder="1" applyAlignment="1">
      <alignment horizontal="center" vertical="center" wrapText="1"/>
    </xf>
    <xf numFmtId="9" fontId="6" fillId="6" borderId="39" xfId="2" applyFont="1" applyFill="1" applyBorder="1" applyAlignment="1">
      <alignment horizontal="center" vertical="center" wrapText="1"/>
    </xf>
    <xf numFmtId="0" fontId="6" fillId="6" borderId="39" xfId="0" applyFont="1" applyFill="1" applyBorder="1" applyAlignment="1">
      <alignment horizontal="center" vertical="center" wrapText="1"/>
    </xf>
    <xf numFmtId="0" fontId="3" fillId="2" borderId="0" xfId="0" applyFont="1" applyFill="1" applyAlignment="1">
      <alignment vertical="center" wrapText="1"/>
    </xf>
    <xf numFmtId="0" fontId="3" fillId="2" borderId="0" xfId="0" applyFont="1" applyFill="1" applyAlignment="1">
      <alignment horizontal="center" vertical="center" wrapText="1"/>
    </xf>
    <xf numFmtId="165" fontId="3" fillId="2" borderId="0" xfId="1" applyNumberFormat="1" applyFont="1" applyFill="1" applyAlignment="1">
      <alignment vertical="center" wrapText="1"/>
    </xf>
    <xf numFmtId="10" fontId="8" fillId="9" borderId="33" xfId="0" applyNumberFormat="1" applyFont="1" applyFill="1" applyBorder="1" applyAlignment="1">
      <alignment horizontal="center" vertical="center" wrapText="1"/>
    </xf>
    <xf numFmtId="10" fontId="8" fillId="9" borderId="29" xfId="0" applyNumberFormat="1" applyFont="1" applyFill="1" applyBorder="1" applyAlignment="1">
      <alignment horizontal="center" vertical="center" wrapText="1"/>
    </xf>
    <xf numFmtId="0" fontId="3" fillId="2" borderId="7" xfId="0" applyFont="1" applyFill="1" applyBorder="1" applyAlignment="1">
      <alignment horizontal="center" vertical="center" wrapText="1"/>
    </xf>
    <xf numFmtId="0" fontId="6" fillId="2" borderId="7" xfId="0" applyFont="1" applyFill="1" applyBorder="1" applyAlignment="1">
      <alignment horizontal="center" vertical="center" wrapText="1"/>
    </xf>
    <xf numFmtId="10" fontId="10" fillId="9" borderId="33" xfId="0" applyNumberFormat="1" applyFont="1" applyFill="1" applyBorder="1" applyAlignment="1">
      <alignment horizontal="center" vertical="center" wrapText="1"/>
    </xf>
    <xf numFmtId="0" fontId="6" fillId="6" borderId="0" xfId="0" applyFont="1" applyFill="1" applyAlignment="1">
      <alignment horizontal="left" vertical="center"/>
    </xf>
    <xf numFmtId="10" fontId="10" fillId="9" borderId="29" xfId="0" applyNumberFormat="1" applyFont="1" applyFill="1" applyBorder="1" applyAlignment="1">
      <alignment horizontal="center" vertical="center" wrapText="1"/>
    </xf>
    <xf numFmtId="0" fontId="3" fillId="7" borderId="45" xfId="0" applyFont="1" applyFill="1" applyBorder="1" applyAlignment="1">
      <alignment vertical="center" wrapText="1"/>
    </xf>
    <xf numFmtId="0" fontId="3" fillId="7" borderId="45" xfId="0" applyFont="1" applyFill="1" applyBorder="1" applyAlignment="1">
      <alignment horizontal="center" vertical="center" wrapText="1"/>
    </xf>
    <xf numFmtId="0" fontId="3" fillId="7" borderId="0" xfId="0" applyFont="1" applyFill="1" applyAlignment="1">
      <alignment horizontal="center" vertical="center" wrapText="1"/>
    </xf>
    <xf numFmtId="0" fontId="3" fillId="7" borderId="45" xfId="0" applyFont="1" applyFill="1" applyBorder="1" applyAlignment="1">
      <alignment horizontal="center" vertical="center" wrapText="1"/>
    </xf>
    <xf numFmtId="9" fontId="3" fillId="7" borderId="45" xfId="2" applyFont="1" applyFill="1" applyBorder="1" applyAlignment="1">
      <alignment horizontal="center" vertical="center" wrapText="1"/>
    </xf>
    <xf numFmtId="0" fontId="6" fillId="7" borderId="45" xfId="0" applyFont="1" applyFill="1" applyBorder="1" applyAlignment="1">
      <alignment horizontal="center" vertical="center" wrapText="1"/>
    </xf>
    <xf numFmtId="9" fontId="6" fillId="7" borderId="45" xfId="2" applyFont="1" applyFill="1" applyBorder="1" applyAlignment="1">
      <alignment horizontal="center" vertical="center" wrapText="1"/>
    </xf>
    <xf numFmtId="0" fontId="3" fillId="2" borderId="0" xfId="0" applyFont="1" applyFill="1" applyAlignment="1">
      <alignment horizontal="left" vertical="center" wrapText="1"/>
    </xf>
    <xf numFmtId="0" fontId="3" fillId="7" borderId="0" xfId="0" applyFont="1" applyFill="1" applyAlignment="1">
      <alignment horizontal="left" vertical="center" wrapText="1"/>
    </xf>
    <xf numFmtId="0" fontId="3" fillId="6" borderId="45" xfId="0" applyFont="1" applyFill="1" applyBorder="1" applyAlignment="1">
      <alignment vertical="center" wrapText="1"/>
    </xf>
    <xf numFmtId="0" fontId="3" fillId="6" borderId="45" xfId="0" applyFont="1" applyFill="1" applyBorder="1" applyAlignment="1">
      <alignment horizontal="center" vertical="center" wrapText="1"/>
    </xf>
    <xf numFmtId="0" fontId="3" fillId="6" borderId="51" xfId="0" applyFont="1" applyFill="1" applyBorder="1" applyAlignment="1">
      <alignment horizontal="center" vertical="center" wrapText="1"/>
    </xf>
    <xf numFmtId="9" fontId="3" fillId="6" borderId="45" xfId="2" applyFont="1" applyFill="1" applyBorder="1" applyAlignment="1">
      <alignment horizontal="center" vertical="center" wrapText="1"/>
    </xf>
    <xf numFmtId="0" fontId="6" fillId="6" borderId="45" xfId="0" applyFont="1" applyFill="1" applyBorder="1" applyAlignment="1">
      <alignment horizontal="center" vertical="center" wrapText="1"/>
    </xf>
    <xf numFmtId="9" fontId="6" fillId="6" borderId="45" xfId="2" applyFont="1" applyFill="1" applyBorder="1" applyAlignment="1">
      <alignment horizontal="center" vertical="center" wrapText="1"/>
    </xf>
    <xf numFmtId="0" fontId="3" fillId="6" borderId="0" xfId="0" applyFont="1" applyFill="1" applyAlignment="1">
      <alignment horizontal="left" vertical="center" wrapText="1"/>
    </xf>
    <xf numFmtId="0" fontId="3" fillId="6" borderId="45" xfId="0" applyFont="1" applyFill="1" applyBorder="1" applyAlignment="1">
      <alignment horizontal="center" vertical="center" wrapText="1"/>
    </xf>
    <xf numFmtId="9" fontId="3" fillId="6" borderId="45" xfId="2" applyFont="1" applyFill="1" applyBorder="1" applyAlignment="1">
      <alignment horizontal="center" vertical="center" wrapText="1"/>
    </xf>
    <xf numFmtId="9" fontId="3" fillId="7" borderId="45" xfId="0" applyNumberFormat="1" applyFont="1" applyFill="1" applyBorder="1" applyAlignment="1">
      <alignment horizontal="center" vertical="center" wrapText="1"/>
    </xf>
    <xf numFmtId="9" fontId="3" fillId="7" borderId="45" xfId="0" applyNumberFormat="1" applyFont="1" applyFill="1" applyBorder="1" applyAlignment="1">
      <alignment horizontal="center" vertical="center" wrapText="1"/>
    </xf>
    <xf numFmtId="9" fontId="6" fillId="7" borderId="45" xfId="0" applyNumberFormat="1" applyFont="1" applyFill="1" applyBorder="1" applyAlignment="1">
      <alignment horizontal="center" vertical="center" wrapText="1"/>
    </xf>
    <xf numFmtId="0" fontId="3" fillId="6" borderId="39" xfId="0" applyFont="1" applyFill="1" applyBorder="1" applyAlignment="1">
      <alignment horizontal="center" vertical="center" wrapText="1"/>
    </xf>
    <xf numFmtId="9" fontId="3" fillId="6" borderId="45" xfId="0" applyNumberFormat="1" applyFont="1" applyFill="1" applyBorder="1" applyAlignment="1">
      <alignment horizontal="center" vertical="center" wrapText="1"/>
    </xf>
    <xf numFmtId="9" fontId="6" fillId="6" borderId="45" xfId="0" applyNumberFormat="1" applyFont="1" applyFill="1" applyBorder="1" applyAlignment="1">
      <alignment horizontal="center" vertical="center" wrapText="1"/>
    </xf>
    <xf numFmtId="0" fontId="3" fillId="2" borderId="33" xfId="0" applyFont="1" applyFill="1" applyBorder="1" applyAlignment="1">
      <alignment horizontal="left" vertical="center" wrapText="1"/>
    </xf>
    <xf numFmtId="0" fontId="6" fillId="2" borderId="33" xfId="0" applyFont="1" applyFill="1" applyBorder="1" applyAlignment="1">
      <alignment horizontal="left" vertical="center" wrapText="1"/>
    </xf>
    <xf numFmtId="0" fontId="3" fillId="0" borderId="0" xfId="0" applyFont="1" applyAlignment="1">
      <alignment horizontal="left" vertical="center"/>
    </xf>
    <xf numFmtId="9" fontId="3" fillId="6" borderId="39" xfId="2" applyFont="1" applyFill="1" applyBorder="1" applyAlignment="1">
      <alignment horizontal="center" vertical="center" wrapText="1"/>
    </xf>
    <xf numFmtId="164" fontId="3" fillId="2" borderId="0" xfId="1" applyFont="1" applyFill="1" applyAlignment="1">
      <alignment vertical="center" wrapText="1"/>
    </xf>
    <xf numFmtId="0" fontId="3" fillId="7" borderId="57" xfId="0" applyFont="1" applyFill="1" applyBorder="1" applyAlignment="1">
      <alignment horizontal="center" vertical="center" wrapText="1"/>
    </xf>
    <xf numFmtId="9" fontId="3" fillId="7" borderId="57" xfId="0" applyNumberFormat="1" applyFont="1" applyFill="1" applyBorder="1" applyAlignment="1">
      <alignment horizontal="center" vertical="center" wrapText="1"/>
    </xf>
    <xf numFmtId="165" fontId="3" fillId="7" borderId="57" xfId="1" applyNumberFormat="1" applyFont="1" applyFill="1" applyBorder="1" applyAlignment="1">
      <alignment horizontal="center" vertical="center" wrapText="1"/>
    </xf>
    <xf numFmtId="9" fontId="3" fillId="7" borderId="57" xfId="2" applyFont="1" applyFill="1" applyBorder="1" applyAlignment="1">
      <alignment horizontal="center" vertical="center"/>
    </xf>
    <xf numFmtId="9" fontId="3" fillId="7" borderId="57" xfId="0" applyNumberFormat="1" applyFont="1" applyFill="1" applyBorder="1" applyAlignment="1">
      <alignment horizontal="center" vertical="center"/>
    </xf>
    <xf numFmtId="0" fontId="3" fillId="7" borderId="33" xfId="0" applyFont="1" applyFill="1" applyBorder="1" applyAlignment="1">
      <alignment vertical="center" wrapText="1"/>
    </xf>
    <xf numFmtId="9" fontId="6" fillId="7" borderId="57" xfId="2" applyFont="1" applyFill="1" applyBorder="1" applyAlignment="1">
      <alignment horizontal="center" vertical="center"/>
    </xf>
    <xf numFmtId="9" fontId="6" fillId="7" borderId="57" xfId="0" applyNumberFormat="1" applyFont="1" applyFill="1" applyBorder="1" applyAlignment="1">
      <alignment horizontal="center" vertical="center"/>
    </xf>
    <xf numFmtId="0" fontId="6" fillId="7" borderId="33" xfId="0" applyFont="1" applyFill="1" applyBorder="1" applyAlignment="1">
      <alignment vertical="center" wrapText="1"/>
    </xf>
    <xf numFmtId="165" fontId="3" fillId="6" borderId="45" xfId="1" applyNumberFormat="1" applyFont="1" applyFill="1" applyBorder="1" applyAlignment="1">
      <alignment horizontal="center" vertical="center" wrapText="1"/>
    </xf>
    <xf numFmtId="165" fontId="3" fillId="7" borderId="45" xfId="1" applyNumberFormat="1" applyFont="1" applyFill="1" applyBorder="1" applyAlignment="1">
      <alignment horizontal="center" vertical="center" wrapText="1"/>
    </xf>
    <xf numFmtId="9" fontId="3" fillId="7" borderId="45" xfId="2" applyFont="1" applyFill="1" applyBorder="1" applyAlignment="1">
      <alignment horizontal="center" vertical="center"/>
    </xf>
    <xf numFmtId="9" fontId="3" fillId="7" borderId="45" xfId="0" applyNumberFormat="1" applyFont="1" applyFill="1" applyBorder="1" applyAlignment="1">
      <alignment horizontal="center" vertical="center"/>
    </xf>
    <xf numFmtId="9" fontId="6" fillId="7" borderId="45" xfId="2" applyFont="1" applyFill="1" applyBorder="1" applyAlignment="1">
      <alignment horizontal="center" vertical="center"/>
    </xf>
    <xf numFmtId="9" fontId="6" fillId="7" borderId="45" xfId="0" applyNumberFormat="1" applyFont="1" applyFill="1" applyBorder="1" applyAlignment="1">
      <alignment horizontal="center" vertical="center"/>
    </xf>
    <xf numFmtId="0" fontId="6" fillId="2" borderId="0" xfId="0" applyFont="1" applyFill="1" applyAlignment="1">
      <alignment horizontal="center" vertical="center" wrapText="1"/>
    </xf>
    <xf numFmtId="0" fontId="11" fillId="2" borderId="0" xfId="0" applyFont="1" applyFill="1" applyAlignment="1">
      <alignment horizontal="left" vertical="center"/>
    </xf>
    <xf numFmtId="0" fontId="11" fillId="2" borderId="0" xfId="0" applyFont="1" applyFill="1" applyAlignment="1">
      <alignment horizontal="center" vertical="center"/>
    </xf>
    <xf numFmtId="164" fontId="11" fillId="2" borderId="0" xfId="1" applyFont="1" applyFill="1" applyAlignment="1">
      <alignment horizontal="left" vertical="center"/>
    </xf>
    <xf numFmtId="0" fontId="6" fillId="2" borderId="0" xfId="0" applyFont="1" applyFill="1" applyAlignment="1">
      <alignment horizontal="left" vertical="center"/>
    </xf>
    <xf numFmtId="0" fontId="6" fillId="2" borderId="0" xfId="0" applyFont="1" applyFill="1" applyAlignment="1">
      <alignment horizontal="center" vertical="center"/>
    </xf>
    <xf numFmtId="164" fontId="3" fillId="2" borderId="0" xfId="1" applyFont="1" applyFill="1" applyAlignment="1">
      <alignment horizontal="left" vertical="center"/>
    </xf>
    <xf numFmtId="0" fontId="3" fillId="0" borderId="0" xfId="0" applyFont="1" applyAlignment="1">
      <alignment horizontal="center" vertical="center"/>
    </xf>
    <xf numFmtId="0" fontId="6" fillId="0" borderId="0" xfId="0" applyFont="1" applyAlignment="1">
      <alignment horizontal="left" vertical="center"/>
    </xf>
    <xf numFmtId="0" fontId="6" fillId="0" borderId="0" xfId="0" applyFont="1" applyAlignment="1">
      <alignment horizontal="center" vertical="center"/>
    </xf>
    <xf numFmtId="164" fontId="3" fillId="0" borderId="0" xfId="1" applyFont="1" applyAlignment="1">
      <alignment horizontal="left" vertical="center"/>
    </xf>
    <xf numFmtId="0" fontId="2" fillId="5" borderId="12" xfId="0" applyFont="1" applyFill="1" applyBorder="1" applyAlignment="1">
      <alignment horizontal="center" vertical="center" wrapText="1"/>
    </xf>
    <xf numFmtId="9" fontId="6" fillId="0" borderId="29" xfId="2" applyFont="1" applyBorder="1" applyAlignment="1">
      <alignment horizontal="center" vertical="center"/>
    </xf>
    <xf numFmtId="9" fontId="6" fillId="7" borderId="29" xfId="0" applyNumberFormat="1" applyFont="1" applyFill="1" applyBorder="1" applyAlignment="1">
      <alignment horizontal="center" vertical="center"/>
    </xf>
    <xf numFmtId="9" fontId="6" fillId="7" borderId="29" xfId="2" applyFont="1" applyFill="1" applyBorder="1" applyAlignment="1">
      <alignment horizontal="center" vertical="center"/>
    </xf>
    <xf numFmtId="0" fontId="6" fillId="7" borderId="29" xfId="0" applyFont="1" applyFill="1" applyBorder="1" applyAlignment="1">
      <alignment horizontal="center" vertical="center" wrapText="1"/>
    </xf>
    <xf numFmtId="9" fontId="6" fillId="0" borderId="29" xfId="2" applyFont="1" applyFill="1" applyBorder="1" applyAlignment="1">
      <alignment horizontal="center" vertical="center"/>
    </xf>
    <xf numFmtId="9" fontId="6" fillId="10" borderId="45" xfId="2" applyFont="1" applyFill="1" applyBorder="1" applyAlignment="1">
      <alignment horizontal="center" vertical="center"/>
    </xf>
    <xf numFmtId="0" fontId="14" fillId="6" borderId="45" xfId="0" applyFont="1" applyFill="1" applyBorder="1" applyAlignment="1">
      <alignment horizontal="center" vertical="center" wrapText="1"/>
    </xf>
    <xf numFmtId="0" fontId="3" fillId="7" borderId="0" xfId="0" applyFont="1" applyFill="1" applyAlignment="1">
      <alignment vertical="center" wrapText="1"/>
    </xf>
    <xf numFmtId="0" fontId="3" fillId="6" borderId="51" xfId="0" applyFont="1" applyFill="1" applyBorder="1" applyAlignment="1">
      <alignment vertical="center" wrapText="1"/>
    </xf>
    <xf numFmtId="0" fontId="3" fillId="7" borderId="43" xfId="0" applyFont="1" applyFill="1" applyBorder="1" applyAlignment="1">
      <alignment vertical="center" wrapText="1"/>
    </xf>
    <xf numFmtId="0" fontId="3" fillId="7" borderId="67" xfId="0" applyFont="1" applyFill="1" applyBorder="1" applyAlignment="1">
      <alignment vertical="center" wrapText="1"/>
    </xf>
    <xf numFmtId="0" fontId="6" fillId="7" borderId="45" xfId="0" applyFont="1" applyFill="1" applyBorder="1" applyAlignment="1">
      <alignment vertical="center" wrapText="1"/>
    </xf>
    <xf numFmtId="0" fontId="3" fillId="6" borderId="12" xfId="0" applyFont="1" applyFill="1" applyBorder="1" applyAlignment="1">
      <alignment horizontal="center" vertical="center" wrapText="1"/>
    </xf>
    <xf numFmtId="0" fontId="3" fillId="6" borderId="18" xfId="0" applyFont="1" applyFill="1" applyBorder="1" applyAlignment="1">
      <alignment horizontal="center" vertical="center" wrapText="1"/>
    </xf>
    <xf numFmtId="0" fontId="6" fillId="6" borderId="45" xfId="0" applyFont="1" applyFill="1" applyBorder="1" applyAlignment="1">
      <alignment vertical="center" wrapText="1"/>
    </xf>
    <xf numFmtId="0" fontId="6" fillId="6" borderId="12" xfId="0" applyFont="1" applyFill="1" applyBorder="1" applyAlignment="1">
      <alignment horizontal="center" vertical="center" wrapText="1"/>
    </xf>
    <xf numFmtId="9" fontId="6" fillId="6" borderId="12" xfId="2" applyFont="1" applyFill="1" applyBorder="1" applyAlignment="1">
      <alignment horizontal="center" vertical="center" wrapText="1"/>
    </xf>
    <xf numFmtId="0" fontId="6" fillId="6" borderId="12" xfId="0" applyFont="1" applyFill="1" applyBorder="1" applyAlignment="1">
      <alignment vertical="center" wrapText="1"/>
    </xf>
    <xf numFmtId="0" fontId="6" fillId="11" borderId="70" xfId="0" applyFont="1" applyFill="1" applyBorder="1" applyAlignment="1">
      <alignment horizontal="center" vertical="center" wrapText="1"/>
    </xf>
    <xf numFmtId="9" fontId="6" fillId="10" borderId="12" xfId="2" applyFont="1" applyFill="1" applyBorder="1" applyAlignment="1">
      <alignment horizontal="center" vertical="center" wrapText="1"/>
    </xf>
    <xf numFmtId="9" fontId="6" fillId="10" borderId="45" xfId="2" applyFont="1" applyFill="1" applyBorder="1" applyAlignment="1">
      <alignment horizontal="center" vertical="center" wrapText="1"/>
    </xf>
    <xf numFmtId="0" fontId="6" fillId="7" borderId="0" xfId="0" applyFont="1" applyFill="1" applyAlignment="1">
      <alignment horizontal="center" vertical="center" wrapText="1"/>
    </xf>
    <xf numFmtId="10" fontId="6" fillId="6" borderId="45" xfId="2" applyNumberFormat="1" applyFont="1" applyFill="1" applyBorder="1" applyAlignment="1">
      <alignment horizontal="center" vertical="center" wrapText="1"/>
    </xf>
    <xf numFmtId="0" fontId="6" fillId="6" borderId="45" xfId="0" applyFont="1" applyFill="1" applyBorder="1" applyAlignment="1">
      <alignment horizontal="justify" vertical="center" wrapText="1"/>
    </xf>
    <xf numFmtId="9" fontId="6" fillId="11" borderId="71" xfId="0" applyNumberFormat="1" applyFont="1" applyFill="1" applyBorder="1" applyAlignment="1">
      <alignment horizontal="center" vertical="center" wrapText="1"/>
    </xf>
    <xf numFmtId="9" fontId="13" fillId="7" borderId="45" xfId="2" applyFont="1" applyFill="1" applyBorder="1" applyAlignment="1">
      <alignment horizontal="center" vertical="center" wrapText="1"/>
    </xf>
    <xf numFmtId="0" fontId="3" fillId="2" borderId="33" xfId="0" applyFont="1" applyFill="1" applyBorder="1" applyAlignment="1">
      <alignment horizontal="left" vertical="top" wrapText="1"/>
    </xf>
    <xf numFmtId="0" fontId="6" fillId="7" borderId="45" xfId="0" applyFont="1" applyFill="1" applyBorder="1" applyAlignment="1">
      <alignment horizontal="left" vertical="center" wrapText="1"/>
    </xf>
    <xf numFmtId="166" fontId="6" fillId="7" borderId="45" xfId="2" applyNumberFormat="1" applyFont="1" applyFill="1" applyBorder="1" applyAlignment="1">
      <alignment horizontal="center" vertical="center"/>
    </xf>
    <xf numFmtId="9" fontId="3" fillId="2" borderId="33" xfId="2" applyFont="1" applyFill="1" applyBorder="1" applyAlignment="1">
      <alignment horizontal="left" vertical="center" wrapText="1"/>
    </xf>
    <xf numFmtId="0" fontId="3" fillId="7" borderId="45" xfId="0" applyFont="1" applyFill="1" applyBorder="1" applyAlignment="1">
      <alignment horizontal="center" vertical="center" wrapText="1"/>
    </xf>
    <xf numFmtId="9" fontId="3" fillId="7" borderId="45" xfId="0" applyNumberFormat="1" applyFont="1" applyFill="1" applyBorder="1" applyAlignment="1">
      <alignment horizontal="center" vertical="center" wrapText="1"/>
    </xf>
    <xf numFmtId="0" fontId="3" fillId="6" borderId="18" xfId="0" applyFont="1" applyFill="1" applyBorder="1" applyAlignment="1">
      <alignment horizontal="center" vertical="center" wrapText="1"/>
    </xf>
    <xf numFmtId="0" fontId="3" fillId="6" borderId="45" xfId="0" applyFont="1" applyFill="1" applyBorder="1" applyAlignment="1">
      <alignment horizontal="center" vertical="center" wrapText="1"/>
    </xf>
    <xf numFmtId="0" fontId="6" fillId="7" borderId="45" xfId="0" applyFont="1" applyFill="1" applyBorder="1" applyAlignment="1">
      <alignment horizontal="center" vertical="center" wrapText="1"/>
    </xf>
    <xf numFmtId="9" fontId="6" fillId="7" borderId="45" xfId="2" applyFont="1" applyFill="1" applyBorder="1" applyAlignment="1">
      <alignment horizontal="center" vertical="center"/>
    </xf>
    <xf numFmtId="0" fontId="6" fillId="6" borderId="45" xfId="0" applyFont="1" applyFill="1" applyBorder="1" applyAlignment="1">
      <alignment horizontal="center" vertical="center" wrapText="1"/>
    </xf>
    <xf numFmtId="9" fontId="6" fillId="6" borderId="45" xfId="2" applyFont="1" applyFill="1" applyBorder="1" applyAlignment="1">
      <alignment horizontal="center" vertical="center" wrapText="1"/>
    </xf>
    <xf numFmtId="0" fontId="2" fillId="5" borderId="12" xfId="0" applyFont="1" applyFill="1" applyBorder="1" applyAlignment="1">
      <alignment horizontal="center" vertical="center" wrapText="1"/>
    </xf>
    <xf numFmtId="0" fontId="5" fillId="2" borderId="2" xfId="0" applyFont="1" applyFill="1" applyBorder="1" applyAlignment="1">
      <alignment horizontal="center" vertical="center" wrapText="1"/>
    </xf>
    <xf numFmtId="14" fontId="5" fillId="2" borderId="2" xfId="0" applyNumberFormat="1" applyFont="1" applyFill="1" applyBorder="1" applyAlignment="1">
      <alignment horizontal="center" vertical="center" wrapText="1"/>
    </xf>
    <xf numFmtId="0" fontId="5" fillId="2" borderId="72" xfId="0" applyFont="1" applyFill="1" applyBorder="1" applyAlignment="1">
      <alignment horizontal="center" vertical="center" wrapText="1"/>
    </xf>
    <xf numFmtId="0" fontId="2" fillId="5" borderId="0" xfId="0" applyFont="1" applyFill="1" applyAlignment="1">
      <alignment horizontal="center" vertical="center" wrapText="1"/>
    </xf>
    <xf numFmtId="0" fontId="2" fillId="4" borderId="10" xfId="0" applyFont="1" applyFill="1" applyBorder="1" applyAlignment="1">
      <alignment horizontal="center" vertical="center" wrapText="1"/>
    </xf>
    <xf numFmtId="0" fontId="2" fillId="4" borderId="0" xfId="0" applyFont="1" applyFill="1" applyAlignment="1">
      <alignment horizontal="center" vertical="center" wrapText="1"/>
    </xf>
    <xf numFmtId="0" fontId="2" fillId="5" borderId="16" xfId="0" applyFont="1" applyFill="1" applyBorder="1" applyAlignment="1">
      <alignment horizontal="center" vertical="center" wrapText="1"/>
    </xf>
    <xf numFmtId="44" fontId="2" fillId="5" borderId="16" xfId="5" applyFont="1" applyFill="1" applyBorder="1" applyAlignment="1">
      <alignment horizontal="center" vertical="center" wrapText="1"/>
    </xf>
    <xf numFmtId="0" fontId="2" fillId="5" borderId="9" xfId="0" applyFont="1" applyFill="1" applyBorder="1" applyAlignment="1">
      <alignment horizontal="center" vertical="center" wrapText="1"/>
    </xf>
    <xf numFmtId="0" fontId="2" fillId="5" borderId="78" xfId="0" applyFont="1" applyFill="1" applyBorder="1" applyAlignment="1">
      <alignment horizontal="center" vertical="center" wrapText="1"/>
    </xf>
    <xf numFmtId="0" fontId="2" fillId="5" borderId="79" xfId="0" applyFont="1" applyFill="1" applyBorder="1" applyAlignment="1">
      <alignment horizontal="center" vertical="center" wrapText="1"/>
    </xf>
    <xf numFmtId="0" fontId="17" fillId="6" borderId="0" xfId="0" applyFont="1" applyFill="1" applyAlignment="1">
      <alignment horizontal="center" vertical="center" wrapText="1"/>
    </xf>
    <xf numFmtId="0" fontId="17" fillId="6" borderId="0" xfId="0" applyFont="1" applyFill="1" applyBorder="1" applyAlignment="1">
      <alignment horizontal="center" vertical="center" wrapText="1"/>
    </xf>
    <xf numFmtId="9" fontId="17" fillId="6" borderId="0" xfId="2" applyFont="1" applyFill="1" applyBorder="1" applyAlignment="1">
      <alignment horizontal="center" vertical="center" wrapText="1"/>
    </xf>
    <xf numFmtId="0" fontId="17" fillId="6" borderId="81" xfId="0" applyFont="1" applyFill="1" applyBorder="1" applyAlignment="1">
      <alignment horizontal="justify" vertical="center" wrapText="1"/>
    </xf>
    <xf numFmtId="0" fontId="17" fillId="12" borderId="0" xfId="0" applyFont="1" applyFill="1" applyBorder="1" applyAlignment="1">
      <alignment horizontal="center" vertical="center" wrapText="1"/>
    </xf>
    <xf numFmtId="0" fontId="0" fillId="0" borderId="0" xfId="0" applyAlignment="1">
      <alignment horizontal="center" vertical="center" wrapText="1"/>
    </xf>
    <xf numFmtId="0" fontId="17" fillId="7" borderId="0" xfId="0" applyFont="1" applyFill="1" applyAlignment="1">
      <alignment horizontal="center" vertical="center" wrapText="1"/>
    </xf>
    <xf numFmtId="0" fontId="17" fillId="7" borderId="0" xfId="0" applyFont="1" applyFill="1" applyBorder="1" applyAlignment="1">
      <alignment horizontal="center" vertical="center" wrapText="1"/>
    </xf>
    <xf numFmtId="0" fontId="17" fillId="7" borderId="81" xfId="0" applyFont="1" applyFill="1" applyBorder="1" applyAlignment="1">
      <alignment horizontal="center" vertical="center" wrapText="1"/>
    </xf>
    <xf numFmtId="0" fontId="17" fillId="12" borderId="84" xfId="0" applyFont="1" applyFill="1" applyBorder="1" applyAlignment="1">
      <alignment horizontal="center" vertical="center" wrapText="1"/>
    </xf>
    <xf numFmtId="0" fontId="17" fillId="6" borderId="84" xfId="0" applyFont="1" applyFill="1" applyBorder="1" applyAlignment="1">
      <alignment horizontal="center" vertical="center" wrapText="1"/>
    </xf>
    <xf numFmtId="9" fontId="17" fillId="6" borderId="84" xfId="2" applyFont="1" applyFill="1" applyBorder="1" applyAlignment="1">
      <alignment horizontal="center" vertical="center" wrapText="1"/>
    </xf>
    <xf numFmtId="0" fontId="17" fillId="6" borderId="85" xfId="0" applyFont="1" applyFill="1" applyBorder="1" applyAlignment="1">
      <alignment horizontal="justify" vertical="center" wrapText="1"/>
    </xf>
    <xf numFmtId="0" fontId="3" fillId="7" borderId="8" xfId="0" applyFont="1" applyFill="1" applyBorder="1" applyAlignment="1">
      <alignment horizontal="center" vertical="center" wrapText="1"/>
    </xf>
    <xf numFmtId="0" fontId="17" fillId="13" borderId="0" xfId="0" applyFont="1" applyFill="1" applyAlignment="1">
      <alignment horizontal="center" vertical="center" wrapText="1"/>
    </xf>
    <xf numFmtId="167" fontId="17" fillId="7" borderId="0" xfId="6" applyFont="1" applyFill="1" applyAlignment="1">
      <alignment horizontal="center" vertical="center" wrapText="1"/>
    </xf>
    <xf numFmtId="0" fontId="17" fillId="13" borderId="86" xfId="0" applyFont="1" applyFill="1" applyBorder="1" applyAlignment="1">
      <alignment horizontal="center" vertical="center" wrapText="1"/>
    </xf>
    <xf numFmtId="0" fontId="17" fillId="13" borderId="87" xfId="0" applyFont="1" applyFill="1" applyBorder="1" applyAlignment="1">
      <alignment horizontal="center" vertical="center" wrapText="1"/>
    </xf>
    <xf numFmtId="9" fontId="17" fillId="13" borderId="87" xfId="2" applyFont="1" applyFill="1" applyBorder="1" applyAlignment="1">
      <alignment horizontal="center" vertical="center" wrapText="1"/>
    </xf>
    <xf numFmtId="0" fontId="17" fillId="13" borderId="87" xfId="0" applyFont="1" applyFill="1" applyBorder="1" applyAlignment="1">
      <alignment horizontal="justify" vertical="center" wrapText="1"/>
    </xf>
    <xf numFmtId="0" fontId="0" fillId="13" borderId="88" xfId="0" applyFill="1" applyBorder="1" applyAlignment="1">
      <alignment horizontal="center" vertical="center" wrapText="1"/>
    </xf>
    <xf numFmtId="0" fontId="3" fillId="6" borderId="13" xfId="0" applyFont="1" applyFill="1" applyBorder="1" applyAlignment="1">
      <alignment horizontal="center" vertical="center" wrapText="1"/>
    </xf>
    <xf numFmtId="167" fontId="17" fillId="6" borderId="0" xfId="6" applyFont="1" applyFill="1" applyAlignment="1">
      <alignment horizontal="center" vertical="center" wrapText="1"/>
    </xf>
    <xf numFmtId="0" fontId="17" fillId="13" borderId="83" xfId="0" applyFont="1" applyFill="1" applyBorder="1" applyAlignment="1">
      <alignment horizontal="center" vertical="center" wrapText="1"/>
    </xf>
    <xf numFmtId="0" fontId="17" fillId="13" borderId="84" xfId="0" applyFont="1" applyFill="1" applyBorder="1" applyAlignment="1">
      <alignment horizontal="center" vertical="center" wrapText="1"/>
    </xf>
    <xf numFmtId="9" fontId="17" fillId="13" borderId="84" xfId="2" applyFont="1" applyFill="1" applyBorder="1" applyAlignment="1">
      <alignment horizontal="center" vertical="center" wrapText="1"/>
    </xf>
    <xf numFmtId="0" fontId="17" fillId="13" borderId="84" xfId="0" applyFont="1" applyFill="1" applyBorder="1" applyAlignment="1">
      <alignment horizontal="justify" vertical="center" wrapText="1"/>
    </xf>
    <xf numFmtId="0" fontId="0" fillId="13" borderId="85" xfId="0" applyFill="1" applyBorder="1" applyAlignment="1">
      <alignment horizontal="center" vertical="center" wrapText="1"/>
    </xf>
    <xf numFmtId="41" fontId="17" fillId="7" borderId="87" xfId="4" applyFont="1" applyFill="1" applyBorder="1" applyAlignment="1">
      <alignment horizontal="center" vertical="center" wrapText="1"/>
    </xf>
    <xf numFmtId="9" fontId="17" fillId="7" borderId="87" xfId="2" applyFont="1" applyFill="1" applyBorder="1" applyAlignment="1">
      <alignment horizontal="center" vertical="center" wrapText="1"/>
    </xf>
    <xf numFmtId="0" fontId="17" fillId="7" borderId="88" xfId="0" applyFont="1" applyFill="1" applyBorder="1" applyAlignment="1">
      <alignment horizontal="justify" vertical="center" wrapText="1"/>
    </xf>
    <xf numFmtId="168" fontId="17" fillId="7" borderId="87" xfId="0" applyNumberFormat="1" applyFont="1" applyFill="1" applyBorder="1" applyAlignment="1">
      <alignment horizontal="center" vertical="center" wrapText="1"/>
    </xf>
    <xf numFmtId="168" fontId="19" fillId="7" borderId="87" xfId="0" applyNumberFormat="1" applyFont="1" applyFill="1" applyBorder="1" applyAlignment="1">
      <alignment horizontal="center" vertical="center" wrapText="1"/>
    </xf>
    <xf numFmtId="0" fontId="19" fillId="7" borderId="88" xfId="0" applyFont="1" applyFill="1" applyBorder="1" applyAlignment="1">
      <alignment horizontal="justify" vertical="center" wrapText="1"/>
    </xf>
    <xf numFmtId="0" fontId="17" fillId="7" borderId="84" xfId="0" applyFont="1" applyFill="1" applyBorder="1" applyAlignment="1">
      <alignment horizontal="center" vertical="center" wrapText="1"/>
    </xf>
    <xf numFmtId="0" fontId="17" fillId="7" borderId="85" xfId="0" applyFont="1" applyFill="1" applyBorder="1" applyAlignment="1">
      <alignment horizontal="justify" vertical="center" wrapText="1"/>
    </xf>
    <xf numFmtId="168" fontId="17" fillId="7" borderId="84" xfId="0" applyNumberFormat="1" applyFont="1" applyFill="1" applyBorder="1" applyAlignment="1">
      <alignment horizontal="center" vertical="center" wrapText="1"/>
    </xf>
    <xf numFmtId="9" fontId="17" fillId="7" borderId="84" xfId="2" applyFont="1" applyFill="1" applyBorder="1" applyAlignment="1">
      <alignment horizontal="center" vertical="center" wrapText="1"/>
    </xf>
    <xf numFmtId="0" fontId="18" fillId="7" borderId="85" xfId="0" applyFont="1" applyFill="1" applyBorder="1" applyAlignment="1">
      <alignment horizontal="justify" vertical="center" wrapText="1"/>
    </xf>
    <xf numFmtId="0" fontId="19" fillId="7" borderId="85" xfId="0" applyFont="1" applyFill="1" applyBorder="1" applyAlignment="1">
      <alignment horizontal="justify" vertical="center" wrapText="1"/>
    </xf>
    <xf numFmtId="3" fontId="0" fillId="0" borderId="0" xfId="0" applyNumberFormat="1"/>
    <xf numFmtId="168" fontId="0" fillId="0" borderId="0" xfId="0" applyNumberFormat="1"/>
    <xf numFmtId="0" fontId="16" fillId="0" borderId="0" xfId="0" applyFont="1"/>
    <xf numFmtId="43" fontId="0" fillId="0" borderId="0" xfId="3" applyFont="1"/>
    <xf numFmtId="43" fontId="16" fillId="0" borderId="0" xfId="3" applyFont="1"/>
    <xf numFmtId="9" fontId="0" fillId="0" borderId="0" xfId="0" applyNumberFormat="1"/>
    <xf numFmtId="0" fontId="3" fillId="0" borderId="0" xfId="0" applyFont="1" applyAlignment="1">
      <alignment horizontal="center" vertical="center" wrapText="1"/>
    </xf>
    <xf numFmtId="0" fontId="2" fillId="0" borderId="0" xfId="0" applyFont="1" applyAlignment="1">
      <alignment horizontal="center" vertical="center" wrapText="1"/>
    </xf>
    <xf numFmtId="167" fontId="2" fillId="5" borderId="16" xfId="6" applyFont="1" applyFill="1" applyBorder="1" applyAlignment="1">
      <alignment horizontal="center" vertical="center" wrapText="1"/>
    </xf>
    <xf numFmtId="0" fontId="2" fillId="14" borderId="0" xfId="0" applyFont="1" applyFill="1" applyAlignment="1">
      <alignment horizontal="center" vertical="center" wrapText="1"/>
    </xf>
    <xf numFmtId="0" fontId="2" fillId="15" borderId="0" xfId="0" applyFont="1" applyFill="1" applyAlignment="1">
      <alignment horizontal="center" vertical="center" wrapText="1"/>
    </xf>
    <xf numFmtId="0" fontId="23" fillId="5" borderId="16" xfId="0" applyFont="1" applyFill="1" applyBorder="1" applyAlignment="1">
      <alignment horizontal="center" vertical="center" wrapText="1"/>
    </xf>
    <xf numFmtId="0" fontId="18" fillId="6" borderId="0" xfId="0" applyFont="1" applyFill="1" applyAlignment="1">
      <alignment horizontal="center" vertical="center" wrapText="1"/>
    </xf>
    <xf numFmtId="9" fontId="17" fillId="6" borderId="0" xfId="0" applyNumberFormat="1" applyFont="1" applyFill="1" applyAlignment="1">
      <alignment horizontal="center" vertical="center" wrapText="1"/>
    </xf>
    <xf numFmtId="1" fontId="17" fillId="6" borderId="0" xfId="0" applyNumberFormat="1" applyFont="1" applyFill="1" applyAlignment="1">
      <alignment horizontal="center" vertical="center" wrapText="1"/>
    </xf>
    <xf numFmtId="0" fontId="17" fillId="0" borderId="0" xfId="0" applyFont="1" applyAlignment="1">
      <alignment horizontal="center" vertical="center" wrapText="1"/>
    </xf>
    <xf numFmtId="0" fontId="24" fillId="0" borderId="0" xfId="0" applyFont="1" applyAlignment="1">
      <alignment horizontal="center" vertical="center" wrapText="1"/>
    </xf>
    <xf numFmtId="9" fontId="17" fillId="0" borderId="89" xfId="0" applyNumberFormat="1" applyFont="1" applyBorder="1" applyAlignment="1">
      <alignment horizontal="center" vertical="center" wrapText="1"/>
    </xf>
    <xf numFmtId="0" fontId="17" fillId="16" borderId="90" xfId="0" applyFont="1" applyFill="1" applyBorder="1" applyAlignment="1">
      <alignment horizontal="center" vertical="center" wrapText="1"/>
    </xf>
    <xf numFmtId="0" fontId="17" fillId="16" borderId="91" xfId="0" applyFont="1" applyFill="1" applyBorder="1" applyAlignment="1">
      <alignment horizontal="center" vertical="center" wrapText="1"/>
    </xf>
    <xf numFmtId="9" fontId="17" fillId="0" borderId="92" xfId="0" applyNumberFormat="1" applyFont="1" applyBorder="1" applyAlignment="1">
      <alignment horizontal="center" vertical="center" wrapText="1"/>
    </xf>
    <xf numFmtId="0" fontId="17" fillId="16" borderId="0" xfId="0" applyFont="1" applyFill="1" applyBorder="1" applyAlignment="1">
      <alignment horizontal="center" vertical="center" wrapText="1"/>
    </xf>
    <xf numFmtId="9" fontId="17" fillId="0" borderId="0" xfId="0" applyNumberFormat="1" applyFont="1" applyBorder="1" applyAlignment="1">
      <alignment horizontal="center" vertical="center" wrapText="1"/>
    </xf>
    <xf numFmtId="0" fontId="19" fillId="13" borderId="0" xfId="0" applyFont="1" applyFill="1" applyAlignment="1">
      <alignment horizontal="center" vertical="center" wrapText="1"/>
    </xf>
    <xf numFmtId="9" fontId="17" fillId="6" borderId="0" xfId="2" applyFont="1" applyFill="1" applyAlignment="1">
      <alignment horizontal="center" vertical="center" wrapText="1"/>
    </xf>
    <xf numFmtId="166" fontId="17" fillId="7" borderId="0" xfId="0" applyNumberFormat="1" applyFont="1" applyFill="1" applyAlignment="1">
      <alignment horizontal="center" vertical="center" wrapText="1"/>
    </xf>
    <xf numFmtId="9" fontId="17" fillId="7" borderId="0" xfId="0" applyNumberFormat="1" applyFont="1" applyFill="1" applyAlignment="1">
      <alignment horizontal="center" vertical="center" wrapText="1"/>
    </xf>
    <xf numFmtId="0" fontId="17" fillId="16" borderId="1" xfId="0" applyFont="1" applyFill="1" applyBorder="1" applyAlignment="1">
      <alignment horizontal="center" vertical="center" wrapText="1"/>
    </xf>
    <xf numFmtId="9" fontId="17" fillId="0" borderId="0" xfId="0" applyNumberFormat="1" applyFont="1" applyAlignment="1">
      <alignment horizontal="center" vertical="center" wrapText="1"/>
    </xf>
    <xf numFmtId="9" fontId="24" fillId="0" borderId="0" xfId="2" applyFont="1" applyAlignment="1">
      <alignment horizontal="center" vertical="center" wrapText="1"/>
    </xf>
    <xf numFmtId="9" fontId="17" fillId="0" borderId="0" xfId="2" applyFont="1" applyBorder="1" applyAlignment="1">
      <alignment horizontal="center" vertical="center" wrapText="1"/>
    </xf>
    <xf numFmtId="9" fontId="17" fillId="0" borderId="1" xfId="0" applyNumberFormat="1" applyFont="1" applyBorder="1" applyAlignment="1">
      <alignment horizontal="center" vertical="center" wrapText="1"/>
    </xf>
    <xf numFmtId="9" fontId="18" fillId="0" borderId="1" xfId="0" applyNumberFormat="1" applyFont="1" applyBorder="1" applyAlignment="1">
      <alignment horizontal="center" vertical="center" wrapText="1"/>
    </xf>
    <xf numFmtId="0" fontId="19" fillId="6" borderId="0" xfId="0" applyFont="1" applyFill="1" applyAlignment="1">
      <alignment horizontal="center" vertical="center" wrapText="1"/>
    </xf>
    <xf numFmtId="9" fontId="19" fillId="6" borderId="0" xfId="2" applyFont="1" applyFill="1" applyAlignment="1">
      <alignment horizontal="center" vertical="center" wrapText="1"/>
    </xf>
    <xf numFmtId="0" fontId="17" fillId="6" borderId="0" xfId="0" applyNumberFormat="1" applyFont="1" applyFill="1" applyAlignment="1">
      <alignment horizontal="center" vertical="center" wrapText="1"/>
    </xf>
    <xf numFmtId="0" fontId="17" fillId="0" borderId="0" xfId="0" applyFont="1" applyBorder="1" applyAlignment="1">
      <alignment horizontal="center" vertical="center" wrapText="1"/>
    </xf>
    <xf numFmtId="0" fontId="17" fillId="0" borderId="1" xfId="0" applyFont="1" applyBorder="1" applyAlignment="1">
      <alignment horizontal="center" vertical="center" wrapText="1"/>
    </xf>
    <xf numFmtId="9" fontId="19" fillId="6" borderId="0" xfId="0" applyNumberFormat="1" applyFont="1" applyFill="1" applyAlignment="1">
      <alignment horizontal="center" vertical="center" wrapText="1"/>
    </xf>
    <xf numFmtId="0" fontId="18" fillId="7" borderId="0" xfId="0" applyFont="1" applyFill="1" applyAlignment="1">
      <alignment horizontal="center" vertical="center" wrapText="1"/>
    </xf>
    <xf numFmtId="10" fontId="17" fillId="7" borderId="0" xfId="0" applyNumberFormat="1" applyFont="1" applyFill="1" applyAlignment="1">
      <alignment horizontal="center" vertical="center" wrapText="1"/>
    </xf>
    <xf numFmtId="166" fontId="19" fillId="7" borderId="0" xfId="2" applyNumberFormat="1" applyFont="1" applyFill="1" applyAlignment="1">
      <alignment horizontal="center" vertical="center" wrapText="1"/>
    </xf>
    <xf numFmtId="0" fontId="19" fillId="7" borderId="0" xfId="0" applyFont="1" applyFill="1" applyAlignment="1">
      <alignment horizontal="center" vertical="center" wrapText="1"/>
    </xf>
    <xf numFmtId="9" fontId="17" fillId="0" borderId="93" xfId="0" applyNumberFormat="1" applyFont="1" applyBorder="1" applyAlignment="1">
      <alignment horizontal="center" vertical="center" wrapText="1"/>
    </xf>
    <xf numFmtId="10" fontId="17" fillId="0" borderId="0" xfId="0" applyNumberFormat="1" applyFont="1" applyBorder="1" applyAlignment="1">
      <alignment horizontal="center" vertical="center" wrapText="1"/>
    </xf>
    <xf numFmtId="166" fontId="17" fillId="0" borderId="93" xfId="0" applyNumberFormat="1" applyFont="1" applyFill="1" applyBorder="1" applyAlignment="1">
      <alignment horizontal="center" vertical="center" wrapText="1"/>
    </xf>
    <xf numFmtId="10" fontId="17" fillId="0" borderId="0" xfId="0" applyNumberFormat="1" applyFont="1" applyFill="1" applyBorder="1" applyAlignment="1">
      <alignment horizontal="center" vertical="center" wrapText="1"/>
    </xf>
    <xf numFmtId="0" fontId="19" fillId="7" borderId="0" xfId="0" applyFont="1" applyFill="1" applyAlignment="1">
      <alignment horizontal="left" vertical="center" wrapText="1"/>
    </xf>
    <xf numFmtId="166" fontId="17" fillId="13" borderId="0" xfId="2" applyNumberFormat="1" applyFont="1" applyFill="1" applyAlignment="1">
      <alignment horizontal="center" vertical="center" wrapText="1"/>
    </xf>
    <xf numFmtId="166" fontId="19" fillId="13" borderId="0" xfId="2" applyNumberFormat="1" applyFont="1" applyFill="1" applyAlignment="1">
      <alignment horizontal="center" vertical="center" wrapText="1"/>
    </xf>
    <xf numFmtId="0" fontId="24" fillId="9" borderId="0" xfId="0" applyFont="1" applyFill="1" applyAlignment="1">
      <alignment horizontal="center" vertical="center" wrapText="1"/>
    </xf>
    <xf numFmtId="9" fontId="17" fillId="9" borderId="94" xfId="0" applyNumberFormat="1" applyFont="1" applyFill="1" applyBorder="1" applyAlignment="1">
      <alignment horizontal="center" vertical="center" wrapText="1"/>
    </xf>
    <xf numFmtId="9" fontId="17" fillId="9" borderId="95" xfId="0" applyNumberFormat="1" applyFont="1" applyFill="1" applyBorder="1" applyAlignment="1">
      <alignment horizontal="center" vertical="center" wrapText="1"/>
    </xf>
    <xf numFmtId="166" fontId="17" fillId="9" borderId="95" xfId="0" applyNumberFormat="1" applyFont="1" applyFill="1" applyBorder="1" applyAlignment="1">
      <alignment horizontal="center" vertical="center" wrapText="1"/>
    </xf>
    <xf numFmtId="166" fontId="17" fillId="9" borderId="96" xfId="0" applyNumberFormat="1" applyFont="1" applyFill="1" applyBorder="1" applyAlignment="1">
      <alignment horizontal="center" vertical="center" wrapText="1"/>
    </xf>
    <xf numFmtId="0" fontId="0" fillId="0" borderId="0" xfId="0" applyAlignment="1">
      <alignment wrapText="1"/>
    </xf>
    <xf numFmtId="167" fontId="0" fillId="0" borderId="0" xfId="6" applyFont="1" applyAlignment="1">
      <alignment wrapText="1"/>
    </xf>
    <xf numFmtId="9" fontId="15" fillId="11" borderId="71" xfId="0" applyNumberFormat="1" applyFont="1" applyFill="1" applyBorder="1" applyAlignment="1">
      <alignment horizontal="center" vertical="center" wrapText="1"/>
    </xf>
    <xf numFmtId="166" fontId="0" fillId="9" borderId="95" xfId="2" applyNumberFormat="1" applyFont="1" applyFill="1" applyBorder="1" applyAlignment="1">
      <alignment wrapText="1"/>
    </xf>
    <xf numFmtId="166" fontId="0" fillId="9" borderId="96" xfId="2" applyNumberFormat="1" applyFont="1" applyFill="1" applyBorder="1" applyAlignment="1">
      <alignment wrapText="1"/>
    </xf>
    <xf numFmtId="166" fontId="0" fillId="9" borderId="94" xfId="2" applyNumberFormat="1" applyFont="1" applyFill="1" applyBorder="1" applyAlignment="1">
      <alignment wrapText="1"/>
    </xf>
    <xf numFmtId="0" fontId="25" fillId="0" borderId="0" xfId="0" applyFont="1" applyAlignment="1">
      <alignment wrapText="1"/>
    </xf>
    <xf numFmtId="0" fontId="16" fillId="9" borderId="0" xfId="0" applyFont="1" applyFill="1" applyAlignment="1">
      <alignment wrapText="1"/>
    </xf>
    <xf numFmtId="166" fontId="0" fillId="9" borderId="0" xfId="2" applyNumberFormat="1" applyFont="1" applyFill="1" applyBorder="1" applyAlignment="1">
      <alignment wrapText="1"/>
    </xf>
    <xf numFmtId="165" fontId="3" fillId="6" borderId="45" xfId="7" applyNumberFormat="1" applyFont="1" applyFill="1" applyBorder="1" applyAlignment="1">
      <alignment horizontal="center" vertical="center" wrapText="1"/>
    </xf>
    <xf numFmtId="0" fontId="15" fillId="11" borderId="71" xfId="0" applyFont="1" applyFill="1" applyBorder="1" applyAlignment="1">
      <alignment horizontal="center" vertical="center" wrapText="1"/>
    </xf>
    <xf numFmtId="0" fontId="6" fillId="11" borderId="71" xfId="0" applyFont="1" applyFill="1" applyBorder="1" applyAlignment="1">
      <alignment horizontal="center" vertical="center" wrapText="1"/>
    </xf>
    <xf numFmtId="166" fontId="0" fillId="6" borderId="45" xfId="2" applyNumberFormat="1" applyFont="1" applyFill="1" applyBorder="1" applyAlignment="1">
      <alignment horizontal="center" vertical="center" wrapText="1"/>
    </xf>
    <xf numFmtId="9" fontId="0" fillId="6" borderId="45" xfId="0" applyNumberFormat="1" applyFont="1" applyFill="1" applyBorder="1" applyAlignment="1">
      <alignment horizontal="center" vertical="center" wrapText="1"/>
    </xf>
    <xf numFmtId="9" fontId="0" fillId="6" borderId="45" xfId="2" applyFont="1" applyFill="1" applyBorder="1" applyAlignment="1">
      <alignment horizontal="center" vertical="center" wrapText="1"/>
    </xf>
    <xf numFmtId="0" fontId="0" fillId="6" borderId="45" xfId="0" applyFont="1" applyFill="1" applyBorder="1" applyAlignment="1">
      <alignment horizontal="left" vertical="center" wrapText="1"/>
    </xf>
    <xf numFmtId="0" fontId="3" fillId="18" borderId="0" xfId="0" applyFont="1" applyFill="1" applyAlignment="1">
      <alignment horizontal="left" vertical="center"/>
    </xf>
    <xf numFmtId="0" fontId="11" fillId="18" borderId="0" xfId="0" applyFont="1" applyFill="1" applyAlignment="1">
      <alignment horizontal="left" vertical="center"/>
    </xf>
    <xf numFmtId="165" fontId="3" fillId="7" borderId="45" xfId="7" applyNumberFormat="1" applyFont="1" applyFill="1" applyBorder="1" applyAlignment="1">
      <alignment horizontal="center" vertical="center" wrapText="1"/>
    </xf>
    <xf numFmtId="9" fontId="15" fillId="19" borderId="71" xfId="0" applyNumberFormat="1" applyFont="1" applyFill="1" applyBorder="1" applyAlignment="1">
      <alignment horizontal="center" vertical="center"/>
    </xf>
    <xf numFmtId="0" fontId="15" fillId="19" borderId="71" xfId="0" applyFont="1" applyFill="1" applyBorder="1" applyAlignment="1">
      <alignment horizontal="center" vertical="center" wrapText="1"/>
    </xf>
    <xf numFmtId="9" fontId="6" fillId="19" borderId="71" xfId="0" applyNumberFormat="1" applyFont="1" applyFill="1" applyBorder="1" applyAlignment="1">
      <alignment horizontal="center" vertical="center"/>
    </xf>
    <xf numFmtId="0" fontId="6" fillId="19" borderId="71" xfId="0" applyFont="1" applyFill="1" applyBorder="1" applyAlignment="1">
      <alignment horizontal="center" vertical="center" wrapText="1"/>
    </xf>
    <xf numFmtId="166" fontId="0" fillId="7" borderId="45" xfId="2" applyNumberFormat="1" applyFont="1" applyFill="1" applyBorder="1" applyAlignment="1">
      <alignment horizontal="center" vertical="center"/>
    </xf>
    <xf numFmtId="9" fontId="0" fillId="7" borderId="45" xfId="0" applyNumberFormat="1" applyFont="1" applyFill="1" applyBorder="1" applyAlignment="1">
      <alignment horizontal="center" vertical="center"/>
    </xf>
    <xf numFmtId="9" fontId="0" fillId="7" borderId="45" xfId="2" applyFont="1" applyFill="1" applyBorder="1" applyAlignment="1">
      <alignment horizontal="center" vertical="center"/>
    </xf>
    <xf numFmtId="0" fontId="0" fillId="7" borderId="45" xfId="0" applyFont="1" applyFill="1" applyBorder="1" applyAlignment="1">
      <alignment horizontal="left" vertical="center" wrapText="1"/>
    </xf>
    <xf numFmtId="0" fontId="0" fillId="20" borderId="45" xfId="0" applyFont="1" applyFill="1" applyBorder="1" applyAlignment="1">
      <alignment horizontal="left" vertical="center" wrapText="1"/>
    </xf>
    <xf numFmtId="10" fontId="15" fillId="11" borderId="71" xfId="0" applyNumberFormat="1" applyFont="1" applyFill="1" applyBorder="1" applyAlignment="1">
      <alignment horizontal="center" vertical="center" wrapText="1"/>
    </xf>
    <xf numFmtId="10" fontId="6" fillId="11" borderId="71" xfId="0" applyNumberFormat="1" applyFont="1" applyFill="1" applyBorder="1" applyAlignment="1">
      <alignment horizontal="center" vertical="center" wrapText="1"/>
    </xf>
    <xf numFmtId="10" fontId="6" fillId="19" borderId="71" xfId="0" applyNumberFormat="1" applyFont="1" applyFill="1" applyBorder="1" applyAlignment="1">
      <alignment horizontal="center" vertical="center"/>
    </xf>
    <xf numFmtId="0" fontId="16" fillId="0" borderId="0" xfId="0" applyFont="1" applyAlignment="1">
      <alignment wrapText="1"/>
    </xf>
    <xf numFmtId="44" fontId="2" fillId="5" borderId="12" xfId="5" applyFont="1" applyFill="1" applyBorder="1" applyAlignment="1">
      <alignment horizontal="center" vertical="center" wrapText="1"/>
    </xf>
    <xf numFmtId="0" fontId="2" fillId="5" borderId="18"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17" fillId="6" borderId="2" xfId="0" applyFont="1" applyFill="1" applyBorder="1" applyAlignment="1">
      <alignment vertical="center" wrapText="1"/>
    </xf>
    <xf numFmtId="41" fontId="17" fillId="6" borderId="2" xfId="4" applyFont="1" applyFill="1" applyBorder="1" applyAlignment="1">
      <alignment horizontal="center" vertical="center" wrapText="1"/>
    </xf>
    <xf numFmtId="0" fontId="19" fillId="6" borderId="2" xfId="0" applyFont="1" applyFill="1" applyBorder="1" applyAlignment="1">
      <alignment vertical="center" wrapText="1"/>
    </xf>
    <xf numFmtId="9" fontId="19" fillId="6" borderId="2" xfId="0" applyNumberFormat="1" applyFont="1" applyFill="1" applyBorder="1" applyAlignment="1">
      <alignment vertical="center" wrapText="1"/>
    </xf>
    <xf numFmtId="0" fontId="19" fillId="6" borderId="94" xfId="0" applyFont="1" applyFill="1" applyBorder="1" applyAlignment="1">
      <alignment vertical="center" wrapText="1"/>
    </xf>
    <xf numFmtId="0" fontId="17" fillId="7" borderId="2" xfId="0" applyFont="1" applyFill="1" applyBorder="1" applyAlignment="1">
      <alignment vertical="center" wrapText="1"/>
    </xf>
    <xf numFmtId="41" fontId="19" fillId="7" borderId="2" xfId="4" applyFont="1" applyFill="1" applyBorder="1" applyAlignment="1">
      <alignment horizontal="center" vertical="center" wrapText="1"/>
    </xf>
    <xf numFmtId="3" fontId="17" fillId="7" borderId="2" xfId="0" applyNumberFormat="1" applyFont="1" applyFill="1" applyBorder="1" applyAlignment="1">
      <alignment vertical="center" wrapText="1"/>
    </xf>
    <xf numFmtId="10" fontId="17" fillId="7" borderId="2" xfId="0" applyNumberFormat="1" applyFont="1" applyFill="1" applyBorder="1" applyAlignment="1">
      <alignment vertical="center" wrapText="1"/>
    </xf>
    <xf numFmtId="3" fontId="19" fillId="6" borderId="2" xfId="0" applyNumberFormat="1" applyFont="1" applyFill="1" applyBorder="1" applyAlignment="1">
      <alignment vertical="center" wrapText="1"/>
    </xf>
    <xf numFmtId="0" fontId="19" fillId="7" borderId="2" xfId="0" applyFont="1" applyFill="1" applyBorder="1" applyAlignment="1">
      <alignment vertical="center" wrapText="1"/>
    </xf>
    <xf numFmtId="10" fontId="17" fillId="7" borderId="94" xfId="0" applyNumberFormat="1" applyFont="1" applyFill="1" applyBorder="1" applyAlignment="1">
      <alignment vertical="center" wrapText="1"/>
    </xf>
    <xf numFmtId="10" fontId="19" fillId="7" borderId="2" xfId="0" applyNumberFormat="1" applyFont="1" applyFill="1" applyBorder="1" applyAlignment="1">
      <alignment vertical="center" wrapText="1"/>
    </xf>
    <xf numFmtId="3" fontId="17" fillId="6" borderId="2" xfId="0" applyNumberFormat="1" applyFont="1" applyFill="1" applyBorder="1" applyAlignment="1">
      <alignment vertical="center" wrapText="1"/>
    </xf>
    <xf numFmtId="10" fontId="17" fillId="6" borderId="2" xfId="0" applyNumberFormat="1" applyFont="1" applyFill="1" applyBorder="1" applyAlignment="1">
      <alignment vertical="center" wrapText="1"/>
    </xf>
    <xf numFmtId="0" fontId="17" fillId="7" borderId="94" xfId="0" applyFont="1" applyFill="1" applyBorder="1" applyAlignment="1">
      <alignment vertical="center" wrapText="1"/>
    </xf>
    <xf numFmtId="0" fontId="17" fillId="6" borderId="2" xfId="0" applyFont="1" applyFill="1" applyBorder="1" applyAlignment="1">
      <alignment horizontal="center" vertical="center" wrapText="1"/>
    </xf>
    <xf numFmtId="41" fontId="17" fillId="7" borderId="2" xfId="4" applyFont="1" applyFill="1" applyBorder="1" applyAlignment="1">
      <alignment horizontal="center" vertical="center" wrapText="1"/>
    </xf>
    <xf numFmtId="9" fontId="19" fillId="7" borderId="2" xfId="0" applyNumberFormat="1" applyFont="1" applyFill="1" applyBorder="1" applyAlignment="1">
      <alignment vertical="center" wrapText="1"/>
    </xf>
    <xf numFmtId="0" fontId="19" fillId="7" borderId="94" xfId="0" applyFont="1" applyFill="1" applyBorder="1" applyAlignment="1">
      <alignment vertical="center" wrapText="1"/>
    </xf>
    <xf numFmtId="41" fontId="17" fillId="7" borderId="2" xfId="4" applyFont="1" applyFill="1" applyBorder="1" applyAlignment="1">
      <alignment vertical="center" wrapText="1"/>
    </xf>
    <xf numFmtId="167" fontId="17" fillId="7" borderId="2" xfId="6" applyFont="1" applyFill="1" applyBorder="1" applyAlignment="1">
      <alignment vertical="center" wrapText="1"/>
    </xf>
    <xf numFmtId="0" fontId="17" fillId="6" borderId="2" xfId="0" applyFont="1" applyFill="1" applyBorder="1" applyAlignment="1">
      <alignment wrapText="1"/>
    </xf>
    <xf numFmtId="0" fontId="17" fillId="6" borderId="2" xfId="0" applyNumberFormat="1" applyFont="1" applyFill="1" applyBorder="1" applyAlignment="1">
      <alignment vertical="center" wrapText="1"/>
    </xf>
    <xf numFmtId="0" fontId="19" fillId="6" borderId="2" xfId="0" applyNumberFormat="1" applyFont="1" applyFill="1" applyBorder="1" applyAlignment="1">
      <alignment vertical="center" wrapText="1"/>
    </xf>
    <xf numFmtId="10" fontId="25" fillId="6" borderId="2" xfId="0" applyNumberFormat="1" applyFont="1" applyFill="1" applyBorder="1" applyAlignment="1">
      <alignment horizontal="center" vertical="center"/>
    </xf>
    <xf numFmtId="0" fontId="19" fillId="6" borderId="2" xfId="0" applyFont="1" applyFill="1" applyBorder="1" applyAlignment="1">
      <alignment wrapText="1"/>
    </xf>
    <xf numFmtId="0" fontId="19" fillId="6" borderId="94" xfId="0" applyFont="1" applyFill="1" applyBorder="1" applyAlignment="1">
      <alignment wrapText="1"/>
    </xf>
    <xf numFmtId="10" fontId="19" fillId="6" borderId="2" xfId="0" applyNumberFormat="1" applyFont="1" applyFill="1" applyBorder="1" applyAlignment="1">
      <alignment horizontal="center" vertical="center"/>
    </xf>
    <xf numFmtId="41" fontId="17" fillId="6" borderId="2" xfId="4" applyFont="1" applyFill="1" applyBorder="1" applyAlignment="1">
      <alignment vertical="center" wrapText="1"/>
    </xf>
    <xf numFmtId="167" fontId="17" fillId="6" borderId="2" xfId="6" applyFont="1" applyFill="1" applyBorder="1" applyAlignment="1">
      <alignment vertical="center" wrapText="1"/>
    </xf>
    <xf numFmtId="9" fontId="18" fillId="7" borderId="2" xfId="0" applyNumberFormat="1" applyFont="1" applyFill="1" applyBorder="1" applyAlignment="1">
      <alignment vertical="center" wrapText="1"/>
    </xf>
    <xf numFmtId="10" fontId="27" fillId="11" borderId="103" xfId="0" applyNumberFormat="1" applyFont="1" applyFill="1" applyBorder="1" applyAlignment="1">
      <alignment horizontal="right"/>
    </xf>
    <xf numFmtId="0" fontId="0" fillId="0" borderId="0" xfId="0" applyBorder="1"/>
    <xf numFmtId="10" fontId="0" fillId="0" borderId="0" xfId="0" applyNumberFormat="1"/>
    <xf numFmtId="166" fontId="0" fillId="0" borderId="0" xfId="0" applyNumberFormat="1"/>
    <xf numFmtId="170" fontId="0" fillId="0" borderId="0" xfId="0" applyNumberFormat="1"/>
    <xf numFmtId="0" fontId="3" fillId="7" borderId="45" xfId="0" applyFont="1" applyFill="1" applyBorder="1" applyAlignment="1">
      <alignment horizontal="center" vertical="center" wrapText="1"/>
    </xf>
    <xf numFmtId="9" fontId="3" fillId="7" borderId="45" xfId="2" applyFont="1" applyFill="1" applyBorder="1" applyAlignment="1">
      <alignment horizontal="center" vertical="center" wrapText="1"/>
    </xf>
    <xf numFmtId="9" fontId="3" fillId="7" borderId="45" xfId="0" applyNumberFormat="1" applyFont="1" applyFill="1" applyBorder="1" applyAlignment="1">
      <alignment horizontal="center" vertical="center" wrapText="1"/>
    </xf>
    <xf numFmtId="0" fontId="2" fillId="4" borderId="10" xfId="0" applyFont="1" applyFill="1" applyBorder="1" applyAlignment="1">
      <alignment horizontal="center" vertical="center"/>
    </xf>
    <xf numFmtId="0" fontId="2" fillId="4" borderId="0" xfId="0" applyFont="1" applyFill="1" applyAlignment="1">
      <alignment horizontal="center" vertical="center"/>
    </xf>
    <xf numFmtId="0" fontId="3" fillId="6" borderId="45" xfId="0" applyFont="1" applyFill="1" applyBorder="1" applyAlignment="1">
      <alignment horizontal="center" vertical="center" wrapText="1"/>
    </xf>
    <xf numFmtId="9" fontId="3" fillId="6" borderId="45" xfId="2" applyFont="1" applyFill="1" applyBorder="1" applyAlignment="1">
      <alignment horizontal="center" vertical="center" wrapText="1"/>
    </xf>
    <xf numFmtId="167" fontId="17" fillId="7" borderId="0" xfId="6" applyFont="1" applyFill="1" applyAlignment="1">
      <alignment horizontal="center" vertical="center" wrapText="1"/>
    </xf>
    <xf numFmtId="0" fontId="17" fillId="6" borderId="0" xfId="0" applyFont="1" applyFill="1" applyAlignment="1">
      <alignment horizontal="center" vertical="center" wrapText="1"/>
    </xf>
    <xf numFmtId="167" fontId="17" fillId="6" borderId="0" xfId="6" applyFont="1" applyFill="1" applyAlignment="1">
      <alignment horizontal="center" vertical="center" wrapText="1"/>
    </xf>
    <xf numFmtId="0" fontId="17" fillId="7" borderId="0" xfId="0" applyFont="1" applyFill="1" applyAlignment="1">
      <alignment horizontal="center" vertical="center" wrapText="1"/>
    </xf>
    <xf numFmtId="0" fontId="2" fillId="4" borderId="10" xfId="0" applyFont="1" applyFill="1" applyBorder="1" applyAlignment="1">
      <alignment horizontal="center" vertical="center" wrapText="1"/>
    </xf>
    <xf numFmtId="9" fontId="17" fillId="6" borderId="0" xfId="0" applyNumberFormat="1" applyFont="1" applyFill="1" applyAlignment="1">
      <alignment horizontal="center" vertical="center" wrapText="1"/>
    </xf>
    <xf numFmtId="9" fontId="17" fillId="6" borderId="0" xfId="2" applyFont="1" applyFill="1" applyAlignment="1">
      <alignment horizontal="center" vertical="center" wrapText="1"/>
    </xf>
    <xf numFmtId="1" fontId="3" fillId="6" borderId="45" xfId="2" applyNumberFormat="1" applyFont="1" applyFill="1" applyBorder="1" applyAlignment="1">
      <alignment horizontal="center" vertical="center" wrapText="1"/>
    </xf>
    <xf numFmtId="9" fontId="28" fillId="4" borderId="0" xfId="0" applyNumberFormat="1" applyFont="1" applyFill="1" applyAlignment="1">
      <alignment horizontal="center" vertical="center" wrapText="1"/>
    </xf>
    <xf numFmtId="0" fontId="28" fillId="4" borderId="0" xfId="0" applyFont="1" applyFill="1" applyAlignment="1">
      <alignment horizontal="center" vertical="center" wrapText="1"/>
    </xf>
    <xf numFmtId="0" fontId="0" fillId="2" borderId="0" xfId="0" applyFill="1" applyAlignment="1">
      <alignment vertical="center" wrapText="1"/>
    </xf>
    <xf numFmtId="9" fontId="17" fillId="7" borderId="0" xfId="2" applyFont="1" applyFill="1" applyAlignment="1">
      <alignment horizontal="center" vertical="center" wrapText="1"/>
    </xf>
    <xf numFmtId="166" fontId="16" fillId="2" borderId="0" xfId="0" applyNumberFormat="1" applyFont="1" applyFill="1" applyAlignment="1">
      <alignment horizontal="center" vertical="center" wrapText="1"/>
    </xf>
    <xf numFmtId="42" fontId="17" fillId="6" borderId="0" xfId="8" applyFont="1" applyFill="1" applyAlignment="1">
      <alignment horizontal="center" vertical="center" wrapText="1"/>
    </xf>
    <xf numFmtId="171" fontId="3" fillId="7" borderId="45" xfId="5" applyNumberFormat="1" applyFont="1" applyFill="1" applyBorder="1" applyAlignment="1">
      <alignment horizontal="center" vertical="center" wrapText="1"/>
    </xf>
    <xf numFmtId="171" fontId="3" fillId="6" borderId="45" xfId="5" applyNumberFormat="1" applyFont="1" applyFill="1" applyBorder="1" applyAlignment="1">
      <alignment horizontal="center" vertical="center" wrapText="1"/>
    </xf>
    <xf numFmtId="9" fontId="17" fillId="13" borderId="0" xfId="2" applyFont="1" applyFill="1" applyAlignment="1">
      <alignment horizontal="center" vertical="center" wrapText="1"/>
    </xf>
    <xf numFmtId="10" fontId="17" fillId="7" borderId="0" xfId="2" applyNumberFormat="1" applyFont="1" applyFill="1" applyAlignment="1">
      <alignment horizontal="center" vertical="center" wrapText="1"/>
    </xf>
    <xf numFmtId="0" fontId="17" fillId="7" borderId="0" xfId="0" applyFont="1" applyFill="1" applyAlignment="1">
      <alignment horizontal="left" vertical="center" wrapText="1"/>
    </xf>
    <xf numFmtId="0" fontId="0" fillId="2" borderId="0" xfId="0" applyFill="1" applyAlignment="1">
      <alignment wrapText="1"/>
    </xf>
    <xf numFmtId="0" fontId="2" fillId="2" borderId="0" xfId="0" applyFont="1" applyFill="1" applyAlignment="1">
      <alignment horizontal="center" vertical="center" wrapText="1"/>
    </xf>
    <xf numFmtId="0" fontId="17" fillId="2" borderId="0" xfId="0" applyFont="1" applyFill="1" applyAlignment="1">
      <alignment horizontal="center" vertical="center" wrapText="1"/>
    </xf>
    <xf numFmtId="167" fontId="0" fillId="2" borderId="0" xfId="6" applyFont="1" applyFill="1" applyAlignment="1">
      <alignment vertical="center" wrapText="1"/>
    </xf>
    <xf numFmtId="0" fontId="0" fillId="0" borderId="0" xfId="0" applyAlignment="1">
      <alignment vertical="center" wrapText="1"/>
    </xf>
    <xf numFmtId="167" fontId="0" fillId="2" borderId="0" xfId="6" applyFont="1" applyFill="1" applyAlignment="1">
      <alignment wrapText="1"/>
    </xf>
    <xf numFmtId="165" fontId="3" fillId="7" borderId="57" xfId="5" applyNumberFormat="1" applyFont="1" applyFill="1" applyBorder="1" applyAlignment="1">
      <alignment vertical="center" wrapText="1"/>
    </xf>
    <xf numFmtId="165" fontId="3" fillId="6" borderId="40" xfId="5" applyNumberFormat="1" applyFont="1" applyFill="1" applyBorder="1" applyAlignment="1">
      <alignment vertical="center" wrapText="1"/>
    </xf>
    <xf numFmtId="1" fontId="3" fillId="6" borderId="45" xfId="4" applyNumberFormat="1" applyFont="1" applyFill="1" applyBorder="1" applyAlignment="1">
      <alignment horizontal="center" vertical="center" wrapText="1"/>
    </xf>
    <xf numFmtId="9" fontId="8" fillId="9" borderId="33" xfId="0" applyNumberFormat="1" applyFont="1" applyFill="1" applyBorder="1" applyAlignment="1">
      <alignment horizontal="center" vertical="center" wrapText="1"/>
    </xf>
    <xf numFmtId="44" fontId="2" fillId="5" borderId="16" xfId="5" applyFont="1" applyFill="1" applyBorder="1" applyAlignment="1">
      <alignment horizontal="center" vertical="center"/>
    </xf>
    <xf numFmtId="0" fontId="2" fillId="5" borderId="9" xfId="0" applyFont="1" applyFill="1" applyBorder="1" applyAlignment="1">
      <alignment horizontal="center" vertical="center"/>
    </xf>
    <xf numFmtId="172" fontId="3" fillId="7" borderId="45" xfId="2" applyNumberFormat="1" applyFont="1" applyFill="1" applyBorder="1" applyAlignment="1">
      <alignment horizontal="center" vertical="center" wrapText="1"/>
    </xf>
    <xf numFmtId="1" fontId="3" fillId="7" borderId="45" xfId="2" applyNumberFormat="1" applyFont="1" applyFill="1" applyBorder="1" applyAlignment="1">
      <alignment horizontal="center" vertical="center" wrapText="1"/>
    </xf>
    <xf numFmtId="1" fontId="0" fillId="6" borderId="45" xfId="2" applyNumberFormat="1" applyFont="1" applyFill="1" applyBorder="1" applyAlignment="1">
      <alignment horizontal="center" vertical="center" wrapText="1"/>
    </xf>
    <xf numFmtId="166" fontId="3" fillId="6" borderId="45" xfId="2" applyNumberFormat="1" applyFont="1" applyFill="1" applyBorder="1" applyAlignment="1">
      <alignment horizontal="center" vertical="center" wrapText="1"/>
    </xf>
    <xf numFmtId="166" fontId="3" fillId="7" borderId="45" xfId="2" applyNumberFormat="1" applyFont="1" applyFill="1" applyBorder="1" applyAlignment="1">
      <alignment horizontal="center" vertical="center" wrapText="1"/>
    </xf>
    <xf numFmtId="9" fontId="3" fillId="7" borderId="45" xfId="2" applyFont="1" applyFill="1" applyBorder="1" applyAlignment="1">
      <alignment horizontal="center" vertical="center" wrapText="1"/>
    </xf>
    <xf numFmtId="9" fontId="3" fillId="6" borderId="45" xfId="2" applyFont="1" applyFill="1" applyBorder="1" applyAlignment="1">
      <alignment horizontal="center" vertical="center" wrapText="1"/>
    </xf>
    <xf numFmtId="9" fontId="17" fillId="6" borderId="0" xfId="2" applyFont="1" applyFill="1" applyAlignment="1">
      <alignment horizontal="center" vertical="center" wrapText="1"/>
    </xf>
    <xf numFmtId="9" fontId="6" fillId="7" borderId="45" xfId="2" applyFont="1" applyFill="1" applyBorder="1" applyAlignment="1">
      <alignment horizontal="center" vertical="center" wrapText="1"/>
    </xf>
    <xf numFmtId="0" fontId="6" fillId="7" borderId="45" xfId="0" applyFont="1" applyFill="1" applyBorder="1" applyAlignment="1">
      <alignment horizontal="center" vertical="center" wrapText="1"/>
    </xf>
    <xf numFmtId="0" fontId="2" fillId="4" borderId="10" xfId="0" applyFont="1" applyFill="1" applyBorder="1" applyAlignment="1">
      <alignment horizontal="center" vertical="center"/>
    </xf>
    <xf numFmtId="0" fontId="2" fillId="5" borderId="12" xfId="0" applyFont="1" applyFill="1" applyBorder="1" applyAlignment="1">
      <alignment horizontal="center" vertical="center"/>
    </xf>
    <xf numFmtId="0" fontId="2" fillId="4" borderId="0" xfId="0" applyFont="1" applyFill="1" applyAlignment="1">
      <alignment horizontal="center" vertical="center"/>
    </xf>
    <xf numFmtId="9" fontId="6" fillId="7" borderId="45" xfId="2" applyFont="1" applyFill="1" applyBorder="1" applyAlignment="1">
      <alignment horizontal="center" vertical="center"/>
    </xf>
    <xf numFmtId="0" fontId="6" fillId="7" borderId="45" xfId="0" applyFont="1" applyFill="1" applyBorder="1" applyAlignment="1">
      <alignment horizontal="center" vertical="center"/>
    </xf>
    <xf numFmtId="0" fontId="14" fillId="7" borderId="45" xfId="0" applyFont="1" applyFill="1" applyBorder="1" applyAlignment="1">
      <alignment horizontal="center" vertical="center"/>
    </xf>
    <xf numFmtId="9" fontId="6" fillId="6" borderId="45" xfId="2" applyFont="1" applyFill="1" applyBorder="1" applyAlignment="1">
      <alignment horizontal="center" vertical="center" wrapText="1"/>
    </xf>
    <xf numFmtId="0" fontId="6" fillId="6" borderId="45"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7" borderId="12" xfId="0" applyFont="1" applyFill="1" applyBorder="1" applyAlignment="1">
      <alignment horizontal="center" vertical="center" wrapText="1"/>
    </xf>
    <xf numFmtId="0" fontId="3" fillId="7" borderId="13" xfId="0" applyFont="1" applyFill="1" applyBorder="1" applyAlignment="1">
      <alignment horizontal="center" vertical="center" wrapText="1"/>
    </xf>
    <xf numFmtId="0" fontId="3" fillId="7" borderId="8" xfId="0" applyFont="1" applyFill="1" applyBorder="1" applyAlignment="1">
      <alignment horizontal="center" vertical="center" wrapText="1"/>
    </xf>
    <xf numFmtId="0" fontId="7" fillId="9" borderId="33" xfId="0" applyFont="1" applyFill="1" applyBorder="1" applyAlignment="1">
      <alignment horizontal="center" vertical="center" wrapText="1"/>
    </xf>
    <xf numFmtId="0" fontId="4" fillId="2" borderId="0" xfId="0" applyFont="1" applyFill="1" applyAlignment="1">
      <alignment horizontal="center" vertical="center"/>
    </xf>
    <xf numFmtId="0" fontId="4" fillId="2" borderId="1" xfId="0" applyFont="1" applyFill="1" applyBorder="1" applyAlignment="1">
      <alignment horizontal="center" vertical="center"/>
    </xf>
    <xf numFmtId="0" fontId="3" fillId="8" borderId="58" xfId="0" applyFont="1" applyFill="1" applyBorder="1" applyAlignment="1">
      <alignment horizontal="center" vertical="center"/>
    </xf>
    <xf numFmtId="0" fontId="3" fillId="8" borderId="4" xfId="0" applyFont="1" applyFill="1" applyBorder="1" applyAlignment="1">
      <alignment horizontal="center" vertical="center"/>
    </xf>
    <xf numFmtId="0" fontId="3" fillId="8" borderId="45" xfId="0" applyFont="1" applyFill="1" applyBorder="1" applyAlignment="1">
      <alignment horizontal="center" vertical="center"/>
    </xf>
    <xf numFmtId="0" fontId="3" fillId="8" borderId="54" xfId="0" applyFont="1" applyFill="1" applyBorder="1" applyAlignment="1">
      <alignment horizontal="center" vertical="center"/>
    </xf>
    <xf numFmtId="0" fontId="3" fillId="8" borderId="55" xfId="0" applyFont="1" applyFill="1" applyBorder="1" applyAlignment="1">
      <alignment horizontal="center" vertical="center"/>
    </xf>
    <xf numFmtId="0" fontId="3" fillId="8" borderId="56" xfId="0" applyFont="1" applyFill="1" applyBorder="1" applyAlignment="1">
      <alignment horizontal="center" vertical="center"/>
    </xf>
    <xf numFmtId="0" fontId="3" fillId="7" borderId="45" xfId="0" applyFont="1" applyFill="1" applyBorder="1" applyAlignment="1">
      <alignment horizontal="center" vertical="center" wrapText="1"/>
    </xf>
    <xf numFmtId="9" fontId="3" fillId="7" borderId="45" xfId="2" applyFont="1" applyFill="1" applyBorder="1" applyAlignment="1">
      <alignment horizontal="center" vertical="center" wrapText="1"/>
    </xf>
    <xf numFmtId="9" fontId="3" fillId="7" borderId="45" xfId="0" applyNumberFormat="1" applyFont="1" applyFill="1" applyBorder="1" applyAlignment="1">
      <alignment horizontal="center" vertical="center" wrapText="1"/>
    </xf>
    <xf numFmtId="9" fontId="3" fillId="8" borderId="54" xfId="0" applyNumberFormat="1" applyFont="1" applyFill="1" applyBorder="1" applyAlignment="1">
      <alignment horizontal="center" vertical="center" wrapText="1"/>
    </xf>
    <xf numFmtId="9" fontId="3" fillId="8" borderId="55" xfId="0" applyNumberFormat="1" applyFont="1" applyFill="1" applyBorder="1" applyAlignment="1">
      <alignment horizontal="center" vertical="center" wrapText="1"/>
    </xf>
    <xf numFmtId="9" fontId="3" fillId="8" borderId="56" xfId="0" applyNumberFormat="1" applyFont="1" applyFill="1" applyBorder="1" applyAlignment="1">
      <alignment horizontal="center" vertical="center" wrapText="1"/>
    </xf>
    <xf numFmtId="0" fontId="3" fillId="7" borderId="19" xfId="0" applyFont="1" applyFill="1" applyBorder="1" applyAlignment="1">
      <alignment horizontal="center" vertical="center" wrapText="1"/>
    </xf>
    <xf numFmtId="0" fontId="3" fillId="7" borderId="49" xfId="0" applyFont="1" applyFill="1" applyBorder="1" applyAlignment="1">
      <alignment horizontal="center" vertical="center" wrapText="1"/>
    </xf>
    <xf numFmtId="0" fontId="2" fillId="4" borderId="3" xfId="0" applyFont="1" applyFill="1" applyBorder="1" applyAlignment="1">
      <alignment horizontal="center" vertical="center"/>
    </xf>
    <xf numFmtId="0" fontId="2" fillId="4" borderId="4" xfId="0" applyFont="1" applyFill="1" applyBorder="1" applyAlignment="1">
      <alignment horizontal="center" vertical="center"/>
    </xf>
    <xf numFmtId="0" fontId="2" fillId="4" borderId="5" xfId="0" applyFont="1" applyFill="1" applyBorder="1" applyAlignment="1">
      <alignment horizontal="center" vertical="center"/>
    </xf>
    <xf numFmtId="0" fontId="2" fillId="4" borderId="9" xfId="0" applyFont="1" applyFill="1" applyBorder="1" applyAlignment="1">
      <alignment horizontal="center" vertical="center"/>
    </xf>
    <xf numFmtId="0" fontId="2" fillId="4" borderId="10" xfId="0" applyFont="1" applyFill="1" applyBorder="1" applyAlignment="1">
      <alignment horizontal="center" vertical="center"/>
    </xf>
    <xf numFmtId="0" fontId="2" fillId="4" borderId="14" xfId="0" applyFont="1" applyFill="1" applyBorder="1" applyAlignment="1">
      <alignment horizontal="center" vertical="center"/>
    </xf>
    <xf numFmtId="0" fontId="2" fillId="4" borderId="15" xfId="0" applyFont="1" applyFill="1" applyBorder="1" applyAlignment="1">
      <alignment horizontal="center" vertical="center"/>
    </xf>
    <xf numFmtId="0" fontId="2" fillId="4" borderId="11" xfId="0" applyFont="1" applyFill="1" applyBorder="1" applyAlignment="1">
      <alignment horizontal="center" vertical="center"/>
    </xf>
    <xf numFmtId="0" fontId="3" fillId="6" borderId="24" xfId="0" applyFont="1" applyFill="1" applyBorder="1" applyAlignment="1">
      <alignment horizontal="center" vertical="center" wrapText="1"/>
    </xf>
    <xf numFmtId="0" fontId="3" fillId="6" borderId="31" xfId="0" applyFont="1" applyFill="1" applyBorder="1" applyAlignment="1">
      <alignment horizontal="center" vertical="center" wrapText="1"/>
    </xf>
    <xf numFmtId="9" fontId="3" fillId="6" borderId="24" xfId="2" applyFont="1" applyFill="1" applyBorder="1" applyAlignment="1">
      <alignment horizontal="center" vertical="center" wrapText="1"/>
    </xf>
    <xf numFmtId="9" fontId="3" fillId="6" borderId="31" xfId="2"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32" xfId="0" applyFont="1" applyFill="1" applyBorder="1" applyAlignment="1">
      <alignment horizontal="center" vertical="center" wrapText="1"/>
    </xf>
    <xf numFmtId="0" fontId="3" fillId="8" borderId="40" xfId="0" applyFont="1" applyFill="1" applyBorder="1" applyAlignment="1">
      <alignment horizontal="center" vertical="center" wrapText="1"/>
    </xf>
    <xf numFmtId="0" fontId="3" fillId="8" borderId="41" xfId="0" applyFont="1" applyFill="1" applyBorder="1" applyAlignment="1">
      <alignment horizontal="center" vertical="center" wrapText="1"/>
    </xf>
    <xf numFmtId="0" fontId="3" fillId="8" borderId="42" xfId="0" applyFont="1" applyFill="1" applyBorder="1" applyAlignment="1">
      <alignment horizontal="center" vertical="center" wrapText="1"/>
    </xf>
    <xf numFmtId="0" fontId="7" fillId="9" borderId="29" xfId="0" applyFont="1" applyFill="1" applyBorder="1" applyAlignment="1">
      <alignment horizontal="center" vertical="center" wrapText="1"/>
    </xf>
    <xf numFmtId="0" fontId="2" fillId="5" borderId="12" xfId="0" applyFont="1" applyFill="1" applyBorder="1" applyAlignment="1">
      <alignment horizontal="center" vertical="center"/>
    </xf>
    <xf numFmtId="0" fontId="2" fillId="5" borderId="8"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xf>
    <xf numFmtId="0" fontId="2" fillId="3" borderId="5" xfId="0" applyFont="1" applyFill="1" applyBorder="1" applyAlignment="1">
      <alignment horizontal="center" vertical="center"/>
    </xf>
    <xf numFmtId="0" fontId="2" fillId="4" borderId="6" xfId="0" applyFont="1" applyFill="1" applyBorder="1" applyAlignment="1">
      <alignment horizontal="center" vertical="center"/>
    </xf>
    <xf numFmtId="0" fontId="2" fillId="4" borderId="0" xfId="0" applyFont="1" applyFill="1" applyAlignment="1">
      <alignment horizontal="center" vertical="center"/>
    </xf>
    <xf numFmtId="0" fontId="2" fillId="4" borderId="7" xfId="0" applyFont="1" applyFill="1" applyBorder="1" applyAlignment="1">
      <alignment horizontal="center" vertical="center"/>
    </xf>
    <xf numFmtId="164" fontId="2" fillId="4" borderId="6" xfId="1" applyFont="1" applyFill="1" applyBorder="1" applyAlignment="1">
      <alignment horizontal="center" vertical="center"/>
    </xf>
    <xf numFmtId="164" fontId="2" fillId="4" borderId="7" xfId="1" applyFont="1" applyFill="1" applyBorder="1" applyAlignment="1">
      <alignment horizontal="center" vertical="center"/>
    </xf>
    <xf numFmtId="164" fontId="2" fillId="4" borderId="3" xfId="1" applyFont="1" applyFill="1" applyBorder="1" applyAlignment="1">
      <alignment horizontal="center" vertical="center"/>
    </xf>
    <xf numFmtId="164" fontId="2" fillId="4" borderId="5" xfId="1" applyFont="1" applyFill="1" applyBorder="1" applyAlignment="1">
      <alignment horizontal="center" vertical="center"/>
    </xf>
    <xf numFmtId="0" fontId="2" fillId="4" borderId="8" xfId="0" applyFont="1" applyFill="1" applyBorder="1" applyAlignment="1">
      <alignment horizontal="center" vertical="center"/>
    </xf>
    <xf numFmtId="0" fontId="2" fillId="4" borderId="13" xfId="0" applyFont="1" applyFill="1" applyBorder="1" applyAlignment="1">
      <alignment horizontal="center" vertical="center"/>
    </xf>
    <xf numFmtId="0" fontId="3" fillId="6" borderId="17" xfId="0" applyFont="1" applyFill="1" applyBorder="1" applyAlignment="1">
      <alignment horizontal="center" vertical="center" wrapText="1"/>
    </xf>
    <xf numFmtId="0" fontId="3" fillId="6" borderId="26" xfId="0" applyFont="1" applyFill="1" applyBorder="1" applyAlignment="1">
      <alignment horizontal="center" vertical="center" wrapText="1"/>
    </xf>
    <xf numFmtId="0" fontId="3" fillId="6" borderId="18"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7" borderId="27" xfId="0" applyFont="1" applyFill="1" applyBorder="1" applyAlignment="1">
      <alignment horizontal="center" vertical="center" wrapText="1"/>
    </xf>
    <xf numFmtId="0" fontId="3" fillId="7" borderId="20" xfId="0" applyFont="1" applyFill="1" applyBorder="1" applyAlignment="1">
      <alignment horizontal="center" vertical="center" wrapText="1"/>
    </xf>
    <xf numFmtId="0" fontId="3" fillId="7" borderId="28" xfId="0" applyFont="1" applyFill="1" applyBorder="1" applyAlignment="1">
      <alignment horizontal="center" vertical="center" wrapText="1"/>
    </xf>
    <xf numFmtId="0" fontId="6" fillId="6" borderId="24" xfId="0" applyFont="1" applyFill="1" applyBorder="1" applyAlignment="1">
      <alignment horizontal="center" vertical="center" wrapText="1"/>
    </xf>
    <xf numFmtId="0" fontId="6" fillId="6" borderId="31" xfId="0" applyFont="1" applyFill="1" applyBorder="1" applyAlignment="1">
      <alignment horizontal="center" vertical="center" wrapText="1"/>
    </xf>
    <xf numFmtId="9" fontId="6" fillId="6" borderId="24" xfId="2" applyFont="1" applyFill="1" applyBorder="1" applyAlignment="1">
      <alignment horizontal="center" vertical="center" wrapText="1"/>
    </xf>
    <xf numFmtId="9" fontId="6" fillId="6" borderId="31" xfId="2" applyFont="1" applyFill="1" applyBorder="1" applyAlignment="1">
      <alignment horizontal="center" vertical="center" wrapText="1"/>
    </xf>
    <xf numFmtId="0" fontId="6" fillId="6" borderId="25" xfId="0" applyFont="1" applyFill="1" applyBorder="1" applyAlignment="1">
      <alignment horizontal="center" vertical="center" wrapText="1"/>
    </xf>
    <xf numFmtId="0" fontId="6" fillId="6" borderId="32" xfId="0" applyFont="1" applyFill="1" applyBorder="1" applyAlignment="1">
      <alignment horizontal="center" vertical="center" wrapText="1"/>
    </xf>
    <xf numFmtId="165" fontId="3" fillId="6" borderId="22" xfId="1" applyNumberFormat="1" applyFont="1" applyFill="1" applyBorder="1" applyAlignment="1">
      <alignment horizontal="center" vertical="center" wrapText="1"/>
    </xf>
    <xf numFmtId="165" fontId="3" fillId="6" borderId="30" xfId="1" applyNumberFormat="1" applyFont="1" applyFill="1" applyBorder="1" applyAlignment="1">
      <alignment horizontal="center" vertical="center" wrapText="1"/>
    </xf>
    <xf numFmtId="165" fontId="3" fillId="6" borderId="37" xfId="1" applyNumberFormat="1" applyFont="1" applyFill="1" applyBorder="1" applyAlignment="1">
      <alignment horizontal="center" vertical="center" wrapText="1"/>
    </xf>
    <xf numFmtId="165" fontId="3" fillId="6" borderId="23" xfId="1" applyNumberFormat="1" applyFont="1" applyFill="1" applyBorder="1" applyAlignment="1">
      <alignment horizontal="center" vertical="center" wrapText="1"/>
    </xf>
    <xf numFmtId="165" fontId="3" fillId="6" borderId="0" xfId="1" applyNumberFormat="1" applyFont="1" applyFill="1" applyBorder="1" applyAlignment="1">
      <alignment horizontal="center" vertical="center" wrapText="1"/>
    </xf>
    <xf numFmtId="165" fontId="3" fillId="6" borderId="59" xfId="1" applyNumberFormat="1" applyFont="1" applyFill="1" applyBorder="1" applyAlignment="1">
      <alignment horizontal="center" vertical="center" wrapText="1"/>
    </xf>
    <xf numFmtId="0" fontId="3" fillId="6" borderId="38" xfId="0" applyFont="1" applyFill="1" applyBorder="1" applyAlignment="1">
      <alignment horizontal="center" vertical="center" wrapText="1"/>
    </xf>
    <xf numFmtId="165" fontId="3" fillId="6" borderId="46" xfId="1" applyNumberFormat="1" applyFont="1" applyFill="1" applyBorder="1" applyAlignment="1">
      <alignment horizontal="center" vertical="center" wrapText="1"/>
    </xf>
    <xf numFmtId="165" fontId="3" fillId="6" borderId="50" xfId="1" applyNumberFormat="1" applyFont="1" applyFill="1" applyBorder="1" applyAlignment="1">
      <alignment horizontal="center" vertical="center" wrapText="1"/>
    </xf>
    <xf numFmtId="165" fontId="3" fillId="6" borderId="53" xfId="1" applyNumberFormat="1" applyFont="1" applyFill="1" applyBorder="1" applyAlignment="1">
      <alignment horizontal="center" vertical="center" wrapText="1"/>
    </xf>
    <xf numFmtId="0" fontId="3" fillId="6" borderId="45" xfId="0" applyFont="1" applyFill="1" applyBorder="1" applyAlignment="1">
      <alignment horizontal="center" vertical="center" wrapText="1"/>
    </xf>
    <xf numFmtId="9" fontId="3" fillId="6" borderId="45" xfId="2" applyFont="1" applyFill="1" applyBorder="1" applyAlignment="1">
      <alignment horizontal="center" vertical="center" wrapText="1"/>
    </xf>
    <xf numFmtId="0" fontId="6" fillId="8" borderId="40" xfId="0" applyFont="1" applyFill="1" applyBorder="1" applyAlignment="1">
      <alignment horizontal="center" vertical="center" wrapText="1"/>
    </xf>
    <xf numFmtId="0" fontId="6" fillId="8" borderId="41" xfId="0" applyFont="1" applyFill="1" applyBorder="1" applyAlignment="1">
      <alignment horizontal="center" vertical="center" wrapText="1"/>
    </xf>
    <xf numFmtId="0" fontId="6" fillId="8" borderId="42" xfId="0" applyFont="1" applyFill="1" applyBorder="1" applyAlignment="1">
      <alignment horizontal="center" vertical="center" wrapText="1"/>
    </xf>
    <xf numFmtId="0" fontId="9" fillId="9" borderId="33" xfId="0" applyFont="1" applyFill="1" applyBorder="1" applyAlignment="1">
      <alignment horizontal="center" vertical="center" wrapText="1"/>
    </xf>
    <xf numFmtId="0" fontId="9" fillId="9" borderId="29" xfId="0" applyFont="1" applyFill="1" applyBorder="1" applyAlignment="1">
      <alignment horizontal="center" vertical="center" wrapText="1"/>
    </xf>
    <xf numFmtId="0" fontId="3" fillId="7" borderId="43" xfId="0" applyFont="1" applyFill="1" applyBorder="1" applyAlignment="1">
      <alignment horizontal="center" vertical="center" wrapText="1"/>
    </xf>
    <xf numFmtId="0" fontId="3" fillId="7" borderId="47" xfId="0" applyFont="1" applyFill="1" applyBorder="1" applyAlignment="1">
      <alignment horizontal="center" vertical="center" wrapText="1"/>
    </xf>
    <xf numFmtId="0" fontId="3" fillId="7" borderId="44" xfId="0" applyFont="1" applyFill="1" applyBorder="1" applyAlignment="1">
      <alignment horizontal="center" vertical="center" wrapText="1"/>
    </xf>
    <xf numFmtId="0" fontId="3" fillId="7" borderId="48" xfId="0" applyFont="1" applyFill="1" applyBorder="1" applyAlignment="1">
      <alignment horizontal="center" vertical="center" wrapText="1"/>
    </xf>
    <xf numFmtId="0" fontId="6" fillId="7" borderId="45" xfId="0" applyFont="1" applyFill="1" applyBorder="1" applyAlignment="1">
      <alignment horizontal="center" vertical="center" wrapText="1"/>
    </xf>
    <xf numFmtId="9" fontId="6" fillId="7" borderId="45" xfId="2" applyFont="1" applyFill="1" applyBorder="1" applyAlignment="1">
      <alignment horizontal="center" vertical="center" wrapText="1"/>
    </xf>
    <xf numFmtId="0" fontId="3" fillId="6" borderId="52" xfId="0" applyFont="1" applyFill="1" applyBorder="1" applyAlignment="1">
      <alignment horizontal="center" vertical="center" wrapText="1"/>
    </xf>
    <xf numFmtId="0" fontId="3" fillId="6" borderId="39" xfId="0" applyFont="1" applyFill="1" applyBorder="1" applyAlignment="1">
      <alignment horizontal="center" vertical="center" wrapText="1"/>
    </xf>
    <xf numFmtId="9" fontId="6" fillId="7" borderId="45" xfId="0" applyNumberFormat="1" applyFont="1" applyFill="1" applyBorder="1" applyAlignment="1">
      <alignment horizontal="center" vertical="center" wrapText="1"/>
    </xf>
    <xf numFmtId="9" fontId="6" fillId="8" borderId="54" xfId="0" applyNumberFormat="1" applyFont="1" applyFill="1" applyBorder="1" applyAlignment="1">
      <alignment horizontal="center" vertical="center" wrapText="1"/>
    </xf>
    <xf numFmtId="9" fontId="6" fillId="8" borderId="55" xfId="0" applyNumberFormat="1" applyFont="1" applyFill="1" applyBorder="1" applyAlignment="1">
      <alignment horizontal="center" vertical="center" wrapText="1"/>
    </xf>
    <xf numFmtId="9" fontId="6" fillId="8" borderId="56" xfId="0" applyNumberFormat="1" applyFont="1" applyFill="1" applyBorder="1" applyAlignment="1">
      <alignment horizontal="center" vertical="center" wrapText="1"/>
    </xf>
    <xf numFmtId="9" fontId="3" fillId="6" borderId="52" xfId="2" applyFont="1" applyFill="1" applyBorder="1" applyAlignment="1">
      <alignment horizontal="center" vertical="center" wrapText="1"/>
    </xf>
    <xf numFmtId="9" fontId="3" fillId="6" borderId="39" xfId="2" applyFont="1" applyFill="1" applyBorder="1" applyAlignment="1">
      <alignment horizontal="center" vertical="center" wrapText="1"/>
    </xf>
    <xf numFmtId="0" fontId="6" fillId="7" borderId="19" xfId="0" applyFont="1" applyFill="1" applyBorder="1" applyAlignment="1">
      <alignment horizontal="center" vertical="center" wrapText="1"/>
    </xf>
    <xf numFmtId="0" fontId="6" fillId="7" borderId="49" xfId="0" applyFont="1" applyFill="1" applyBorder="1" applyAlignment="1">
      <alignment horizontal="center" vertical="center" wrapText="1"/>
    </xf>
    <xf numFmtId="0" fontId="3" fillId="8" borderId="54" xfId="0" applyFont="1" applyFill="1" applyBorder="1" applyAlignment="1">
      <alignment horizontal="center" vertical="center" wrapText="1"/>
    </xf>
    <xf numFmtId="0" fontId="3" fillId="8" borderId="55" xfId="0" applyFont="1" applyFill="1" applyBorder="1" applyAlignment="1">
      <alignment horizontal="center" vertical="center" wrapText="1"/>
    </xf>
    <xf numFmtId="0" fontId="3" fillId="8" borderId="56" xfId="0" applyFont="1" applyFill="1" applyBorder="1" applyAlignment="1">
      <alignment horizontal="center" vertical="center" wrapText="1"/>
    </xf>
    <xf numFmtId="0" fontId="6" fillId="8" borderId="58" xfId="0" applyFont="1" applyFill="1" applyBorder="1" applyAlignment="1">
      <alignment horizontal="center" vertical="center"/>
    </xf>
    <xf numFmtId="0" fontId="6" fillId="8" borderId="4" xfId="0" applyFont="1" applyFill="1" applyBorder="1" applyAlignment="1">
      <alignment horizontal="center" vertical="center"/>
    </xf>
    <xf numFmtId="0" fontId="3" fillId="8" borderId="45" xfId="0" applyFont="1" applyFill="1" applyBorder="1" applyAlignment="1">
      <alignment horizontal="center" vertical="center" wrapText="1"/>
    </xf>
    <xf numFmtId="0" fontId="6" fillId="8" borderId="45" xfId="0" applyFont="1" applyFill="1" applyBorder="1" applyAlignment="1">
      <alignment horizontal="center" vertical="center"/>
    </xf>
    <xf numFmtId="0" fontId="6" fillId="8" borderId="54" xfId="0" applyFont="1" applyFill="1" applyBorder="1" applyAlignment="1">
      <alignment horizontal="center" vertical="center"/>
    </xf>
    <xf numFmtId="0" fontId="6" fillId="8" borderId="55" xfId="0" applyFont="1" applyFill="1" applyBorder="1" applyAlignment="1">
      <alignment horizontal="center" vertical="center"/>
    </xf>
    <xf numFmtId="0" fontId="6" fillId="8" borderId="56" xfId="0" applyFont="1" applyFill="1" applyBorder="1" applyAlignment="1">
      <alignment horizontal="center" vertical="center"/>
    </xf>
    <xf numFmtId="0" fontId="6" fillId="8" borderId="18" xfId="0" applyFont="1" applyFill="1" applyBorder="1" applyAlignment="1">
      <alignment horizontal="center" vertical="center" wrapText="1"/>
    </xf>
    <xf numFmtId="0" fontId="6" fillId="8" borderId="51" xfId="0" applyFont="1" applyFill="1" applyBorder="1" applyAlignment="1">
      <alignment horizontal="center" vertical="center" wrapText="1"/>
    </xf>
    <xf numFmtId="0" fontId="6" fillId="8" borderId="69" xfId="0" applyFont="1" applyFill="1" applyBorder="1" applyAlignment="1">
      <alignment horizontal="center" vertical="center" wrapText="1"/>
    </xf>
    <xf numFmtId="0" fontId="6" fillId="7" borderId="45" xfId="0" applyFont="1" applyFill="1" applyBorder="1" applyAlignment="1">
      <alignment horizontal="center" vertical="center"/>
    </xf>
    <xf numFmtId="9" fontId="6" fillId="7" borderId="45" xfId="2" applyFont="1" applyFill="1" applyBorder="1" applyAlignment="1">
      <alignment horizontal="center" vertical="center"/>
    </xf>
    <xf numFmtId="0" fontId="6" fillId="6" borderId="45" xfId="0" applyFont="1" applyFill="1" applyBorder="1" applyAlignment="1">
      <alignment horizontal="center" vertical="center" wrapText="1"/>
    </xf>
    <xf numFmtId="9" fontId="6" fillId="6" borderId="45" xfId="2" applyFont="1" applyFill="1" applyBorder="1" applyAlignment="1">
      <alignment horizontal="center" vertical="center" wrapText="1"/>
    </xf>
    <xf numFmtId="0" fontId="6" fillId="7" borderId="60" xfId="0" applyFont="1" applyFill="1" applyBorder="1" applyAlignment="1">
      <alignment horizontal="center" vertical="center"/>
    </xf>
    <xf numFmtId="0" fontId="6" fillId="7" borderId="62" xfId="0" applyFont="1" applyFill="1" applyBorder="1" applyAlignment="1">
      <alignment horizontal="center" vertical="center"/>
    </xf>
    <xf numFmtId="0" fontId="6" fillId="7" borderId="65" xfId="0" applyFont="1" applyFill="1" applyBorder="1" applyAlignment="1">
      <alignment horizontal="center" vertical="center"/>
    </xf>
    <xf numFmtId="0" fontId="6" fillId="7" borderId="61" xfId="0" applyFont="1" applyFill="1" applyBorder="1" applyAlignment="1">
      <alignment horizontal="center" vertical="center"/>
    </xf>
    <xf numFmtId="0" fontId="6" fillId="7" borderId="63" xfId="0" applyFont="1" applyFill="1" applyBorder="1" applyAlignment="1">
      <alignment horizontal="center" vertical="center"/>
    </xf>
    <xf numFmtId="0" fontId="6" fillId="7" borderId="66" xfId="0" applyFont="1" applyFill="1" applyBorder="1" applyAlignment="1">
      <alignment horizontal="center" vertical="center"/>
    </xf>
    <xf numFmtId="9" fontId="6" fillId="7" borderId="61" xfId="2" applyFont="1" applyFill="1" applyBorder="1" applyAlignment="1">
      <alignment horizontal="center" vertical="center"/>
    </xf>
    <xf numFmtId="9" fontId="6" fillId="7" borderId="63" xfId="2" applyFont="1" applyFill="1" applyBorder="1" applyAlignment="1">
      <alignment horizontal="center" vertical="center"/>
    </xf>
    <xf numFmtId="9" fontId="6" fillId="7" borderId="66" xfId="2" applyFont="1" applyFill="1" applyBorder="1" applyAlignment="1">
      <alignment horizontal="center" vertical="center"/>
    </xf>
    <xf numFmtId="0" fontId="6" fillId="7" borderId="61" xfId="0" applyFont="1" applyFill="1" applyBorder="1" applyAlignment="1">
      <alignment horizontal="center" vertical="center" wrapText="1"/>
    </xf>
    <xf numFmtId="0" fontId="6" fillId="7" borderId="63" xfId="0" applyFont="1" applyFill="1" applyBorder="1" applyAlignment="1">
      <alignment horizontal="center" vertical="center" wrapText="1"/>
    </xf>
    <xf numFmtId="0" fontId="6" fillId="7" borderId="66" xfId="0" applyFont="1" applyFill="1" applyBorder="1" applyAlignment="1">
      <alignment horizontal="center" vertical="center" wrapText="1"/>
    </xf>
    <xf numFmtId="0" fontId="2" fillId="5" borderId="12"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3" fillId="7" borderId="29" xfId="0" applyFont="1" applyFill="1" applyBorder="1" applyAlignment="1">
      <alignment horizontal="center" vertical="center" wrapText="1"/>
    </xf>
    <xf numFmtId="0" fontId="3" fillId="7" borderId="35" xfId="0" applyFont="1" applyFill="1" applyBorder="1" applyAlignment="1">
      <alignment horizontal="center" vertical="center" wrapText="1"/>
    </xf>
    <xf numFmtId="0" fontId="3" fillId="7" borderId="0" xfId="0" applyFont="1" applyFill="1" applyAlignment="1">
      <alignment horizontal="center" vertical="center" wrapText="1"/>
    </xf>
    <xf numFmtId="0" fontId="3" fillId="6" borderId="0" xfId="0" applyFont="1" applyFill="1" applyAlignment="1">
      <alignment horizontal="center" vertical="center" wrapText="1"/>
    </xf>
    <xf numFmtId="0" fontId="3" fillId="6" borderId="51" xfId="0" applyFont="1" applyFill="1" applyBorder="1" applyAlignment="1">
      <alignment horizontal="center" vertical="center" wrapText="1"/>
    </xf>
    <xf numFmtId="0" fontId="3" fillId="7" borderId="68" xfId="0" applyFont="1" applyFill="1" applyBorder="1" applyAlignment="1">
      <alignment horizontal="center" vertical="center" wrapText="1"/>
    </xf>
    <xf numFmtId="0" fontId="3" fillId="7" borderId="67" xfId="0" applyFont="1" applyFill="1" applyBorder="1" applyAlignment="1">
      <alignment horizontal="center" vertical="center" wrapText="1"/>
    </xf>
    <xf numFmtId="0" fontId="3" fillId="7" borderId="26" xfId="0" applyFont="1" applyFill="1" applyBorder="1" applyAlignment="1">
      <alignment horizontal="center" vertical="center" wrapText="1"/>
    </xf>
    <xf numFmtId="0" fontId="14" fillId="7" borderId="45" xfId="0" applyFont="1" applyFill="1" applyBorder="1" applyAlignment="1">
      <alignment horizontal="center" vertical="center"/>
    </xf>
    <xf numFmtId="0" fontId="16" fillId="0" borderId="0" xfId="0" applyFont="1" applyAlignment="1">
      <alignment horizontal="center" wrapText="1"/>
    </xf>
    <xf numFmtId="0" fontId="15" fillId="17" borderId="98" xfId="0" applyFont="1" applyFill="1" applyBorder="1" applyAlignment="1">
      <alignment horizontal="center" vertical="center"/>
    </xf>
    <xf numFmtId="0" fontId="15" fillId="17" borderId="99" xfId="0" applyFont="1" applyFill="1" applyBorder="1" applyAlignment="1">
      <alignment horizontal="center" vertical="center"/>
    </xf>
    <xf numFmtId="0" fontId="15" fillId="17" borderId="100" xfId="0" applyFont="1" applyFill="1" applyBorder="1" applyAlignment="1">
      <alignment horizontal="center" vertical="center"/>
    </xf>
    <xf numFmtId="0" fontId="6" fillId="17" borderId="98" xfId="0" applyFont="1" applyFill="1" applyBorder="1" applyAlignment="1">
      <alignment horizontal="center" vertical="center"/>
    </xf>
    <xf numFmtId="0" fontId="6" fillId="17" borderId="99" xfId="0" applyFont="1" applyFill="1" applyBorder="1" applyAlignment="1">
      <alignment horizontal="center" vertical="center"/>
    </xf>
    <xf numFmtId="0" fontId="6" fillId="17" borderId="100" xfId="0" applyFont="1" applyFill="1" applyBorder="1" applyAlignment="1">
      <alignment horizontal="center" vertical="center"/>
    </xf>
    <xf numFmtId="0" fontId="15" fillId="17" borderId="98" xfId="0" applyFont="1" applyFill="1" applyBorder="1" applyAlignment="1">
      <alignment horizontal="center" vertical="center" wrapText="1"/>
    </xf>
    <xf numFmtId="0" fontId="15" fillId="17" borderId="99" xfId="0" applyFont="1" applyFill="1" applyBorder="1" applyAlignment="1">
      <alignment horizontal="center" vertical="center" wrapText="1"/>
    </xf>
    <xf numFmtId="0" fontId="15" fillId="17" borderId="100" xfId="0" applyFont="1" applyFill="1" applyBorder="1" applyAlignment="1">
      <alignment horizontal="center" vertical="center" wrapText="1"/>
    </xf>
    <xf numFmtId="0" fontId="6" fillId="17" borderId="98" xfId="0" applyFont="1" applyFill="1" applyBorder="1" applyAlignment="1">
      <alignment horizontal="center" vertical="center" wrapText="1"/>
    </xf>
    <xf numFmtId="0" fontId="6" fillId="17" borderId="99" xfId="0" applyFont="1" applyFill="1" applyBorder="1" applyAlignment="1">
      <alignment horizontal="center" vertical="center" wrapText="1"/>
    </xf>
    <xf numFmtId="0" fontId="6" fillId="17" borderId="100" xfId="0" applyFont="1" applyFill="1" applyBorder="1" applyAlignment="1">
      <alignment horizontal="center" vertical="center" wrapText="1"/>
    </xf>
    <xf numFmtId="0" fontId="0" fillId="0" borderId="97" xfId="0" applyBorder="1" applyAlignment="1">
      <alignment horizontal="center" wrapText="1"/>
    </xf>
    <xf numFmtId="166" fontId="17" fillId="6" borderId="0" xfId="2" applyNumberFormat="1" applyFont="1" applyFill="1" applyAlignment="1">
      <alignment horizontal="center" vertical="center" wrapText="1"/>
    </xf>
    <xf numFmtId="0" fontId="17" fillId="6" borderId="0" xfId="0" applyFont="1" applyFill="1" applyAlignment="1">
      <alignment horizontal="center" vertical="center" wrapText="1"/>
    </xf>
    <xf numFmtId="9" fontId="17" fillId="6" borderId="0" xfId="0" applyNumberFormat="1" applyFont="1" applyFill="1" applyAlignment="1">
      <alignment horizontal="center" vertical="center" wrapText="1"/>
    </xf>
    <xf numFmtId="41" fontId="17" fillId="6" borderId="0" xfId="4" applyFont="1" applyFill="1" applyAlignment="1">
      <alignment horizontal="center" vertical="center" wrapText="1"/>
    </xf>
    <xf numFmtId="9" fontId="17" fillId="0" borderId="92" xfId="0" applyNumberFormat="1" applyFont="1" applyBorder="1" applyAlignment="1">
      <alignment horizontal="center" vertical="center" wrapText="1"/>
    </xf>
    <xf numFmtId="0" fontId="17" fillId="0" borderId="0" xfId="0" applyFont="1" applyBorder="1" applyAlignment="1">
      <alignment horizontal="center" vertical="center" wrapText="1"/>
    </xf>
    <xf numFmtId="0" fontId="22" fillId="0" borderId="2" xfId="0" applyFont="1" applyBorder="1" applyAlignment="1">
      <alignment horizontal="center" vertical="center" wrapText="1"/>
    </xf>
    <xf numFmtId="0" fontId="2" fillId="4" borderId="9"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4" borderId="14" xfId="0" applyFont="1" applyFill="1" applyBorder="1" applyAlignment="1">
      <alignment horizontal="center" vertical="center" wrapText="1"/>
    </xf>
    <xf numFmtId="0" fontId="2" fillId="4" borderId="15" xfId="0" applyFont="1" applyFill="1" applyBorder="1" applyAlignment="1">
      <alignment horizontal="center" vertical="center" wrapText="1"/>
    </xf>
    <xf numFmtId="0" fontId="2" fillId="4" borderId="11" xfId="0" applyFont="1" applyFill="1" applyBorder="1" applyAlignment="1">
      <alignment horizontal="center" vertical="center" wrapText="1"/>
    </xf>
    <xf numFmtId="0" fontId="17" fillId="6" borderId="51" xfId="0" applyFont="1" applyFill="1" applyBorder="1" applyAlignment="1">
      <alignment horizontal="center" vertical="center" wrapText="1"/>
    </xf>
    <xf numFmtId="167" fontId="17" fillId="6" borderId="51" xfId="6" applyFont="1" applyFill="1" applyBorder="1" applyAlignment="1">
      <alignment horizontal="center" vertical="center" wrapText="1"/>
    </xf>
    <xf numFmtId="167" fontId="17" fillId="6" borderId="0" xfId="6" applyFont="1" applyFill="1" applyAlignment="1">
      <alignment horizontal="center" vertical="center" wrapText="1"/>
    </xf>
    <xf numFmtId="9" fontId="17" fillId="6" borderId="0" xfId="2" applyFont="1" applyFill="1" applyAlignment="1">
      <alignment horizontal="center" vertical="center" wrapText="1"/>
    </xf>
    <xf numFmtId="0" fontId="17" fillId="7" borderId="51" xfId="0" applyFont="1" applyFill="1" applyBorder="1" applyAlignment="1">
      <alignment horizontal="center" vertical="center" wrapText="1"/>
    </xf>
    <xf numFmtId="0" fontId="17" fillId="7" borderId="0" xfId="0" applyFont="1" applyFill="1" applyAlignment="1">
      <alignment horizontal="center" vertical="center" wrapText="1"/>
    </xf>
    <xf numFmtId="0" fontId="2" fillId="4" borderId="3"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2" fillId="5" borderId="13"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10" xfId="0" applyFont="1" applyFill="1" applyBorder="1" applyAlignment="1">
      <alignment horizontal="center" vertical="center" wrapText="1"/>
    </xf>
    <xf numFmtId="0" fontId="23" fillId="4" borderId="11" xfId="0" applyFont="1" applyFill="1" applyBorder="1" applyAlignment="1">
      <alignment horizontal="center" vertical="center" wrapText="1"/>
    </xf>
    <xf numFmtId="0" fontId="4" fillId="2" borderId="0" xfId="0" applyFont="1" applyFill="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0" xfId="0" applyFont="1" applyFill="1" applyAlignment="1">
      <alignment horizontal="center" vertical="center" wrapText="1"/>
    </xf>
    <xf numFmtId="0" fontId="2" fillId="4" borderId="7" xfId="0" applyFont="1" applyFill="1" applyBorder="1" applyAlignment="1">
      <alignment horizontal="center" vertical="center" wrapText="1"/>
    </xf>
    <xf numFmtId="167" fontId="2" fillId="4" borderId="6" xfId="6" applyFont="1" applyFill="1" applyBorder="1" applyAlignment="1">
      <alignment horizontal="center" vertical="center" wrapText="1"/>
    </xf>
    <xf numFmtId="167" fontId="2" fillId="4" borderId="7" xfId="6" applyFont="1" applyFill="1" applyBorder="1" applyAlignment="1">
      <alignment horizontal="center" vertical="center" wrapText="1"/>
    </xf>
    <xf numFmtId="167" fontId="2" fillId="4" borderId="3" xfId="6" applyFont="1" applyFill="1" applyBorder="1" applyAlignment="1">
      <alignment horizontal="center" vertical="center" wrapText="1"/>
    </xf>
    <xf numFmtId="167" fontId="2" fillId="4" borderId="5" xfId="6"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4" borderId="13" xfId="0" applyFont="1" applyFill="1" applyBorder="1" applyAlignment="1">
      <alignment horizontal="center" vertical="center" wrapText="1"/>
    </xf>
    <xf numFmtId="0" fontId="16" fillId="2" borderId="0" xfId="0" applyFont="1" applyFill="1" applyAlignment="1">
      <alignment horizontal="center" vertical="center" wrapText="1"/>
    </xf>
    <xf numFmtId="9" fontId="3" fillId="7" borderId="19" xfId="2" applyFont="1" applyFill="1" applyBorder="1" applyAlignment="1">
      <alignment horizontal="center" vertical="center" wrapText="1"/>
    </xf>
    <xf numFmtId="9" fontId="3" fillId="7" borderId="27" xfId="2" applyFont="1" applyFill="1" applyBorder="1" applyAlignment="1">
      <alignment horizontal="center" vertical="center" wrapText="1"/>
    </xf>
    <xf numFmtId="9" fontId="3" fillId="7" borderId="49" xfId="2" applyFont="1" applyFill="1" applyBorder="1" applyAlignment="1">
      <alignment horizontal="center" vertical="center" wrapText="1"/>
    </xf>
    <xf numFmtId="0" fontId="18" fillId="7" borderId="0" xfId="0" applyFont="1" applyFill="1" applyAlignment="1">
      <alignment horizontal="center" vertical="center" wrapText="1"/>
    </xf>
    <xf numFmtId="9" fontId="17" fillId="7" borderId="0" xfId="0" applyNumberFormat="1" applyFont="1" applyFill="1" applyAlignment="1">
      <alignment horizontal="center" vertical="center" wrapText="1"/>
    </xf>
    <xf numFmtId="9" fontId="3" fillId="6" borderId="19" xfId="2" applyFont="1" applyFill="1" applyBorder="1" applyAlignment="1">
      <alignment horizontal="center" vertical="center" wrapText="1"/>
    </xf>
    <xf numFmtId="9" fontId="3" fillId="6" borderId="27" xfId="2" applyFont="1" applyFill="1" applyBorder="1" applyAlignment="1">
      <alignment horizontal="center" vertical="center" wrapText="1"/>
    </xf>
    <xf numFmtId="9" fontId="3" fillId="6" borderId="49" xfId="2" applyFont="1" applyFill="1" applyBorder="1" applyAlignment="1">
      <alignment horizontal="center" vertical="center" wrapText="1"/>
    </xf>
    <xf numFmtId="0" fontId="3" fillId="6" borderId="19" xfId="0" applyFont="1" applyFill="1" applyBorder="1" applyAlignment="1">
      <alignment horizontal="center" vertical="center" wrapText="1"/>
    </xf>
    <xf numFmtId="0" fontId="3" fillId="6" borderId="27" xfId="0" applyFont="1" applyFill="1" applyBorder="1" applyAlignment="1">
      <alignment horizontal="center" vertical="center" wrapText="1"/>
    </xf>
    <xf numFmtId="0" fontId="3" fillId="6" borderId="49" xfId="0" applyFont="1" applyFill="1" applyBorder="1" applyAlignment="1">
      <alignment horizontal="center" vertical="center" wrapText="1"/>
    </xf>
    <xf numFmtId="167" fontId="17" fillId="6" borderId="0" xfId="6" applyFont="1" applyFill="1" applyBorder="1" applyAlignment="1">
      <alignment horizontal="center" vertical="center" wrapText="1"/>
    </xf>
    <xf numFmtId="165" fontId="3" fillId="7" borderId="19" xfId="5" applyNumberFormat="1" applyFont="1" applyFill="1" applyBorder="1" applyAlignment="1">
      <alignment horizontal="center" vertical="center" wrapText="1"/>
    </xf>
    <xf numFmtId="165" fontId="3" fillId="7" borderId="27" xfId="5" applyNumberFormat="1" applyFont="1" applyFill="1" applyBorder="1" applyAlignment="1">
      <alignment horizontal="center" vertical="center" wrapText="1"/>
    </xf>
    <xf numFmtId="165" fontId="3" fillId="7" borderId="49" xfId="5" applyNumberFormat="1" applyFont="1" applyFill="1" applyBorder="1" applyAlignment="1">
      <alignment horizontal="center" vertical="center" wrapText="1"/>
    </xf>
    <xf numFmtId="9" fontId="3" fillId="7" borderId="43" xfId="2" applyFont="1" applyFill="1" applyBorder="1" applyAlignment="1">
      <alignment horizontal="center" vertical="center" wrapText="1"/>
    </xf>
    <xf numFmtId="9" fontId="3" fillId="7" borderId="47" xfId="2" applyFont="1" applyFill="1" applyBorder="1" applyAlignment="1">
      <alignment horizontal="center" vertical="center" wrapText="1"/>
    </xf>
    <xf numFmtId="166" fontId="3" fillId="6" borderId="19" xfId="2" applyNumberFormat="1" applyFont="1" applyFill="1" applyBorder="1" applyAlignment="1">
      <alignment horizontal="center" vertical="center" wrapText="1"/>
    </xf>
    <xf numFmtId="166" fontId="3" fillId="6" borderId="27" xfId="2" applyNumberFormat="1" applyFont="1" applyFill="1" applyBorder="1" applyAlignment="1">
      <alignment horizontal="center" vertical="center" wrapText="1"/>
    </xf>
    <xf numFmtId="166" fontId="3" fillId="7" borderId="43" xfId="2" applyNumberFormat="1" applyFont="1" applyFill="1" applyBorder="1" applyAlignment="1">
      <alignment horizontal="center" vertical="center" wrapText="1"/>
    </xf>
    <xf numFmtId="166" fontId="3" fillId="7" borderId="47" xfId="2" applyNumberFormat="1" applyFont="1" applyFill="1" applyBorder="1" applyAlignment="1">
      <alignment horizontal="center" vertical="center" wrapText="1"/>
    </xf>
    <xf numFmtId="0" fontId="2" fillId="4" borderId="102" xfId="0" applyFont="1" applyFill="1" applyBorder="1" applyAlignment="1">
      <alignment horizontal="center" vertical="center"/>
    </xf>
    <xf numFmtId="0" fontId="2" fillId="4" borderId="2" xfId="0" applyFont="1" applyFill="1" applyBorder="1" applyAlignment="1">
      <alignment horizontal="center" vertical="center"/>
    </xf>
    <xf numFmtId="172" fontId="3" fillId="6" borderId="19" xfId="2" applyNumberFormat="1" applyFont="1" applyFill="1" applyBorder="1" applyAlignment="1">
      <alignment horizontal="center" vertical="center" wrapText="1"/>
    </xf>
    <xf numFmtId="172" fontId="3" fillId="6" borderId="27" xfId="2" applyNumberFormat="1" applyFont="1" applyFill="1" applyBorder="1" applyAlignment="1">
      <alignment horizontal="center" vertical="center" wrapText="1"/>
    </xf>
    <xf numFmtId="165" fontId="3" fillId="6" borderId="19" xfId="1" applyNumberFormat="1" applyFont="1" applyFill="1" applyBorder="1" applyAlignment="1">
      <alignment horizontal="center" vertical="center" wrapText="1"/>
    </xf>
    <xf numFmtId="165" fontId="3" fillId="6" borderId="27" xfId="1" applyNumberFormat="1" applyFont="1" applyFill="1" applyBorder="1" applyAlignment="1">
      <alignment horizontal="center" vertical="center" wrapText="1"/>
    </xf>
    <xf numFmtId="44" fontId="2" fillId="4" borderId="6" xfId="5" applyFont="1" applyFill="1" applyBorder="1" applyAlignment="1">
      <alignment horizontal="center" vertical="center"/>
    </xf>
    <xf numFmtId="44" fontId="2" fillId="4" borderId="7" xfId="5" applyFont="1" applyFill="1" applyBorder="1" applyAlignment="1">
      <alignment horizontal="center" vertical="center"/>
    </xf>
    <xf numFmtId="44" fontId="2" fillId="4" borderId="3" xfId="5" applyFont="1" applyFill="1" applyBorder="1" applyAlignment="1">
      <alignment horizontal="center" vertical="center"/>
    </xf>
    <xf numFmtId="44" fontId="2" fillId="4" borderId="5" xfId="5" applyFont="1" applyFill="1" applyBorder="1" applyAlignment="1">
      <alignment horizontal="center" vertical="center"/>
    </xf>
    <xf numFmtId="0" fontId="2" fillId="5" borderId="13" xfId="0" applyFont="1" applyFill="1" applyBorder="1" applyAlignment="1">
      <alignment horizontal="center" vertical="center"/>
    </xf>
    <xf numFmtId="0" fontId="18" fillId="7" borderId="87" xfId="0" applyFont="1" applyFill="1" applyBorder="1" applyAlignment="1">
      <alignment horizontal="justify" vertical="center" wrapText="1"/>
    </xf>
    <xf numFmtId="0" fontId="17" fillId="7" borderId="84" xfId="0" applyFont="1" applyFill="1" applyBorder="1" applyAlignment="1">
      <alignment horizontal="justify" vertical="center" wrapText="1"/>
    </xf>
    <xf numFmtId="0" fontId="0" fillId="0" borderId="0" xfId="0" applyAlignment="1">
      <alignment horizontal="center" vertical="center" wrapText="1"/>
    </xf>
    <xf numFmtId="41" fontId="17" fillId="7" borderId="87" xfId="0" applyNumberFormat="1" applyFont="1" applyFill="1" applyBorder="1" applyAlignment="1">
      <alignment horizontal="center" vertical="center" wrapText="1"/>
    </xf>
    <xf numFmtId="0" fontId="17" fillId="7" borderId="84" xfId="0" applyFont="1" applyFill="1" applyBorder="1" applyAlignment="1">
      <alignment horizontal="center" vertical="center" wrapText="1"/>
    </xf>
    <xf numFmtId="9" fontId="17" fillId="7" borderId="87" xfId="2" applyFont="1" applyFill="1" applyBorder="1" applyAlignment="1">
      <alignment horizontal="center" vertical="center" wrapText="1"/>
    </xf>
    <xf numFmtId="9" fontId="17" fillId="7" borderId="84" xfId="2" applyFont="1" applyFill="1" applyBorder="1" applyAlignment="1">
      <alignment horizontal="center" vertical="center" wrapText="1"/>
    </xf>
    <xf numFmtId="41" fontId="17" fillId="7" borderId="86" xfId="0" applyNumberFormat="1" applyFont="1" applyFill="1" applyBorder="1" applyAlignment="1">
      <alignment horizontal="center" vertical="center" wrapText="1"/>
    </xf>
    <xf numFmtId="0" fontId="17" fillId="7" borderId="83" xfId="0" applyFont="1" applyFill="1" applyBorder="1" applyAlignment="1">
      <alignment horizontal="center" vertical="center" wrapText="1"/>
    </xf>
    <xf numFmtId="167" fontId="17" fillId="7" borderId="0" xfId="6" applyFont="1" applyFill="1" applyAlignment="1">
      <alignment horizontal="center" vertical="center" wrapText="1"/>
    </xf>
    <xf numFmtId="0" fontId="17" fillId="7" borderId="87" xfId="0" applyFont="1" applyFill="1" applyBorder="1" applyAlignment="1">
      <alignment horizontal="justify" vertical="center" wrapText="1"/>
    </xf>
    <xf numFmtId="0" fontId="17" fillId="6" borderId="51" xfId="0" applyFont="1" applyFill="1" applyBorder="1" applyAlignment="1">
      <alignment horizontal="justify" vertical="center" wrapText="1"/>
    </xf>
    <xf numFmtId="0" fontId="17" fillId="6" borderId="0" xfId="0" applyFont="1" applyFill="1" applyAlignment="1">
      <alignment horizontal="justify" vertical="center" wrapText="1"/>
    </xf>
    <xf numFmtId="0" fontId="17" fillId="6" borderId="84" xfId="0" applyFont="1" applyFill="1" applyBorder="1" applyAlignment="1">
      <alignment horizontal="justify" vertical="center" wrapText="1"/>
    </xf>
    <xf numFmtId="0" fontId="3" fillId="7" borderId="8" xfId="0" applyFont="1" applyFill="1" applyBorder="1" applyAlignment="1">
      <alignment horizontal="center" vertical="center" wrapText="1"/>
    </xf>
    <xf numFmtId="0" fontId="3" fillId="7" borderId="13" xfId="0" applyFont="1" applyFill="1" applyBorder="1" applyAlignment="1">
      <alignment horizontal="center" vertical="center" wrapText="1"/>
    </xf>
    <xf numFmtId="0" fontId="3" fillId="7" borderId="12" xfId="0" applyFont="1" applyFill="1" applyBorder="1" applyAlignment="1">
      <alignment horizontal="center" vertical="center" wrapText="1"/>
    </xf>
    <xf numFmtId="0" fontId="17" fillId="6" borderId="0" xfId="0" applyFont="1" applyFill="1" applyBorder="1" applyAlignment="1">
      <alignment horizontal="center" vertical="center" wrapText="1"/>
    </xf>
    <xf numFmtId="0" fontId="17" fillId="6" borderId="84" xfId="0" applyFont="1" applyFill="1" applyBorder="1" applyAlignment="1">
      <alignment horizontal="center" vertical="center" wrapText="1"/>
    </xf>
    <xf numFmtId="9" fontId="17" fillId="6" borderId="51" xfId="2" applyNumberFormat="1" applyFont="1" applyFill="1" applyBorder="1" applyAlignment="1">
      <alignment horizontal="center" vertical="center" wrapText="1"/>
    </xf>
    <xf numFmtId="9" fontId="17" fillId="6" borderId="0" xfId="2" applyNumberFormat="1" applyFont="1" applyFill="1" applyBorder="1" applyAlignment="1">
      <alignment horizontal="center" vertical="center" wrapText="1"/>
    </xf>
    <xf numFmtId="9" fontId="17" fillId="6" borderId="84" xfId="2" applyNumberFormat="1" applyFont="1" applyFill="1" applyBorder="1" applyAlignment="1">
      <alignment horizontal="center" vertical="center" wrapText="1"/>
    </xf>
    <xf numFmtId="0" fontId="17" fillId="6" borderId="80" xfId="0" applyFont="1" applyFill="1" applyBorder="1" applyAlignment="1">
      <alignment horizontal="center" vertical="center" wrapText="1"/>
    </xf>
    <xf numFmtId="0" fontId="17" fillId="6" borderId="82" xfId="0" applyFont="1" applyFill="1" applyBorder="1" applyAlignment="1">
      <alignment horizontal="center" vertical="center" wrapText="1"/>
    </xf>
    <xf numFmtId="0" fontId="17" fillId="6" borderId="83" xfId="0" applyFont="1" applyFill="1" applyBorder="1" applyAlignment="1">
      <alignment horizontal="center" vertical="center" wrapText="1"/>
    </xf>
    <xf numFmtId="0" fontId="17" fillId="6" borderId="0" xfId="0" applyFont="1" applyFill="1" applyBorder="1" applyAlignment="1">
      <alignment horizontal="justify" vertical="center" wrapText="1"/>
    </xf>
    <xf numFmtId="0" fontId="17" fillId="7" borderId="6" xfId="0" applyFont="1" applyFill="1" applyBorder="1" applyAlignment="1">
      <alignment horizontal="center" vertical="center" wrapText="1"/>
    </xf>
    <xf numFmtId="0" fontId="2" fillId="4" borderId="76" xfId="0" applyFont="1" applyFill="1" applyBorder="1" applyAlignment="1">
      <alignment horizontal="center" vertical="center" wrapText="1"/>
    </xf>
    <xf numFmtId="0" fontId="2" fillId="4" borderId="77"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8" xfId="0" applyFont="1" applyFill="1" applyBorder="1" applyAlignment="1">
      <alignment horizontal="center" vertical="center" wrapText="1"/>
    </xf>
    <xf numFmtId="44" fontId="2" fillId="4" borderId="6" xfId="5" applyFont="1" applyFill="1" applyBorder="1" applyAlignment="1">
      <alignment horizontal="center" vertical="center" wrapText="1"/>
    </xf>
    <xf numFmtId="44" fontId="2" fillId="4" borderId="7" xfId="5" applyFont="1" applyFill="1" applyBorder="1" applyAlignment="1">
      <alignment horizontal="center" vertical="center" wrapText="1"/>
    </xf>
    <xf numFmtId="44" fontId="2" fillId="4" borderId="3" xfId="5" applyFont="1" applyFill="1" applyBorder="1" applyAlignment="1">
      <alignment horizontal="center" vertical="center" wrapText="1"/>
    </xf>
    <xf numFmtId="44" fontId="2" fillId="4" borderId="5" xfId="5" applyFont="1" applyFill="1" applyBorder="1" applyAlignment="1">
      <alignment horizontal="center" vertical="center" wrapText="1"/>
    </xf>
    <xf numFmtId="0" fontId="2" fillId="4" borderId="73" xfId="0" applyFont="1" applyFill="1" applyBorder="1" applyAlignment="1">
      <alignment horizontal="center" vertical="center" wrapText="1"/>
    </xf>
    <xf numFmtId="0" fontId="2" fillId="4" borderId="74" xfId="0" applyFont="1" applyFill="1" applyBorder="1" applyAlignment="1">
      <alignment horizontal="center" vertical="center" wrapText="1"/>
    </xf>
    <xf numFmtId="0" fontId="2" fillId="4" borderId="75" xfId="0" applyFont="1" applyFill="1" applyBorder="1" applyAlignment="1">
      <alignment horizontal="center" vertical="center" wrapText="1"/>
    </xf>
    <xf numFmtId="0" fontId="16" fillId="0" borderId="90" xfId="0" applyFont="1" applyBorder="1" applyAlignment="1">
      <alignment horizontal="center" wrapText="1"/>
    </xf>
    <xf numFmtId="0" fontId="16" fillId="0" borderId="91" xfId="0" applyFont="1" applyBorder="1" applyAlignment="1">
      <alignment horizontal="center" wrapText="1"/>
    </xf>
    <xf numFmtId="0" fontId="19" fillId="7" borderId="2" xfId="0" applyFont="1" applyFill="1" applyBorder="1" applyAlignment="1">
      <alignment horizontal="center" vertical="center" wrapText="1"/>
    </xf>
    <xf numFmtId="10" fontId="17" fillId="7" borderId="2" xfId="0" applyNumberFormat="1" applyFont="1" applyFill="1" applyBorder="1" applyAlignment="1">
      <alignment horizontal="center" vertical="center" wrapText="1"/>
    </xf>
    <xf numFmtId="0" fontId="17" fillId="7" borderId="2" xfId="0" applyFont="1" applyFill="1" applyBorder="1" applyAlignment="1">
      <alignment horizontal="center" vertical="center" wrapText="1"/>
    </xf>
    <xf numFmtId="3" fontId="19" fillId="7" borderId="2" xfId="0" applyNumberFormat="1" applyFont="1" applyFill="1" applyBorder="1" applyAlignment="1">
      <alignment horizontal="center" vertical="center" wrapText="1"/>
    </xf>
    <xf numFmtId="0" fontId="3" fillId="6" borderId="2" xfId="0" applyFont="1" applyFill="1" applyBorder="1" applyAlignment="1">
      <alignment horizontal="center" vertical="center" wrapText="1"/>
    </xf>
    <xf numFmtId="0" fontId="17" fillId="6" borderId="2" xfId="0" applyFont="1" applyFill="1" applyBorder="1" applyAlignment="1">
      <alignment horizontal="center" vertical="center" wrapText="1"/>
    </xf>
    <xf numFmtId="0" fontId="17" fillId="7" borderId="72" xfId="0" applyFont="1" applyFill="1" applyBorder="1" applyAlignment="1">
      <alignment horizontal="center" vertical="center" wrapText="1"/>
    </xf>
    <xf numFmtId="0" fontId="17" fillId="7" borderId="101" xfId="0" applyFont="1" applyFill="1" applyBorder="1" applyAlignment="1">
      <alignment horizontal="center" vertical="center" wrapText="1"/>
    </xf>
    <xf numFmtId="0" fontId="17" fillId="7" borderId="102" xfId="0" applyFont="1" applyFill="1" applyBorder="1" applyAlignment="1">
      <alignment horizontal="center" vertical="center" wrapText="1"/>
    </xf>
    <xf numFmtId="3" fontId="17" fillId="7" borderId="72" xfId="0" applyNumberFormat="1" applyFont="1" applyFill="1" applyBorder="1" applyAlignment="1">
      <alignment horizontal="center" vertical="center" wrapText="1"/>
    </xf>
    <xf numFmtId="3" fontId="17" fillId="7" borderId="101" xfId="0" applyNumberFormat="1" applyFont="1" applyFill="1" applyBorder="1" applyAlignment="1">
      <alignment horizontal="center" vertical="center" wrapText="1"/>
    </xf>
    <xf numFmtId="3" fontId="17" fillId="7" borderId="102" xfId="0" applyNumberFormat="1" applyFont="1" applyFill="1" applyBorder="1" applyAlignment="1">
      <alignment horizontal="center" vertical="center" wrapText="1"/>
    </xf>
    <xf numFmtId="10" fontId="17" fillId="7" borderId="72" xfId="0" applyNumberFormat="1" applyFont="1" applyFill="1" applyBorder="1" applyAlignment="1">
      <alignment horizontal="center" vertical="center" wrapText="1"/>
    </xf>
    <xf numFmtId="10" fontId="17" fillId="7" borderId="101" xfId="0" applyNumberFormat="1" applyFont="1" applyFill="1" applyBorder="1" applyAlignment="1">
      <alignment horizontal="center" vertical="center" wrapText="1"/>
    </xf>
    <xf numFmtId="10" fontId="17" fillId="7" borderId="102" xfId="0" applyNumberFormat="1" applyFont="1" applyFill="1" applyBorder="1" applyAlignment="1">
      <alignment horizontal="center" vertical="center" wrapText="1"/>
    </xf>
    <xf numFmtId="0" fontId="2" fillId="4" borderId="2" xfId="0" applyFont="1" applyFill="1" applyBorder="1" applyAlignment="1">
      <alignment horizontal="center" vertical="center" wrapText="1"/>
    </xf>
    <xf numFmtId="41" fontId="17" fillId="6" borderId="2" xfId="4" applyFont="1" applyFill="1" applyBorder="1" applyAlignment="1">
      <alignment horizontal="center" vertical="center" wrapText="1"/>
    </xf>
    <xf numFmtId="167" fontId="17" fillId="6" borderId="2" xfId="6" applyFont="1" applyFill="1" applyBorder="1" applyAlignment="1">
      <alignment horizontal="center" vertical="center" wrapText="1"/>
    </xf>
    <xf numFmtId="3" fontId="17" fillId="7" borderId="2" xfId="0" applyNumberFormat="1" applyFont="1" applyFill="1" applyBorder="1" applyAlignment="1">
      <alignment horizontal="center" vertical="center" wrapText="1"/>
    </xf>
    <xf numFmtId="0" fontId="3" fillId="7" borderId="2"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6" fillId="7" borderId="29" xfId="0" applyFont="1" applyFill="1" applyBorder="1" applyAlignment="1">
      <alignment horizontal="center" vertical="center" wrapText="1"/>
    </xf>
    <xf numFmtId="0" fontId="6" fillId="7" borderId="20" xfId="0" applyFont="1" applyFill="1" applyBorder="1" applyAlignment="1">
      <alignment vertical="center" wrapText="1"/>
    </xf>
    <xf numFmtId="0" fontId="6" fillId="7" borderId="20" xfId="0" applyFont="1" applyFill="1" applyBorder="1" applyAlignment="1">
      <alignment horizontal="center" vertical="center" wrapText="1"/>
    </xf>
    <xf numFmtId="165" fontId="6" fillId="7" borderId="45" xfId="1" applyNumberFormat="1" applyFont="1" applyFill="1" applyBorder="1" applyAlignment="1">
      <alignment horizontal="center" vertical="center"/>
    </xf>
    <xf numFmtId="165" fontId="6" fillId="6" borderId="23" xfId="1" applyNumberFormat="1" applyFont="1" applyFill="1" applyBorder="1" applyAlignment="1">
      <alignment horizontal="center" vertical="center" wrapText="1"/>
    </xf>
    <xf numFmtId="0" fontId="6" fillId="7" borderId="35" xfId="0" applyFont="1" applyFill="1" applyBorder="1" applyAlignment="1">
      <alignment horizontal="center" vertical="center" wrapText="1"/>
    </xf>
    <xf numFmtId="0" fontId="6" fillId="7" borderId="36" xfId="0" applyFont="1" applyFill="1" applyBorder="1" applyAlignment="1">
      <alignment horizontal="center" vertical="center" wrapText="1"/>
    </xf>
    <xf numFmtId="0" fontId="6" fillId="6" borderId="21" xfId="0" applyFont="1" applyFill="1" applyBorder="1" applyAlignment="1">
      <alignment vertical="center" wrapText="1"/>
    </xf>
    <xf numFmtId="165" fontId="6" fillId="6" borderId="0" xfId="1" applyNumberFormat="1" applyFont="1" applyFill="1" applyBorder="1" applyAlignment="1">
      <alignment horizontal="center" vertical="center" wrapText="1"/>
    </xf>
    <xf numFmtId="0" fontId="6" fillId="6" borderId="41" xfId="0" applyFont="1" applyFill="1" applyBorder="1" applyAlignment="1">
      <alignment horizontal="center" vertical="center" wrapText="1"/>
    </xf>
    <xf numFmtId="0" fontId="6" fillId="7" borderId="29" xfId="0" applyFont="1" applyFill="1" applyBorder="1" applyAlignment="1">
      <alignment vertical="center" wrapText="1"/>
    </xf>
    <xf numFmtId="9" fontId="6" fillId="7" borderId="29" xfId="2" applyFont="1" applyFill="1" applyBorder="1" applyAlignment="1">
      <alignment horizontal="center" vertical="center" wrapText="1"/>
    </xf>
    <xf numFmtId="0" fontId="6" fillId="7" borderId="64" xfId="0" applyFont="1" applyFill="1" applyBorder="1" applyAlignment="1">
      <alignment horizontal="center" vertical="center" wrapText="1"/>
    </xf>
    <xf numFmtId="0" fontId="6" fillId="2" borderId="0" xfId="0" applyFont="1" applyFill="1" applyAlignment="1">
      <alignment vertical="center" wrapText="1"/>
    </xf>
    <xf numFmtId="0" fontId="6" fillId="7" borderId="45" xfId="0" applyFont="1" applyFill="1" applyBorder="1" applyAlignment="1">
      <alignment vertical="center"/>
    </xf>
    <xf numFmtId="0" fontId="6" fillId="6" borderId="51" xfId="0" applyFont="1" applyFill="1" applyBorder="1" applyAlignment="1">
      <alignment horizontal="center" vertical="center" wrapText="1"/>
    </xf>
    <xf numFmtId="9" fontId="23" fillId="7" borderId="45" xfId="2" applyFont="1" applyFill="1" applyBorder="1" applyAlignment="1">
      <alignment horizontal="center" vertical="center"/>
    </xf>
    <xf numFmtId="9" fontId="14" fillId="7" borderId="45" xfId="2" applyFont="1" applyFill="1" applyBorder="1" applyAlignment="1">
      <alignment horizontal="center" vertical="center"/>
    </xf>
    <xf numFmtId="165" fontId="6" fillId="2" borderId="0" xfId="1" applyNumberFormat="1" applyFont="1" applyFill="1" applyAlignment="1">
      <alignment vertical="center" wrapText="1"/>
    </xf>
    <xf numFmtId="165" fontId="6" fillId="7" borderId="45" xfId="1" applyNumberFormat="1" applyFont="1" applyFill="1" applyBorder="1" applyAlignment="1">
      <alignment horizontal="center" vertical="center"/>
    </xf>
    <xf numFmtId="164" fontId="6" fillId="2" borderId="0" xfId="1" applyFont="1" applyFill="1" applyAlignment="1">
      <alignment vertical="center" wrapText="1"/>
    </xf>
    <xf numFmtId="0" fontId="6" fillId="8" borderId="54" xfId="0" applyFont="1" applyFill="1" applyBorder="1" applyAlignment="1">
      <alignment horizontal="center" vertical="center" wrapText="1"/>
    </xf>
    <xf numFmtId="0" fontId="6" fillId="8" borderId="55" xfId="0" applyFont="1" applyFill="1" applyBorder="1" applyAlignment="1">
      <alignment horizontal="center" vertical="center" wrapText="1"/>
    </xf>
    <xf numFmtId="0" fontId="6" fillId="8" borderId="56" xfId="0" applyFont="1" applyFill="1" applyBorder="1" applyAlignment="1">
      <alignment horizontal="center" vertical="center" wrapText="1"/>
    </xf>
    <xf numFmtId="0" fontId="6" fillId="2" borderId="29" xfId="0" applyFont="1" applyFill="1" applyBorder="1" applyAlignment="1">
      <alignment horizontal="left" vertical="center" wrapText="1"/>
    </xf>
    <xf numFmtId="165" fontId="6" fillId="6" borderId="69" xfId="1" applyNumberFormat="1" applyFont="1" applyFill="1" applyBorder="1" applyAlignment="1">
      <alignment horizontal="center" vertical="center" wrapText="1"/>
    </xf>
    <xf numFmtId="165" fontId="6" fillId="6" borderId="7" xfId="1" applyNumberFormat="1" applyFont="1" applyFill="1" applyBorder="1" applyAlignment="1">
      <alignment horizontal="center" vertical="center" wrapText="1"/>
    </xf>
    <xf numFmtId="0" fontId="6" fillId="8" borderId="45" xfId="0" applyFont="1" applyFill="1" applyBorder="1" applyAlignment="1">
      <alignment horizontal="center" vertical="center" wrapText="1"/>
    </xf>
    <xf numFmtId="165" fontId="6" fillId="6" borderId="45" xfId="1" applyNumberFormat="1" applyFont="1" applyFill="1" applyBorder="1" applyAlignment="1">
      <alignment horizontal="center" vertical="center" wrapText="1"/>
    </xf>
    <xf numFmtId="165" fontId="6" fillId="6" borderId="59" xfId="1" applyNumberFormat="1" applyFont="1" applyFill="1" applyBorder="1" applyAlignment="1">
      <alignment horizontal="center" vertical="center" wrapText="1"/>
    </xf>
    <xf numFmtId="9" fontId="3" fillId="6" borderId="12" xfId="0" applyNumberFormat="1" applyFont="1" applyFill="1" applyBorder="1" applyAlignment="1">
      <alignment horizontal="center" vertical="center" wrapText="1"/>
    </xf>
    <xf numFmtId="0" fontId="3" fillId="8" borderId="57" xfId="0" applyFont="1" applyFill="1" applyBorder="1" applyAlignment="1">
      <alignment horizontal="center" vertical="center" wrapText="1"/>
    </xf>
    <xf numFmtId="165" fontId="3" fillId="6" borderId="51" xfId="1" applyNumberFormat="1" applyFont="1" applyFill="1" applyBorder="1" applyAlignment="1">
      <alignment horizontal="center" vertical="center" wrapText="1"/>
    </xf>
    <xf numFmtId="0" fontId="3" fillId="6" borderId="12" xfId="0" applyFont="1" applyFill="1" applyBorder="1" applyAlignment="1">
      <alignment vertical="center" wrapText="1"/>
    </xf>
    <xf numFmtId="0" fontId="3" fillId="8" borderId="12" xfId="0" applyFont="1" applyFill="1" applyBorder="1" applyAlignment="1">
      <alignment vertical="center" wrapText="1"/>
    </xf>
    <xf numFmtId="1" fontId="3" fillId="7" borderId="57" xfId="0" applyNumberFormat="1" applyFont="1" applyFill="1" applyBorder="1" applyAlignment="1">
      <alignment horizontal="center" vertical="center"/>
    </xf>
    <xf numFmtId="0" fontId="3" fillId="8" borderId="104" xfId="0" applyFont="1" applyFill="1" applyBorder="1" applyAlignment="1">
      <alignment vertical="center"/>
    </xf>
    <xf numFmtId="0" fontId="3" fillId="8" borderId="57" xfId="0" applyFont="1" applyFill="1" applyBorder="1" applyAlignment="1">
      <alignment vertical="center"/>
    </xf>
    <xf numFmtId="9" fontId="3" fillId="6" borderId="12" xfId="2" applyFont="1" applyFill="1" applyBorder="1" applyAlignment="1">
      <alignment horizontal="center" vertical="center" wrapText="1"/>
    </xf>
    <xf numFmtId="1" fontId="3" fillId="6" borderId="12" xfId="0" applyNumberFormat="1" applyFont="1" applyFill="1" applyBorder="1" applyAlignment="1">
      <alignment vertical="center" wrapText="1"/>
    </xf>
    <xf numFmtId="1" fontId="3" fillId="6" borderId="12" xfId="0" applyNumberFormat="1" applyFont="1" applyFill="1" applyBorder="1" applyAlignment="1">
      <alignment horizontal="center" vertical="center" wrapText="1"/>
    </xf>
    <xf numFmtId="166" fontId="3" fillId="7" borderId="57" xfId="2" applyNumberFormat="1" applyFont="1" applyFill="1" applyBorder="1" applyAlignment="1">
      <alignment horizontal="center" vertical="center"/>
    </xf>
    <xf numFmtId="0" fontId="5" fillId="2" borderId="2" xfId="0" applyFont="1" applyFill="1" applyBorder="1" applyAlignment="1">
      <alignment horizontal="center" vertical="center" wrapText="1"/>
    </xf>
    <xf numFmtId="14" fontId="5" fillId="2" borderId="2" xfId="0" applyNumberFormat="1" applyFont="1" applyFill="1" applyBorder="1" applyAlignment="1">
      <alignment horizontal="center" vertical="center" wrapText="1"/>
    </xf>
    <xf numFmtId="0" fontId="0" fillId="2" borderId="0" xfId="0" applyFill="1"/>
    <xf numFmtId="0" fontId="0" fillId="2" borderId="0" xfId="0" applyFill="1" applyAlignment="1">
      <alignment horizontal="center" vertical="center" wrapText="1"/>
    </xf>
    <xf numFmtId="168" fontId="0" fillId="2" borderId="0" xfId="0" applyNumberFormat="1" applyFill="1" applyAlignment="1">
      <alignment horizontal="center" vertical="center" wrapText="1"/>
    </xf>
    <xf numFmtId="0" fontId="3" fillId="6" borderId="12" xfId="0" applyFont="1" applyFill="1" applyBorder="1" applyAlignment="1">
      <alignment horizontal="center" vertical="center"/>
    </xf>
    <xf numFmtId="0" fontId="3" fillId="7" borderId="51" xfId="0" applyFont="1" applyFill="1" applyBorder="1" applyAlignment="1">
      <alignment horizontal="center" vertical="center"/>
    </xf>
    <xf numFmtId="0" fontId="3" fillId="6" borderId="16" xfId="0" applyFont="1" applyFill="1" applyBorder="1" applyAlignment="1">
      <alignment horizontal="left" vertical="center" wrapText="1"/>
    </xf>
    <xf numFmtId="0" fontId="3" fillId="6" borderId="16" xfId="0" applyFont="1" applyFill="1" applyBorder="1" applyAlignment="1">
      <alignment horizontal="left" vertical="center"/>
    </xf>
    <xf numFmtId="0" fontId="3" fillId="6" borderId="16" xfId="0" applyFont="1" applyFill="1" applyBorder="1" applyAlignment="1">
      <alignment horizontal="center" vertical="center"/>
    </xf>
    <xf numFmtId="1" fontId="3" fillId="6" borderId="16" xfId="2" applyNumberFormat="1" applyFont="1" applyFill="1" applyBorder="1" applyAlignment="1">
      <alignment horizontal="center" vertical="center"/>
    </xf>
    <xf numFmtId="167" fontId="21" fillId="6" borderId="12" xfId="6" applyFont="1" applyFill="1" applyBorder="1" applyAlignment="1">
      <alignment horizontal="center" vertical="center"/>
    </xf>
    <xf numFmtId="9" fontId="3" fillId="6" borderId="12" xfId="2" applyFont="1" applyFill="1" applyBorder="1" applyAlignment="1">
      <alignment horizontal="center" vertical="center"/>
    </xf>
    <xf numFmtId="9" fontId="3" fillId="6" borderId="12" xfId="0" applyNumberFormat="1" applyFont="1" applyFill="1" applyBorder="1" applyAlignment="1">
      <alignment horizontal="center" vertical="center"/>
    </xf>
    <xf numFmtId="9" fontId="3" fillId="6" borderId="16" xfId="2" applyFont="1" applyFill="1" applyBorder="1" applyAlignment="1">
      <alignment horizontal="center" vertical="center"/>
    </xf>
    <xf numFmtId="0" fontId="3" fillId="6" borderId="16" xfId="2" applyNumberFormat="1" applyFont="1" applyFill="1" applyBorder="1" applyAlignment="1">
      <alignment horizontal="center" vertical="center"/>
    </xf>
    <xf numFmtId="0" fontId="3" fillId="6" borderId="8" xfId="0" applyFont="1" applyFill="1" applyBorder="1" applyAlignment="1">
      <alignment horizontal="center" vertical="center"/>
    </xf>
    <xf numFmtId="0" fontId="3" fillId="7" borderId="0" xfId="0" applyFont="1" applyFill="1" applyAlignment="1">
      <alignment horizontal="center" vertical="center"/>
    </xf>
    <xf numFmtId="0" fontId="3" fillId="7" borderId="16" xfId="0" applyFont="1" applyFill="1" applyBorder="1" applyAlignment="1">
      <alignment horizontal="left" vertical="center"/>
    </xf>
    <xf numFmtId="0" fontId="3" fillId="7" borderId="16" xfId="0" applyFont="1" applyFill="1" applyBorder="1" applyAlignment="1">
      <alignment horizontal="left" vertical="center" wrapText="1"/>
    </xf>
    <xf numFmtId="0" fontId="3" fillId="7" borderId="16" xfId="0" applyFont="1" applyFill="1" applyBorder="1" applyAlignment="1">
      <alignment horizontal="center" vertical="center"/>
    </xf>
    <xf numFmtId="9" fontId="3" fillId="7" borderId="16" xfId="2" applyFont="1" applyFill="1" applyBorder="1" applyAlignment="1">
      <alignment horizontal="center" vertical="center"/>
    </xf>
    <xf numFmtId="167" fontId="21" fillId="6" borderId="8" xfId="6" applyFont="1" applyFill="1" applyBorder="1" applyAlignment="1">
      <alignment horizontal="center" vertical="center"/>
    </xf>
    <xf numFmtId="9" fontId="3" fillId="6" borderId="8" xfId="2" applyFont="1" applyFill="1" applyBorder="1" applyAlignment="1">
      <alignment horizontal="center" vertical="center"/>
    </xf>
    <xf numFmtId="166" fontId="3" fillId="6" borderId="16" xfId="2" applyNumberFormat="1" applyFont="1" applyFill="1" applyBorder="1" applyAlignment="1">
      <alignment horizontal="center" vertical="center"/>
    </xf>
    <xf numFmtId="0" fontId="6" fillId="7" borderId="16" xfId="0" applyFont="1" applyFill="1" applyBorder="1" applyAlignment="1">
      <alignment horizontal="left" vertical="center" wrapText="1"/>
    </xf>
    <xf numFmtId="0" fontId="3" fillId="6" borderId="13" xfId="0" applyFont="1" applyFill="1" applyBorder="1" applyAlignment="1">
      <alignment horizontal="center" vertical="center" wrapText="1"/>
    </xf>
    <xf numFmtId="0" fontId="3" fillId="7" borderId="8" xfId="0" applyFont="1" applyFill="1" applyBorder="1" applyAlignment="1">
      <alignment horizontal="left" vertical="center"/>
    </xf>
    <xf numFmtId="0" fontId="3" fillId="7" borderId="8" xfId="0" applyFont="1" applyFill="1" applyBorder="1" applyAlignment="1">
      <alignment horizontal="center" vertical="center"/>
    </xf>
    <xf numFmtId="9" fontId="3" fillId="7" borderId="8" xfId="2" applyFont="1" applyFill="1" applyBorder="1" applyAlignment="1">
      <alignment horizontal="center" vertical="center"/>
    </xf>
    <xf numFmtId="9" fontId="3" fillId="7" borderId="16" xfId="0" applyNumberFormat="1" applyFont="1" applyFill="1" applyBorder="1" applyAlignment="1">
      <alignment horizontal="center" vertical="center"/>
    </xf>
    <xf numFmtId="0" fontId="3" fillId="7" borderId="12" xfId="0" applyFont="1" applyFill="1" applyBorder="1" applyAlignment="1">
      <alignment horizontal="center" vertical="center"/>
    </xf>
    <xf numFmtId="9" fontId="3" fillId="7" borderId="12" xfId="0" applyNumberFormat="1" applyFont="1" applyFill="1" applyBorder="1" applyAlignment="1">
      <alignment horizontal="center" vertical="center"/>
    </xf>
    <xf numFmtId="166" fontId="3" fillId="7" borderId="12" xfId="2" applyNumberFormat="1" applyFont="1" applyFill="1" applyBorder="1" applyAlignment="1">
      <alignment horizontal="center" vertical="center"/>
    </xf>
    <xf numFmtId="9" fontId="6" fillId="7" borderId="16" xfId="2" applyFont="1" applyFill="1" applyBorder="1" applyAlignment="1">
      <alignment horizontal="center" vertical="center"/>
    </xf>
    <xf numFmtId="10" fontId="3" fillId="7" borderId="12" xfId="0" applyNumberFormat="1" applyFont="1" applyFill="1" applyBorder="1" applyAlignment="1">
      <alignment horizontal="center" vertical="center"/>
    </xf>
    <xf numFmtId="9" fontId="3" fillId="7" borderId="12" xfId="2" applyFont="1" applyFill="1" applyBorder="1" applyAlignment="1">
      <alignment horizontal="center" vertical="center"/>
    </xf>
    <xf numFmtId="0" fontId="3" fillId="7" borderId="12" xfId="0" applyFont="1" applyFill="1" applyBorder="1" applyAlignment="1">
      <alignment horizontal="left" vertical="center" wrapText="1"/>
    </xf>
    <xf numFmtId="166" fontId="3" fillId="7" borderId="12" xfId="0" applyNumberFormat="1" applyFont="1" applyFill="1" applyBorder="1" applyAlignment="1">
      <alignment horizontal="center" vertical="center"/>
    </xf>
    <xf numFmtId="9" fontId="6" fillId="6" borderId="12" xfId="2" applyFont="1" applyFill="1" applyBorder="1" applyAlignment="1">
      <alignment horizontal="center" vertical="center"/>
    </xf>
    <xf numFmtId="9" fontId="6" fillId="6" borderId="8" xfId="2" applyFont="1" applyFill="1" applyBorder="1" applyAlignment="1">
      <alignment horizontal="center" vertical="center"/>
    </xf>
    <xf numFmtId="9" fontId="3" fillId="7" borderId="16" xfId="0" applyNumberFormat="1" applyFont="1" applyFill="1" applyBorder="1" applyAlignment="1">
      <alignment horizontal="left" vertical="center" wrapText="1"/>
    </xf>
    <xf numFmtId="0" fontId="3" fillId="6" borderId="13" xfId="0" applyFont="1" applyFill="1" applyBorder="1" applyAlignment="1">
      <alignment horizontal="center" vertical="center"/>
    </xf>
    <xf numFmtId="167" fontId="21" fillId="6" borderId="13" xfId="6" applyFont="1" applyFill="1" applyBorder="1" applyAlignment="1">
      <alignment horizontal="center" vertical="center"/>
    </xf>
    <xf numFmtId="9" fontId="6" fillId="6" borderId="13" xfId="2" applyFont="1" applyFill="1" applyBorder="1" applyAlignment="1">
      <alignment horizontal="center" vertical="center"/>
    </xf>
    <xf numFmtId="9" fontId="3" fillId="6" borderId="13" xfId="2" applyFont="1" applyFill="1" applyBorder="1" applyAlignment="1">
      <alignment horizontal="center" vertical="center"/>
    </xf>
    <xf numFmtId="9" fontId="3" fillId="6" borderId="12" xfId="2" applyFont="1" applyFill="1" applyBorder="1" applyAlignment="1">
      <alignment horizontal="center" vertical="center"/>
    </xf>
    <xf numFmtId="0" fontId="3" fillId="7" borderId="16" xfId="0" applyFont="1" applyFill="1" applyBorder="1" applyAlignment="1">
      <alignment horizontal="center" vertical="center" wrapText="1"/>
    </xf>
    <xf numFmtId="0" fontId="3" fillId="7" borderId="16" xfId="0" applyFont="1" applyFill="1" applyBorder="1" applyAlignment="1">
      <alignment horizontal="justify" vertical="center" wrapText="1"/>
    </xf>
    <xf numFmtId="1" fontId="3" fillId="7" borderId="16" xfId="2" applyNumberFormat="1" applyFont="1" applyFill="1" applyBorder="1" applyAlignment="1">
      <alignment horizontal="center" vertical="center"/>
    </xf>
    <xf numFmtId="1" fontId="3" fillId="7" borderId="16" xfId="2" applyNumberFormat="1" applyFont="1" applyFill="1" applyBorder="1" applyAlignment="1">
      <alignment horizontal="center" vertical="center" wrapText="1"/>
    </xf>
    <xf numFmtId="1" fontId="3" fillId="21" borderId="16" xfId="2" applyNumberFormat="1" applyFont="1" applyFill="1" applyBorder="1" applyAlignment="1">
      <alignment horizontal="center" vertical="center"/>
    </xf>
    <xf numFmtId="0" fontId="3" fillId="6" borderId="16" xfId="0" applyFont="1" applyFill="1" applyBorder="1" applyAlignment="1">
      <alignment horizontal="center" vertical="center" wrapText="1"/>
    </xf>
    <xf numFmtId="9" fontId="3" fillId="6" borderId="16" xfId="2" applyFont="1" applyFill="1" applyBorder="1" applyAlignment="1">
      <alignment horizontal="center" vertical="center" wrapText="1"/>
    </xf>
    <xf numFmtId="0" fontId="3" fillId="21" borderId="16" xfId="0" applyFont="1" applyFill="1" applyBorder="1" applyAlignment="1">
      <alignment horizontal="left" vertical="center" wrapText="1"/>
    </xf>
    <xf numFmtId="166" fontId="3" fillId="6" borderId="16" xfId="2" applyNumberFormat="1" applyFont="1" applyFill="1" applyBorder="1" applyAlignment="1">
      <alignment horizontal="center" vertical="center" wrapText="1"/>
    </xf>
    <xf numFmtId="166" fontId="3" fillId="6" borderId="12" xfId="2" applyNumberFormat="1" applyFont="1" applyFill="1" applyBorder="1" applyAlignment="1">
      <alignment horizontal="center" vertical="center" wrapText="1"/>
    </xf>
    <xf numFmtId="0" fontId="3" fillId="6" borderId="16" xfId="0" applyFont="1" applyFill="1" applyBorder="1" applyAlignment="1">
      <alignment horizontal="justify" vertical="center" wrapText="1"/>
    </xf>
    <xf numFmtId="1" fontId="3" fillId="7" borderId="16" xfId="2" applyNumberFormat="1" applyFont="1" applyFill="1" applyBorder="1" applyAlignment="1">
      <alignment horizontal="left" vertical="center" wrapText="1"/>
    </xf>
    <xf numFmtId="0" fontId="21" fillId="22" borderId="105" xfId="0" applyFont="1" applyFill="1" applyBorder="1" applyAlignment="1">
      <alignment horizontal="center" vertical="center" wrapText="1"/>
    </xf>
    <xf numFmtId="9" fontId="3" fillId="0" borderId="106" xfId="0" applyNumberFormat="1" applyFont="1" applyBorder="1" applyAlignment="1">
      <alignment horizontal="center" vertical="center"/>
    </xf>
    <xf numFmtId="44" fontId="2" fillId="5" borderId="12" xfId="5" applyFont="1" applyFill="1" applyBorder="1" applyAlignment="1">
      <alignment horizontal="center" vertical="center"/>
    </xf>
    <xf numFmtId="0" fontId="3" fillId="6" borderId="107" xfId="0" applyFont="1" applyFill="1" applyBorder="1" applyAlignment="1">
      <alignment horizontal="center" vertical="center" wrapText="1"/>
    </xf>
    <xf numFmtId="0" fontId="3" fillId="6" borderId="107" xfId="0" applyFont="1" applyFill="1" applyBorder="1" applyAlignment="1">
      <alignment horizontal="center" vertical="center"/>
    </xf>
    <xf numFmtId="0" fontId="3" fillId="6" borderId="107" xfId="0" applyFont="1" applyFill="1" applyBorder="1" applyAlignment="1">
      <alignment horizontal="left" vertical="center" wrapText="1"/>
    </xf>
    <xf numFmtId="0" fontId="3" fillId="6" borderId="107" xfId="0" applyFont="1" applyFill="1" applyBorder="1" applyAlignment="1">
      <alignment vertical="center" wrapText="1"/>
    </xf>
    <xf numFmtId="0" fontId="3" fillId="6" borderId="107" xfId="0" applyFont="1" applyFill="1" applyBorder="1" applyAlignment="1">
      <alignment horizontal="center" vertical="center"/>
    </xf>
    <xf numFmtId="167" fontId="21" fillId="6" borderId="107" xfId="6" applyFont="1" applyFill="1" applyBorder="1" applyAlignment="1">
      <alignment horizontal="center" vertical="center"/>
    </xf>
    <xf numFmtId="167" fontId="21" fillId="6" borderId="107" xfId="0" applyNumberFormat="1" applyFont="1" applyFill="1" applyBorder="1" applyAlignment="1">
      <alignment horizontal="center" vertical="center"/>
    </xf>
    <xf numFmtId="0" fontId="3" fillId="7" borderId="107" xfId="0" applyFont="1" applyFill="1" applyBorder="1" applyAlignment="1">
      <alignment horizontal="center" vertical="center" wrapText="1"/>
    </xf>
    <xf numFmtId="9" fontId="3" fillId="6" borderId="107" xfId="2" applyFont="1" applyFill="1" applyBorder="1" applyAlignment="1">
      <alignment horizontal="center" vertical="center"/>
    </xf>
    <xf numFmtId="0" fontId="29" fillId="6" borderId="107" xfId="0" applyFont="1" applyFill="1" applyBorder="1" applyAlignment="1">
      <alignment horizontal="center" vertical="center"/>
    </xf>
    <xf numFmtId="9" fontId="3" fillId="6" borderId="107" xfId="2" applyFont="1" applyFill="1" applyBorder="1" applyAlignment="1">
      <alignment horizontal="center" vertical="center"/>
    </xf>
    <xf numFmtId="0" fontId="3" fillId="6" borderId="107" xfId="0" applyFont="1" applyFill="1" applyBorder="1" applyAlignment="1">
      <alignment horizontal="center" vertical="center" wrapText="1"/>
    </xf>
    <xf numFmtId="166" fontId="3" fillId="6" borderId="107" xfId="2" applyNumberFormat="1" applyFont="1" applyFill="1" applyBorder="1" applyAlignment="1">
      <alignment horizontal="center" vertical="center"/>
    </xf>
    <xf numFmtId="0" fontId="3" fillId="7" borderId="107" xfId="0" applyFont="1" applyFill="1" applyBorder="1" applyAlignment="1">
      <alignment horizontal="left" vertical="center"/>
    </xf>
    <xf numFmtId="0" fontId="3" fillId="7" borderId="107" xfId="0" applyFont="1" applyFill="1" applyBorder="1" applyAlignment="1">
      <alignment horizontal="left" vertical="center" wrapText="1"/>
    </xf>
    <xf numFmtId="0" fontId="3" fillId="7" borderId="107" xfId="0" applyFont="1" applyFill="1" applyBorder="1" applyAlignment="1">
      <alignment horizontal="center" vertical="center"/>
    </xf>
    <xf numFmtId="1" fontId="3" fillId="7" borderId="107" xfId="0" applyNumberFormat="1" applyFont="1" applyFill="1" applyBorder="1" applyAlignment="1">
      <alignment horizontal="center" vertical="center"/>
    </xf>
    <xf numFmtId="10" fontId="3" fillId="7" borderId="107" xfId="0" applyNumberFormat="1" applyFont="1" applyFill="1" applyBorder="1" applyAlignment="1">
      <alignment horizontal="center" vertical="center"/>
    </xf>
    <xf numFmtId="0" fontId="3" fillId="7" borderId="107" xfId="0" applyFont="1" applyFill="1" applyBorder="1" applyAlignment="1">
      <alignment horizontal="center" vertical="center" wrapText="1"/>
    </xf>
    <xf numFmtId="1" fontId="3" fillId="6" borderId="107" xfId="0" applyNumberFormat="1" applyFont="1" applyFill="1" applyBorder="1" applyAlignment="1">
      <alignment horizontal="center" vertical="center"/>
    </xf>
    <xf numFmtId="10" fontId="3" fillId="6" borderId="107" xfId="0" applyNumberFormat="1" applyFont="1" applyFill="1" applyBorder="1" applyAlignment="1">
      <alignment horizontal="center" vertical="center"/>
    </xf>
    <xf numFmtId="0" fontId="3" fillId="7" borderId="107" xfId="0" applyFont="1" applyFill="1" applyBorder="1" applyAlignment="1">
      <alignment horizontal="center" vertical="center"/>
    </xf>
    <xf numFmtId="10" fontId="3" fillId="7" borderId="107" xfId="0" applyNumberFormat="1" applyFont="1" applyFill="1" applyBorder="1" applyAlignment="1">
      <alignment horizontal="center" vertical="center"/>
    </xf>
    <xf numFmtId="9" fontId="3" fillId="7" borderId="107" xfId="2" applyFont="1" applyFill="1" applyBorder="1" applyAlignment="1">
      <alignment horizontal="center" vertical="center"/>
    </xf>
    <xf numFmtId="0" fontId="3" fillId="7" borderId="107" xfId="0" applyFont="1" applyFill="1" applyBorder="1" applyAlignment="1">
      <alignment vertical="center" wrapText="1"/>
    </xf>
    <xf numFmtId="9" fontId="3" fillId="7" borderId="107" xfId="0" applyNumberFormat="1" applyFont="1" applyFill="1" applyBorder="1" applyAlignment="1">
      <alignment horizontal="center" vertical="center"/>
    </xf>
    <xf numFmtId="0" fontId="3" fillId="23" borderId="107" xfId="0" applyFont="1" applyFill="1" applyBorder="1" applyAlignment="1">
      <alignment horizontal="center" vertical="center" wrapText="1"/>
    </xf>
    <xf numFmtId="0" fontId="3" fillId="6" borderId="107" xfId="0" applyFont="1" applyFill="1" applyBorder="1" applyAlignment="1">
      <alignment horizontal="left" vertical="center"/>
    </xf>
    <xf numFmtId="9" fontId="3" fillId="6" borderId="107" xfId="0" applyNumberFormat="1" applyFont="1" applyFill="1" applyBorder="1" applyAlignment="1">
      <alignment horizontal="center" vertical="center"/>
    </xf>
    <xf numFmtId="9" fontId="3" fillId="24" borderId="107" xfId="0" applyNumberFormat="1" applyFont="1" applyFill="1" applyBorder="1" applyAlignment="1">
      <alignment horizontal="center" vertical="center"/>
    </xf>
    <xf numFmtId="9" fontId="3" fillId="24" borderId="107" xfId="2" applyFont="1" applyFill="1" applyBorder="1" applyAlignment="1">
      <alignment horizontal="center" vertical="center"/>
    </xf>
    <xf numFmtId="0" fontId="3" fillId="24" borderId="107" xfId="0" applyFont="1" applyFill="1" applyBorder="1" applyAlignment="1">
      <alignment horizontal="center" vertical="center" wrapText="1"/>
    </xf>
    <xf numFmtId="9" fontId="3" fillId="7" borderId="107" xfId="2" applyFont="1" applyFill="1" applyBorder="1" applyAlignment="1">
      <alignment horizontal="left" vertical="center"/>
    </xf>
    <xf numFmtId="166" fontId="3" fillId="6" borderId="107" xfId="0" applyNumberFormat="1" applyFont="1" applyFill="1" applyBorder="1" applyAlignment="1">
      <alignment horizontal="center" vertical="center"/>
    </xf>
    <xf numFmtId="0" fontId="3" fillId="6" borderId="107" xfId="0" applyFont="1" applyFill="1" applyBorder="1" applyAlignment="1">
      <alignment horizontal="left" vertical="center" wrapText="1"/>
    </xf>
    <xf numFmtId="173" fontId="3" fillId="7" borderId="107" xfId="9" applyFont="1" applyFill="1" applyBorder="1" applyAlignment="1">
      <alignment horizontal="center" vertical="center"/>
    </xf>
    <xf numFmtId="9" fontId="3" fillId="7" borderId="107" xfId="2" applyFont="1" applyFill="1" applyBorder="1" applyAlignment="1">
      <alignment horizontal="center" vertical="center"/>
    </xf>
    <xf numFmtId="173" fontId="3" fillId="7" borderId="107" xfId="9" applyFont="1" applyFill="1" applyBorder="1" applyAlignment="1">
      <alignment horizontal="center" vertical="center"/>
    </xf>
    <xf numFmtId="9" fontId="3" fillId="7" borderId="107" xfId="9" applyNumberFormat="1" applyFont="1" applyFill="1" applyBorder="1" applyAlignment="1">
      <alignment horizontal="center" vertical="center"/>
    </xf>
    <xf numFmtId="41" fontId="3" fillId="7" borderId="107" xfId="4" applyFont="1" applyFill="1" applyBorder="1" applyAlignment="1">
      <alignment horizontal="center" vertical="center"/>
    </xf>
    <xf numFmtId="9" fontId="3" fillId="7" borderId="107" xfId="4" applyNumberFormat="1" applyFont="1" applyFill="1" applyBorder="1" applyAlignment="1">
      <alignment horizontal="center" vertical="center"/>
    </xf>
    <xf numFmtId="9" fontId="3" fillId="7" borderId="107" xfId="0" applyNumberFormat="1" applyFont="1" applyFill="1" applyBorder="1" applyAlignment="1">
      <alignment horizontal="center" vertical="center" wrapText="1"/>
    </xf>
    <xf numFmtId="0" fontId="15" fillId="19" borderId="107" xfId="0" applyFont="1" applyFill="1" applyBorder="1" applyAlignment="1">
      <alignment horizontal="center" vertical="center" wrapText="1"/>
    </xf>
    <xf numFmtId="0" fontId="3" fillId="7" borderId="107" xfId="0" applyFont="1" applyFill="1" applyBorder="1" applyAlignment="1">
      <alignment vertical="center"/>
    </xf>
    <xf numFmtId="9" fontId="3" fillId="7" borderId="107" xfId="9" applyNumberFormat="1" applyFont="1" applyFill="1" applyBorder="1" applyAlignment="1">
      <alignment horizontal="center" vertical="center" wrapText="1"/>
    </xf>
    <xf numFmtId="9" fontId="3" fillId="7" borderId="107" xfId="4" applyNumberFormat="1" applyFont="1" applyFill="1" applyBorder="1" applyAlignment="1">
      <alignment horizontal="center" vertical="center" wrapText="1"/>
    </xf>
    <xf numFmtId="9" fontId="3" fillId="6" borderId="107" xfId="4" applyNumberFormat="1" applyFont="1" applyFill="1" applyBorder="1" applyAlignment="1">
      <alignment horizontal="center" vertical="center"/>
    </xf>
    <xf numFmtId="9" fontId="15" fillId="6" borderId="107" xfId="4" applyNumberFormat="1" applyFont="1" applyFill="1" applyBorder="1" applyAlignment="1">
      <alignment horizontal="center" vertical="center" wrapText="1"/>
    </xf>
    <xf numFmtId="9" fontId="15" fillId="7" borderId="107" xfId="4" applyNumberFormat="1" applyFont="1" applyFill="1" applyBorder="1" applyAlignment="1">
      <alignment horizontal="center" vertical="center" wrapText="1"/>
    </xf>
    <xf numFmtId="10" fontId="3" fillId="7" borderId="107" xfId="2" applyNumberFormat="1" applyFont="1" applyFill="1" applyBorder="1" applyAlignment="1">
      <alignment horizontal="center" vertical="center"/>
    </xf>
    <xf numFmtId="0" fontId="30" fillId="7" borderId="107" xfId="10" applyFill="1" applyBorder="1" applyAlignment="1">
      <alignment horizontal="left" vertical="center" wrapText="1"/>
    </xf>
    <xf numFmtId="9" fontId="3" fillId="6" borderId="107" xfId="2" applyFont="1" applyFill="1" applyBorder="1" applyAlignment="1">
      <alignment vertical="center"/>
    </xf>
    <xf numFmtId="1" fontId="3" fillId="7" borderId="107" xfId="2" applyNumberFormat="1" applyFont="1" applyFill="1" applyBorder="1" applyAlignment="1">
      <alignment horizontal="center" vertical="center"/>
    </xf>
    <xf numFmtId="1" fontId="3" fillId="6" borderId="107" xfId="2" applyNumberFormat="1" applyFont="1" applyFill="1" applyBorder="1" applyAlignment="1">
      <alignment horizontal="center" vertical="center"/>
    </xf>
    <xf numFmtId="0" fontId="3" fillId="7" borderId="107" xfId="0" applyFont="1" applyFill="1" applyBorder="1" applyAlignment="1">
      <alignment horizontal="left" vertical="center" wrapText="1"/>
    </xf>
    <xf numFmtId="1" fontId="3" fillId="7" borderId="107" xfId="2" applyNumberFormat="1" applyFont="1" applyFill="1" applyBorder="1" applyAlignment="1">
      <alignment horizontal="center" vertical="center"/>
    </xf>
    <xf numFmtId="0" fontId="6" fillId="6" borderId="107" xfId="0" applyFont="1" applyFill="1" applyBorder="1" applyAlignment="1">
      <alignment horizontal="left" vertical="center" wrapText="1"/>
    </xf>
    <xf numFmtId="1" fontId="3" fillId="7" borderId="107" xfId="0" applyNumberFormat="1" applyFont="1" applyFill="1" applyBorder="1" applyAlignment="1">
      <alignment horizontal="left" vertical="center"/>
    </xf>
    <xf numFmtId="1" fontId="3" fillId="0" borderId="0" xfId="0" applyNumberFormat="1" applyFont="1" applyAlignment="1">
      <alignment horizontal="left" vertical="center"/>
    </xf>
    <xf numFmtId="0" fontId="3" fillId="0" borderId="0" xfId="0" applyFont="1" applyAlignment="1">
      <alignment horizontal="left" vertical="center" wrapText="1"/>
    </xf>
    <xf numFmtId="0" fontId="2" fillId="3" borderId="72" xfId="0" applyFont="1" applyFill="1" applyBorder="1" applyAlignment="1">
      <alignment horizontal="center" vertical="center"/>
    </xf>
    <xf numFmtId="0" fontId="2" fillId="3" borderId="94" xfId="0" applyFont="1" applyFill="1" applyBorder="1" applyAlignment="1">
      <alignment horizontal="center"/>
    </xf>
    <xf numFmtId="0" fontId="2" fillId="3" borderId="96" xfId="0" applyFont="1" applyFill="1" applyBorder="1" applyAlignment="1">
      <alignment horizontal="center"/>
    </xf>
    <xf numFmtId="0" fontId="16" fillId="2" borderId="0" xfId="0" applyFont="1" applyFill="1"/>
    <xf numFmtId="0" fontId="2" fillId="3" borderId="102" xfId="0" applyFont="1" applyFill="1" applyBorder="1" applyAlignment="1">
      <alignment horizontal="center" vertical="center"/>
    </xf>
    <xf numFmtId="0" fontId="2" fillId="3" borderId="108" xfId="0" applyFont="1" applyFill="1" applyBorder="1" applyAlignment="1">
      <alignment horizontal="right" wrapText="1"/>
    </xf>
    <xf numFmtId="0" fontId="2" fillId="3" borderId="109" xfId="0" applyFont="1" applyFill="1" applyBorder="1" applyAlignment="1">
      <alignment horizontal="right" wrapText="1"/>
    </xf>
    <xf numFmtId="0" fontId="0" fillId="2" borderId="0" xfId="0" applyFill="1" applyAlignment="1">
      <alignment horizontal="center"/>
    </xf>
    <xf numFmtId="0" fontId="16" fillId="6" borderId="110" xfId="0" applyFont="1" applyFill="1" applyBorder="1" applyAlignment="1">
      <alignment horizontal="center" vertical="center"/>
    </xf>
    <xf numFmtId="0" fontId="0" fillId="6" borderId="110" xfId="0" applyFill="1" applyBorder="1"/>
    <xf numFmtId="166" fontId="16" fillId="6" borderId="111" xfId="2" applyNumberFormat="1" applyFont="1" applyFill="1" applyBorder="1" applyAlignment="1">
      <alignment horizontal="right"/>
    </xf>
    <xf numFmtId="166" fontId="16" fillId="6" borderId="112" xfId="2" applyNumberFormat="1" applyFont="1" applyFill="1" applyBorder="1" applyAlignment="1">
      <alignment horizontal="right"/>
    </xf>
    <xf numFmtId="0" fontId="16" fillId="6" borderId="101" xfId="0" applyFont="1" applyFill="1" applyBorder="1" applyAlignment="1">
      <alignment horizontal="center" vertical="center"/>
    </xf>
    <xf numFmtId="0" fontId="16" fillId="6" borderId="113" xfId="0" applyFont="1" applyFill="1" applyBorder="1" applyAlignment="1">
      <alignment horizontal="center" vertical="center"/>
    </xf>
    <xf numFmtId="0" fontId="0" fillId="6" borderId="113" xfId="0" applyFill="1" applyBorder="1"/>
    <xf numFmtId="166" fontId="16" fillId="6" borderId="103" xfId="2" applyNumberFormat="1" applyFont="1" applyFill="1" applyBorder="1" applyAlignment="1">
      <alignment horizontal="right"/>
    </xf>
    <xf numFmtId="166" fontId="16" fillId="6" borderId="114" xfId="2" applyNumberFormat="1" applyFont="1" applyFill="1" applyBorder="1" applyAlignment="1">
      <alignment horizontal="right"/>
    </xf>
    <xf numFmtId="0" fontId="16" fillId="6" borderId="115" xfId="0" applyFont="1" applyFill="1" applyBorder="1" applyAlignment="1">
      <alignment horizontal="center" vertical="center"/>
    </xf>
    <xf numFmtId="0" fontId="0" fillId="2" borderId="113" xfId="0" applyFill="1" applyBorder="1"/>
    <xf numFmtId="166" fontId="0" fillId="2" borderId="103" xfId="2" applyNumberFormat="1" applyFont="1" applyFill="1" applyBorder="1" applyAlignment="1">
      <alignment horizontal="right"/>
    </xf>
    <xf numFmtId="166" fontId="0" fillId="2" borderId="116" xfId="2" applyNumberFormat="1" applyFont="1" applyFill="1" applyBorder="1" applyAlignment="1">
      <alignment horizontal="right"/>
    </xf>
    <xf numFmtId="0" fontId="16" fillId="6" borderId="101" xfId="0" applyFont="1" applyFill="1" applyBorder="1" applyAlignment="1">
      <alignment horizontal="center" vertical="center"/>
    </xf>
    <xf numFmtId="166" fontId="0" fillId="2" borderId="114" xfId="2" applyNumberFormat="1" applyFont="1" applyFill="1" applyBorder="1" applyAlignment="1">
      <alignment horizontal="right"/>
    </xf>
    <xf numFmtId="0" fontId="16" fillId="6" borderId="117" xfId="0" applyFont="1" applyFill="1" applyBorder="1" applyAlignment="1">
      <alignment horizontal="center" vertical="center"/>
    </xf>
    <xf numFmtId="0" fontId="16" fillId="6" borderId="94" xfId="0" applyFont="1" applyFill="1" applyBorder="1"/>
    <xf numFmtId="166" fontId="16" fillId="6" borderId="108" xfId="2" applyNumberFormat="1" applyFont="1" applyFill="1" applyBorder="1" applyAlignment="1">
      <alignment horizontal="right"/>
    </xf>
    <xf numFmtId="0" fontId="16" fillId="6" borderId="118" xfId="0" applyFont="1" applyFill="1" applyBorder="1" applyAlignment="1">
      <alignment horizontal="center" vertical="center"/>
    </xf>
    <xf numFmtId="0" fontId="16" fillId="6" borderId="1" xfId="0" applyFont="1" applyFill="1" applyBorder="1" applyAlignment="1">
      <alignment horizontal="center" vertical="center"/>
    </xf>
    <xf numFmtId="0" fontId="0" fillId="2" borderId="119" xfId="0" applyFill="1" applyBorder="1"/>
    <xf numFmtId="0" fontId="16" fillId="6" borderId="120" xfId="0" applyFont="1" applyFill="1" applyBorder="1" applyAlignment="1">
      <alignment horizontal="center" vertical="center"/>
    </xf>
    <xf numFmtId="166" fontId="0" fillId="2" borderId="111" xfId="2" applyNumberFormat="1" applyFont="1" applyFill="1" applyBorder="1" applyAlignment="1">
      <alignment horizontal="right"/>
    </xf>
    <xf numFmtId="166" fontId="0" fillId="2" borderId="121" xfId="2" applyNumberFormat="1" applyFont="1" applyFill="1" applyBorder="1" applyAlignment="1">
      <alignment horizontal="right"/>
    </xf>
    <xf numFmtId="0" fontId="0" fillId="2" borderId="92" xfId="0" applyFill="1" applyBorder="1"/>
    <xf numFmtId="166" fontId="0" fillId="2" borderId="122" xfId="2" applyNumberFormat="1" applyFont="1" applyFill="1" applyBorder="1" applyAlignment="1">
      <alignment horizontal="right"/>
    </xf>
    <xf numFmtId="166" fontId="0" fillId="2" borderId="123" xfId="2" applyNumberFormat="1" applyFont="1" applyFill="1" applyBorder="1" applyAlignment="1">
      <alignment horizontal="right"/>
    </xf>
    <xf numFmtId="0" fontId="16" fillId="6" borderId="124" xfId="0" applyFont="1" applyFill="1" applyBorder="1" applyAlignment="1">
      <alignment horizontal="center" vertical="center"/>
    </xf>
    <xf numFmtId="0" fontId="31" fillId="3" borderId="94" xfId="0" applyFont="1" applyFill="1" applyBorder="1"/>
    <xf numFmtId="166" fontId="31" fillId="3" borderId="108" xfId="0" applyNumberFormat="1" applyFont="1" applyFill="1" applyBorder="1" applyAlignment="1">
      <alignment horizontal="right"/>
    </xf>
    <xf numFmtId="41" fontId="0" fillId="2" borderId="0" xfId="4" applyFont="1" applyFill="1" applyAlignment="1">
      <alignment horizontal="right"/>
    </xf>
    <xf numFmtId="0" fontId="0" fillId="2" borderId="0" xfId="0" applyFill="1" applyAlignment="1">
      <alignment horizontal="right"/>
    </xf>
    <xf numFmtId="10" fontId="0" fillId="2" borderId="0" xfId="0" applyNumberFormat="1" applyFill="1" applyAlignment="1">
      <alignment horizontal="right"/>
    </xf>
    <xf numFmtId="6" fontId="0" fillId="2" borderId="0" xfId="0" applyNumberFormat="1" applyFill="1" applyAlignment="1">
      <alignment horizontal="right"/>
    </xf>
    <xf numFmtId="10" fontId="0" fillId="2" borderId="0" xfId="0" applyNumberFormat="1" applyFill="1"/>
    <xf numFmtId="0" fontId="2" fillId="3" borderId="125" xfId="0" applyFont="1" applyFill="1" applyBorder="1" applyAlignment="1">
      <alignment horizontal="center"/>
    </xf>
    <xf numFmtId="0" fontId="2" fillId="3" borderId="126" xfId="0" applyFont="1" applyFill="1" applyBorder="1" applyAlignment="1">
      <alignment horizontal="center"/>
    </xf>
    <xf numFmtId="10" fontId="16" fillId="6" borderId="111" xfId="2" applyNumberFormat="1" applyFont="1" applyFill="1" applyBorder="1" applyAlignment="1">
      <alignment horizontal="right"/>
    </xf>
    <xf numFmtId="10" fontId="16" fillId="6" borderId="112" xfId="2" applyNumberFormat="1" applyFont="1" applyFill="1" applyBorder="1" applyAlignment="1">
      <alignment horizontal="right"/>
    </xf>
    <xf numFmtId="9" fontId="16" fillId="6" borderId="112" xfId="2" applyFont="1" applyFill="1" applyBorder="1" applyAlignment="1">
      <alignment horizontal="right"/>
    </xf>
    <xf numFmtId="9" fontId="16" fillId="6" borderId="111" xfId="2" applyFont="1" applyFill="1" applyBorder="1" applyAlignment="1">
      <alignment horizontal="right"/>
    </xf>
    <xf numFmtId="10" fontId="16" fillId="6" borderId="103" xfId="2" applyNumberFormat="1" applyFont="1" applyFill="1" applyBorder="1" applyAlignment="1">
      <alignment horizontal="right"/>
    </xf>
    <xf numFmtId="10" fontId="16" fillId="6" borderId="114" xfId="2" applyNumberFormat="1" applyFont="1" applyFill="1" applyBorder="1" applyAlignment="1">
      <alignment horizontal="right"/>
    </xf>
    <xf numFmtId="10" fontId="0" fillId="2" borderId="103" xfId="2" applyNumberFormat="1" applyFont="1" applyFill="1" applyBorder="1" applyAlignment="1">
      <alignment horizontal="right"/>
    </xf>
    <xf numFmtId="10" fontId="0" fillId="2" borderId="114" xfId="2" applyNumberFormat="1" applyFont="1" applyFill="1" applyBorder="1" applyAlignment="1">
      <alignment horizontal="right"/>
    </xf>
    <xf numFmtId="10" fontId="0" fillId="2" borderId="116" xfId="2" applyNumberFormat="1" applyFont="1" applyFill="1" applyBorder="1" applyAlignment="1">
      <alignment horizontal="right"/>
    </xf>
    <xf numFmtId="10" fontId="16" fillId="6" borderId="108" xfId="2" applyNumberFormat="1" applyFont="1" applyFill="1" applyBorder="1" applyAlignment="1">
      <alignment horizontal="right"/>
    </xf>
    <xf numFmtId="10" fontId="32" fillId="25" borderId="103" xfId="0" applyNumberFormat="1" applyFont="1" applyFill="1" applyBorder="1"/>
    <xf numFmtId="10" fontId="32" fillId="25" borderId="127" xfId="0" applyNumberFormat="1" applyFont="1" applyFill="1" applyBorder="1"/>
    <xf numFmtId="10" fontId="32" fillId="25" borderId="111" xfId="0" applyNumberFormat="1" applyFont="1" applyFill="1" applyBorder="1"/>
    <xf numFmtId="0" fontId="32" fillId="25" borderId="120" xfId="0" applyFont="1" applyFill="1" applyBorder="1" applyAlignment="1">
      <alignment horizontal="right"/>
    </xf>
    <xf numFmtId="10" fontId="33" fillId="11" borderId="108" xfId="0" applyNumberFormat="1" applyFont="1" applyFill="1" applyBorder="1"/>
    <xf numFmtId="10" fontId="0" fillId="2" borderId="111" xfId="2" applyNumberFormat="1" applyFont="1" applyFill="1" applyBorder="1" applyAlignment="1">
      <alignment horizontal="right"/>
    </xf>
    <xf numFmtId="10" fontId="0" fillId="2" borderId="121" xfId="2" applyNumberFormat="1" applyFont="1" applyFill="1" applyBorder="1" applyAlignment="1">
      <alignment horizontal="right"/>
    </xf>
    <xf numFmtId="10" fontId="0" fillId="2" borderId="122" xfId="2" applyNumberFormat="1" applyFont="1" applyFill="1" applyBorder="1" applyAlignment="1">
      <alignment horizontal="right"/>
    </xf>
    <xf numFmtId="10" fontId="0" fillId="2" borderId="123" xfId="2" applyNumberFormat="1" applyFont="1" applyFill="1" applyBorder="1" applyAlignment="1">
      <alignment horizontal="right"/>
    </xf>
    <xf numFmtId="10" fontId="31" fillId="3" borderId="108" xfId="0" applyNumberFormat="1" applyFont="1" applyFill="1" applyBorder="1" applyAlignment="1">
      <alignment horizontal="right"/>
    </xf>
    <xf numFmtId="10" fontId="34" fillId="2" borderId="0" xfId="0" applyNumberFormat="1" applyFont="1" applyFill="1"/>
    <xf numFmtId="0" fontId="32" fillId="0" borderId="128" xfId="0" applyFont="1" applyBorder="1" applyAlignment="1">
      <alignment horizontal="center" wrapText="1"/>
    </xf>
    <xf numFmtId="0" fontId="32" fillId="0" borderId="129" xfId="0" applyFont="1" applyBorder="1" applyAlignment="1">
      <alignment horizontal="center" wrapText="1"/>
    </xf>
    <xf numFmtId="0" fontId="32" fillId="0" borderId="130" xfId="0" applyFont="1" applyBorder="1" applyAlignment="1">
      <alignment horizontal="center" wrapText="1"/>
    </xf>
    <xf numFmtId="0" fontId="32" fillId="0" borderId="131" xfId="0" applyFont="1" applyBorder="1" applyAlignment="1">
      <alignment horizontal="center" wrapText="1"/>
    </xf>
    <xf numFmtId="0" fontId="32" fillId="0" borderId="0" xfId="0" applyFont="1" applyAlignment="1">
      <alignment horizontal="center" wrapText="1"/>
    </xf>
    <xf numFmtId="0" fontId="32" fillId="0" borderId="132" xfId="0" applyFont="1" applyBorder="1" applyAlignment="1">
      <alignment horizontal="center" wrapText="1"/>
    </xf>
    <xf numFmtId="0" fontId="32" fillId="0" borderId="133" xfId="0" applyFont="1" applyBorder="1" applyAlignment="1">
      <alignment horizontal="center" wrapText="1"/>
    </xf>
    <xf numFmtId="0" fontId="32" fillId="0" borderId="134" xfId="0" applyFont="1" applyBorder="1" applyAlignment="1">
      <alignment horizontal="center" wrapText="1"/>
    </xf>
    <xf numFmtId="0" fontId="32" fillId="0" borderId="135" xfId="0" applyFont="1" applyBorder="1" applyAlignment="1">
      <alignment horizontal="center" wrapText="1"/>
    </xf>
  </cellXfs>
  <cellStyles count="11">
    <cellStyle name="Hipervínculo" xfId="10" builtinId="8"/>
    <cellStyle name="Millares" xfId="3" builtinId="3"/>
    <cellStyle name="Millares [0]" xfId="4" builtinId="6"/>
    <cellStyle name="Millares [0] 2" xfId="9" xr:uid="{E0810025-231C-40B8-BEF7-66DD1F119DDF}"/>
    <cellStyle name="Moneda" xfId="1" builtinId="4"/>
    <cellStyle name="Moneda [0]" xfId="8" builtinId="7"/>
    <cellStyle name="Moneda [0] 2" xfId="6" xr:uid="{00000000-0005-0000-0000-000003000000}"/>
    <cellStyle name="Moneda 2" xfId="5" xr:uid="{00000000-0005-0000-0000-000004000000}"/>
    <cellStyle name="Moneda 3" xfId="7" xr:uid="{00000000-0005-0000-0000-000005000000}"/>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externalLink" Target="externalLinks/externalLink12.xml"/><Relationship Id="rId39" Type="http://schemas.openxmlformats.org/officeDocument/2006/relationships/customXml" Target="../customXml/item1.xml"/><Relationship Id="rId21" Type="http://schemas.openxmlformats.org/officeDocument/2006/relationships/externalLink" Target="externalLinks/externalLink7.xml"/><Relationship Id="rId34"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externalLink" Target="externalLinks/externalLink15.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0.xml"/><Relationship Id="rId32" Type="http://schemas.openxmlformats.org/officeDocument/2006/relationships/externalLink" Target="externalLinks/externalLink18.xml"/><Relationship Id="rId37" Type="http://schemas.microsoft.com/office/2017/10/relationships/person" Target="persons/person.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externalLink" Target="externalLinks/externalLink14.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5.xml"/><Relationship Id="rId31" Type="http://schemas.openxmlformats.org/officeDocument/2006/relationships/externalLink" Target="externalLinks/externalLink1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externalLink" Target="externalLinks/externalLink13.xml"/><Relationship Id="rId30" Type="http://schemas.openxmlformats.org/officeDocument/2006/relationships/externalLink" Target="externalLinks/externalLink16.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33" Type="http://schemas.openxmlformats.org/officeDocument/2006/relationships/externalLink" Target="externalLinks/externalLink19.xml"/><Relationship Id="rId38"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3</xdr:row>
      <xdr:rowOff>0</xdr:rowOff>
    </xdr:to>
    <xdr:grpSp>
      <xdr:nvGrpSpPr>
        <xdr:cNvPr id="2" name="Grupo 1">
          <a:extLst>
            <a:ext uri="{FF2B5EF4-FFF2-40B4-BE49-F238E27FC236}">
              <a16:creationId xmlns:a16="http://schemas.microsoft.com/office/drawing/2014/main" id="{0C92E755-FD45-4A01-9578-6CD3D4941CF3}"/>
            </a:ext>
          </a:extLst>
        </xdr:cNvPr>
        <xdr:cNvGrpSpPr/>
      </xdr:nvGrpSpPr>
      <xdr:grpSpPr>
        <a:xfrm>
          <a:off x="0" y="0"/>
          <a:ext cx="0" cy="952500"/>
          <a:chOff x="228600" y="47625"/>
          <a:chExt cx="2680608" cy="981075"/>
        </a:xfrm>
      </xdr:grpSpPr>
      <xdr:pic>
        <xdr:nvPicPr>
          <xdr:cNvPr id="3" name="Picture 5">
            <a:extLst>
              <a:ext uri="{FF2B5EF4-FFF2-40B4-BE49-F238E27FC236}">
                <a16:creationId xmlns:a16="http://schemas.microsoft.com/office/drawing/2014/main" id="{79CD486A-CBB1-4442-9CFD-87B85421F0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F9C66192-2EDA-4865-8BDE-A2BF12A4B070}"/>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twoCellAnchor>
    <xdr:from>
      <xdr:col>0</xdr:col>
      <xdr:colOff>0</xdr:colOff>
      <xdr:row>0</xdr:row>
      <xdr:rowOff>0</xdr:rowOff>
    </xdr:from>
    <xdr:to>
      <xdr:col>0</xdr:col>
      <xdr:colOff>0</xdr:colOff>
      <xdr:row>2</xdr:row>
      <xdr:rowOff>295275</xdr:rowOff>
    </xdr:to>
    <xdr:grpSp>
      <xdr:nvGrpSpPr>
        <xdr:cNvPr id="5" name="Grupo 4">
          <a:extLst>
            <a:ext uri="{FF2B5EF4-FFF2-40B4-BE49-F238E27FC236}">
              <a16:creationId xmlns:a16="http://schemas.microsoft.com/office/drawing/2014/main" id="{02C9189D-EEAE-404F-ACEA-5A25B57D6D21}"/>
            </a:ext>
          </a:extLst>
        </xdr:cNvPr>
        <xdr:cNvGrpSpPr/>
      </xdr:nvGrpSpPr>
      <xdr:grpSpPr>
        <a:xfrm>
          <a:off x="0" y="0"/>
          <a:ext cx="0" cy="876300"/>
          <a:chOff x="228600" y="47625"/>
          <a:chExt cx="2680608" cy="981075"/>
        </a:xfrm>
      </xdr:grpSpPr>
      <xdr:pic>
        <xdr:nvPicPr>
          <xdr:cNvPr id="6" name="Picture 5">
            <a:extLst>
              <a:ext uri="{FF2B5EF4-FFF2-40B4-BE49-F238E27FC236}">
                <a16:creationId xmlns:a16="http://schemas.microsoft.com/office/drawing/2014/main" id="{EAED2606-65F6-464A-9698-BC7DC44CDCF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7" name="5 CuadroTexto">
            <a:extLst>
              <a:ext uri="{FF2B5EF4-FFF2-40B4-BE49-F238E27FC236}">
                <a16:creationId xmlns:a16="http://schemas.microsoft.com/office/drawing/2014/main" id="{1D0204BD-E639-4AF1-970A-9762D859B373}"/>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213633</xdr:colOff>
      <xdr:row>3</xdr:row>
      <xdr:rowOff>0</xdr:rowOff>
    </xdr:to>
    <xdr:grpSp>
      <xdr:nvGrpSpPr>
        <xdr:cNvPr id="2" name="Grupo 1">
          <a:extLst>
            <a:ext uri="{FF2B5EF4-FFF2-40B4-BE49-F238E27FC236}">
              <a16:creationId xmlns:a16="http://schemas.microsoft.com/office/drawing/2014/main" id="{70BBB552-6220-4F92-8E06-502DA00F49C2}"/>
            </a:ext>
          </a:extLst>
        </xdr:cNvPr>
        <xdr:cNvGrpSpPr/>
      </xdr:nvGrpSpPr>
      <xdr:grpSpPr>
        <a:xfrm>
          <a:off x="0" y="0"/>
          <a:ext cx="2404383" cy="609600"/>
          <a:chOff x="228600" y="47625"/>
          <a:chExt cx="2680608" cy="981075"/>
        </a:xfrm>
      </xdr:grpSpPr>
      <xdr:pic>
        <xdr:nvPicPr>
          <xdr:cNvPr id="3" name="Picture 5">
            <a:extLst>
              <a:ext uri="{FF2B5EF4-FFF2-40B4-BE49-F238E27FC236}">
                <a16:creationId xmlns:a16="http://schemas.microsoft.com/office/drawing/2014/main" id="{CB3891F5-929B-44DE-97B4-70E7BF051A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61802392-1309-44FB-BF7C-6F9921B1FFF9}"/>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213633</xdr:colOff>
      <xdr:row>3</xdr:row>
      <xdr:rowOff>0</xdr:rowOff>
    </xdr:to>
    <xdr:grpSp>
      <xdr:nvGrpSpPr>
        <xdr:cNvPr id="2" name="Grupo 1">
          <a:extLst>
            <a:ext uri="{FF2B5EF4-FFF2-40B4-BE49-F238E27FC236}">
              <a16:creationId xmlns:a16="http://schemas.microsoft.com/office/drawing/2014/main" id="{0D77C263-96C9-48B8-9D3F-E2D4465E93B0}"/>
            </a:ext>
          </a:extLst>
        </xdr:cNvPr>
        <xdr:cNvGrpSpPr/>
      </xdr:nvGrpSpPr>
      <xdr:grpSpPr>
        <a:xfrm>
          <a:off x="0" y="0"/>
          <a:ext cx="3288847" cy="952500"/>
          <a:chOff x="228600" y="47625"/>
          <a:chExt cx="2680608" cy="981075"/>
        </a:xfrm>
      </xdr:grpSpPr>
      <xdr:pic>
        <xdr:nvPicPr>
          <xdr:cNvPr id="3" name="Picture 5">
            <a:extLst>
              <a:ext uri="{FF2B5EF4-FFF2-40B4-BE49-F238E27FC236}">
                <a16:creationId xmlns:a16="http://schemas.microsoft.com/office/drawing/2014/main" id="{A9DFEDD3-7A1F-4F7E-A7AC-AFEB06F794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46AD0095-5EF1-4913-A759-E69FB6370137}"/>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213633</xdr:colOff>
      <xdr:row>3</xdr:row>
      <xdr:rowOff>0</xdr:rowOff>
    </xdr:to>
    <xdr:grpSp>
      <xdr:nvGrpSpPr>
        <xdr:cNvPr id="2" name="Grupo 1">
          <a:extLst>
            <a:ext uri="{FF2B5EF4-FFF2-40B4-BE49-F238E27FC236}">
              <a16:creationId xmlns:a16="http://schemas.microsoft.com/office/drawing/2014/main" id="{D6B99FBE-0CBE-4263-8600-8231A56CE378}"/>
            </a:ext>
          </a:extLst>
        </xdr:cNvPr>
        <xdr:cNvGrpSpPr/>
      </xdr:nvGrpSpPr>
      <xdr:grpSpPr>
        <a:xfrm>
          <a:off x="0" y="0"/>
          <a:ext cx="3489067" cy="952500"/>
          <a:chOff x="228600" y="47625"/>
          <a:chExt cx="2680608" cy="981075"/>
        </a:xfrm>
      </xdr:grpSpPr>
      <xdr:pic>
        <xdr:nvPicPr>
          <xdr:cNvPr id="3" name="Picture 5">
            <a:extLst>
              <a:ext uri="{FF2B5EF4-FFF2-40B4-BE49-F238E27FC236}">
                <a16:creationId xmlns:a16="http://schemas.microsoft.com/office/drawing/2014/main" id="{48471370-3443-429B-BFFE-757263D691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7899E9F4-3AEB-4B47-9000-521EAEA27D0F}"/>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3</xdr:row>
      <xdr:rowOff>0</xdr:rowOff>
    </xdr:to>
    <xdr:grpSp>
      <xdr:nvGrpSpPr>
        <xdr:cNvPr id="2" name="Grupo 1">
          <a:extLst>
            <a:ext uri="{FF2B5EF4-FFF2-40B4-BE49-F238E27FC236}">
              <a16:creationId xmlns:a16="http://schemas.microsoft.com/office/drawing/2014/main" id="{59E56FFA-61EA-4A09-9D88-5B126D1575C9}"/>
            </a:ext>
          </a:extLst>
        </xdr:cNvPr>
        <xdr:cNvGrpSpPr/>
      </xdr:nvGrpSpPr>
      <xdr:grpSpPr>
        <a:xfrm>
          <a:off x="0" y="0"/>
          <a:ext cx="0" cy="952500"/>
          <a:chOff x="228600" y="47625"/>
          <a:chExt cx="2680608" cy="981075"/>
        </a:xfrm>
      </xdr:grpSpPr>
      <xdr:pic>
        <xdr:nvPicPr>
          <xdr:cNvPr id="3" name="Picture 5">
            <a:extLst>
              <a:ext uri="{FF2B5EF4-FFF2-40B4-BE49-F238E27FC236}">
                <a16:creationId xmlns:a16="http://schemas.microsoft.com/office/drawing/2014/main" id="{BA8FFB3C-4F54-4F3A-91EF-758948097B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294FF616-D785-4205-8E15-A3EE5CCEB2EF}"/>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twoCellAnchor>
    <xdr:from>
      <xdr:col>0</xdr:col>
      <xdr:colOff>44824</xdr:colOff>
      <xdr:row>0</xdr:row>
      <xdr:rowOff>0</xdr:rowOff>
    </xdr:from>
    <xdr:to>
      <xdr:col>2</xdr:col>
      <xdr:colOff>287032</xdr:colOff>
      <xdr:row>2</xdr:row>
      <xdr:rowOff>295275</xdr:rowOff>
    </xdr:to>
    <xdr:grpSp>
      <xdr:nvGrpSpPr>
        <xdr:cNvPr id="5" name="Grupo 4">
          <a:extLst>
            <a:ext uri="{FF2B5EF4-FFF2-40B4-BE49-F238E27FC236}">
              <a16:creationId xmlns:a16="http://schemas.microsoft.com/office/drawing/2014/main" id="{9FD25E0B-1B0E-4456-A203-AE1AE0B889BC}"/>
            </a:ext>
          </a:extLst>
        </xdr:cNvPr>
        <xdr:cNvGrpSpPr/>
      </xdr:nvGrpSpPr>
      <xdr:grpSpPr>
        <a:xfrm>
          <a:off x="44824" y="0"/>
          <a:ext cx="3514326" cy="877981"/>
          <a:chOff x="228600" y="47625"/>
          <a:chExt cx="2680608" cy="981075"/>
        </a:xfrm>
      </xdr:grpSpPr>
      <xdr:pic>
        <xdr:nvPicPr>
          <xdr:cNvPr id="6" name="Picture 5">
            <a:extLst>
              <a:ext uri="{FF2B5EF4-FFF2-40B4-BE49-F238E27FC236}">
                <a16:creationId xmlns:a16="http://schemas.microsoft.com/office/drawing/2014/main" id="{1DC4F94C-789D-4B5F-B164-3CD48067A78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7" name="5 CuadroTexto">
            <a:extLst>
              <a:ext uri="{FF2B5EF4-FFF2-40B4-BE49-F238E27FC236}">
                <a16:creationId xmlns:a16="http://schemas.microsoft.com/office/drawing/2014/main" id="{0E8080F1-6956-47E9-AB23-814172BEA0C8}"/>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209151</xdr:colOff>
      <xdr:row>2</xdr:row>
      <xdr:rowOff>542925</xdr:rowOff>
    </xdr:to>
    <xdr:grpSp>
      <xdr:nvGrpSpPr>
        <xdr:cNvPr id="5" name="Grupo 4">
          <a:extLst>
            <a:ext uri="{FF2B5EF4-FFF2-40B4-BE49-F238E27FC236}">
              <a16:creationId xmlns:a16="http://schemas.microsoft.com/office/drawing/2014/main" id="{898CD8A9-86F8-4AB1-848C-FA98BD959FC9}"/>
            </a:ext>
          </a:extLst>
        </xdr:cNvPr>
        <xdr:cNvGrpSpPr/>
      </xdr:nvGrpSpPr>
      <xdr:grpSpPr>
        <a:xfrm>
          <a:off x="0" y="0"/>
          <a:ext cx="3514326" cy="1200150"/>
          <a:chOff x="228600" y="47625"/>
          <a:chExt cx="2680608" cy="981075"/>
        </a:xfrm>
      </xdr:grpSpPr>
      <xdr:pic>
        <xdr:nvPicPr>
          <xdr:cNvPr id="6" name="Picture 5">
            <a:extLst>
              <a:ext uri="{FF2B5EF4-FFF2-40B4-BE49-F238E27FC236}">
                <a16:creationId xmlns:a16="http://schemas.microsoft.com/office/drawing/2014/main" id="{BFA15077-9763-4E10-A54C-15E42ABEA84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7" name="5 CuadroTexto">
            <a:extLst>
              <a:ext uri="{FF2B5EF4-FFF2-40B4-BE49-F238E27FC236}">
                <a16:creationId xmlns:a16="http://schemas.microsoft.com/office/drawing/2014/main" id="{D9DAE704-D6FC-4F97-8C6A-5F015CF654B3}"/>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213633</xdr:colOff>
      <xdr:row>3</xdr:row>
      <xdr:rowOff>0</xdr:rowOff>
    </xdr:to>
    <xdr:grpSp>
      <xdr:nvGrpSpPr>
        <xdr:cNvPr id="2" name="Grupo 1">
          <a:extLst>
            <a:ext uri="{FF2B5EF4-FFF2-40B4-BE49-F238E27FC236}">
              <a16:creationId xmlns:a16="http://schemas.microsoft.com/office/drawing/2014/main" id="{F2A0B582-2705-4DA0-969F-348ADBF05C48}"/>
            </a:ext>
          </a:extLst>
        </xdr:cNvPr>
        <xdr:cNvGrpSpPr/>
      </xdr:nvGrpSpPr>
      <xdr:grpSpPr>
        <a:xfrm>
          <a:off x="0" y="0"/>
          <a:ext cx="2817133" cy="645583"/>
          <a:chOff x="228600" y="47625"/>
          <a:chExt cx="2680608" cy="981075"/>
        </a:xfrm>
      </xdr:grpSpPr>
      <xdr:pic>
        <xdr:nvPicPr>
          <xdr:cNvPr id="3" name="Picture 5">
            <a:extLst>
              <a:ext uri="{FF2B5EF4-FFF2-40B4-BE49-F238E27FC236}">
                <a16:creationId xmlns:a16="http://schemas.microsoft.com/office/drawing/2014/main" id="{30D8AECE-3FE9-411C-8A4A-8F5FF3ED2C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4AF9F762-595E-4C60-A46C-5DC0AC13CABB}"/>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xdr:colOff>
      <xdr:row>0</xdr:row>
      <xdr:rowOff>0</xdr:rowOff>
    </xdr:from>
    <xdr:to>
      <xdr:col>2</xdr:col>
      <xdr:colOff>1</xdr:colOff>
      <xdr:row>3</xdr:row>
      <xdr:rowOff>0</xdr:rowOff>
    </xdr:to>
    <xdr:grpSp>
      <xdr:nvGrpSpPr>
        <xdr:cNvPr id="2" name="Grupo 1">
          <a:extLst>
            <a:ext uri="{FF2B5EF4-FFF2-40B4-BE49-F238E27FC236}">
              <a16:creationId xmlns:a16="http://schemas.microsoft.com/office/drawing/2014/main" id="{D758EAD8-118E-4D92-B631-747F87602338}"/>
            </a:ext>
          </a:extLst>
        </xdr:cNvPr>
        <xdr:cNvGrpSpPr/>
      </xdr:nvGrpSpPr>
      <xdr:grpSpPr>
        <a:xfrm>
          <a:off x="1" y="0"/>
          <a:ext cx="3276600" cy="762000"/>
          <a:chOff x="228600" y="47625"/>
          <a:chExt cx="2680608" cy="981075"/>
        </a:xfrm>
      </xdr:grpSpPr>
      <xdr:pic>
        <xdr:nvPicPr>
          <xdr:cNvPr id="3" name="Picture 5">
            <a:extLst>
              <a:ext uri="{FF2B5EF4-FFF2-40B4-BE49-F238E27FC236}">
                <a16:creationId xmlns:a16="http://schemas.microsoft.com/office/drawing/2014/main" id="{376D1E1F-2C9A-40DB-8FB3-2B3C6C1671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C3892B6C-F34A-40F8-9660-AF98438D1974}"/>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oneCellAnchor>
    <xdr:from>
      <xdr:col>17</xdr:col>
      <xdr:colOff>273050</xdr:colOff>
      <xdr:row>6</xdr:row>
      <xdr:rowOff>82547</xdr:rowOff>
    </xdr:from>
    <xdr:ext cx="1134531" cy="462114"/>
    <mc:AlternateContent xmlns:mc="http://schemas.openxmlformats.org/markup-compatibility/2006">
      <mc:Choice xmlns:a14="http://schemas.microsoft.com/office/drawing/2010/main" Requires="a14">
        <xdr:sp macro="" textlink="">
          <xdr:nvSpPr>
            <xdr:cNvPr id="5" name="CuadroTexto 4">
              <a:extLst>
                <a:ext uri="{FF2B5EF4-FFF2-40B4-BE49-F238E27FC236}">
                  <a16:creationId xmlns:a16="http://schemas.microsoft.com/office/drawing/2014/main" id="{B269820C-6132-4FE6-91CE-BC2D8758ECF7}"/>
                </a:ext>
              </a:extLst>
            </xdr:cNvPr>
            <xdr:cNvSpPr txBox="1"/>
          </xdr:nvSpPr>
          <xdr:spPr>
            <a:xfrm>
              <a:off x="31924625" y="1254122"/>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s-CO" sz="1100" i="1">
                            <a:latin typeface="Cambria Math" panose="02040503050406030204" pitchFamily="18" charset="0"/>
                          </a:rPr>
                        </m:ctrlPr>
                      </m:naryPr>
                      <m:sub>
                        <m:r>
                          <m:rPr>
                            <m:brk m:alnAt="23"/>
                          </m:rPr>
                          <a:rPr lang="es-ES" sz="1100" b="0" i="1">
                            <a:latin typeface="Cambria Math" panose="02040503050406030204" pitchFamily="18" charset="0"/>
                          </a:rPr>
                          <m:t>𝑖</m:t>
                        </m:r>
                        <m:r>
                          <a:rPr lang="es-ES" sz="1100" b="0" i="1">
                            <a:latin typeface="Cambria Math" panose="02040503050406030204" pitchFamily="18" charset="0"/>
                          </a:rPr>
                          <m:t>=1</m:t>
                        </m:r>
                      </m:sub>
                      <m:sup>
                        <m:r>
                          <a:rPr lang="es-ES" sz="1100" b="0" i="1">
                            <a:latin typeface="Cambria Math" panose="02040503050406030204" pitchFamily="18" charset="0"/>
                          </a:rPr>
                          <m:t>𝑛</m:t>
                        </m:r>
                      </m:sup>
                      <m:e>
                        <m:r>
                          <a:rPr lang="es-ES" sz="1100" b="0" i="1">
                            <a:latin typeface="Cambria Math" panose="02040503050406030204" pitchFamily="18" charset="0"/>
                          </a:rPr>
                          <m:t>=</m:t>
                        </m:r>
                      </m:e>
                    </m:nary>
                    <m:r>
                      <a:rPr lang="es-ES" sz="1100" b="0" i="1">
                        <a:latin typeface="Cambria Math" panose="02040503050406030204" pitchFamily="18" charset="0"/>
                      </a:rPr>
                      <m:t>𝑤𝑖</m:t>
                    </m:r>
                    <m:r>
                      <a:rPr lang="es-ES" sz="1100" b="0" i="1">
                        <a:latin typeface="Cambria Math" panose="02040503050406030204" pitchFamily="18" charset="0"/>
                      </a:rPr>
                      <m:t>∗</m:t>
                    </m:r>
                    <m:r>
                      <a:rPr lang="es-ES" sz="1100" b="0" i="1">
                        <a:latin typeface="Cambria Math" panose="02040503050406030204" pitchFamily="18" charset="0"/>
                      </a:rPr>
                      <m:t>𝑋𝑖</m:t>
                    </m:r>
                  </m:oMath>
                </m:oMathPara>
              </a14:m>
              <a:endParaRPr lang="es-CO" sz="1100"/>
            </a:p>
          </xdr:txBody>
        </xdr:sp>
      </mc:Choice>
      <mc:Fallback>
        <xdr:sp macro="" textlink="">
          <xdr:nvSpPr>
            <xdr:cNvPr id="5" name="CuadroTexto 4">
              <a:extLst>
                <a:ext uri="{FF2B5EF4-FFF2-40B4-BE49-F238E27FC236}">
                  <a16:creationId xmlns:a16="http://schemas.microsoft.com/office/drawing/2014/main" id="{B269820C-6132-4FE6-91CE-BC2D8758ECF7}"/>
                </a:ext>
              </a:extLst>
            </xdr:cNvPr>
            <xdr:cNvSpPr txBox="1"/>
          </xdr:nvSpPr>
          <xdr:spPr>
            <a:xfrm>
              <a:off x="31924625" y="1254122"/>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i="0">
                  <a:latin typeface="Cambria Math" panose="02040503050406030204" pitchFamily="18" charset="0"/>
                </a:rPr>
                <a:t>∑</a:t>
              </a:r>
              <a:r>
                <a:rPr lang="es-ES" sz="1100" b="0" i="0">
                  <a:latin typeface="Cambria Math" panose="02040503050406030204" pitchFamily="18" charset="0"/>
                </a:rPr>
                <a:t>_</a:t>
              </a:r>
              <a:r>
                <a:rPr lang="es-CO" sz="1100" b="0" i="0">
                  <a:latin typeface="Cambria Math" panose="02040503050406030204" pitchFamily="18" charset="0"/>
                </a:rPr>
                <a:t>(</a:t>
              </a:r>
              <a:r>
                <a:rPr lang="es-ES" sz="1100" b="0" i="0">
                  <a:latin typeface="Cambria Math" panose="02040503050406030204" pitchFamily="18" charset="0"/>
                </a:rPr>
                <a:t>𝑖=1</a:t>
              </a:r>
              <a:r>
                <a:rPr lang="es-CO" sz="1100" b="0" i="0">
                  <a:latin typeface="Cambria Math" panose="02040503050406030204" pitchFamily="18" charset="0"/>
                </a:rPr>
                <a:t>)</a:t>
              </a:r>
              <a:r>
                <a:rPr lang="es-ES" sz="1100" b="0" i="0">
                  <a:latin typeface="Cambria Math" panose="02040503050406030204" pitchFamily="18" charset="0"/>
                </a:rPr>
                <a:t>^𝑛▒= 𝑤𝑖∗𝑋𝑖</a:t>
              </a:r>
              <a:endParaRPr lang="es-CO" sz="1100"/>
            </a:p>
          </xdr:txBody>
        </xdr:sp>
      </mc:Fallback>
    </mc:AlternateContent>
    <xdr:clientData/>
  </xdr:oneCellAnchor>
  <xdr:oneCellAnchor>
    <xdr:from>
      <xdr:col>17</xdr:col>
      <xdr:colOff>338669</xdr:colOff>
      <xdr:row>7</xdr:row>
      <xdr:rowOff>0</xdr:rowOff>
    </xdr:from>
    <xdr:ext cx="1134531" cy="462114"/>
    <mc:AlternateContent xmlns:mc="http://schemas.openxmlformats.org/markup-compatibility/2006">
      <mc:Choice xmlns:a14="http://schemas.microsoft.com/office/drawing/2010/main" Requires="a14">
        <xdr:sp macro="" textlink="">
          <xdr:nvSpPr>
            <xdr:cNvPr id="6" name="CuadroTexto 5">
              <a:extLst>
                <a:ext uri="{FF2B5EF4-FFF2-40B4-BE49-F238E27FC236}">
                  <a16:creationId xmlns:a16="http://schemas.microsoft.com/office/drawing/2014/main" id="{FCF045F9-DF0F-4BE6-B657-CC225E57AE18}"/>
                </a:ext>
              </a:extLst>
            </xdr:cNvPr>
            <xdr:cNvSpPr txBox="1"/>
          </xdr:nvSpPr>
          <xdr:spPr>
            <a:xfrm>
              <a:off x="31990244" y="2543175"/>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s-CO" sz="1100" i="1">
                            <a:latin typeface="Cambria Math" panose="02040503050406030204" pitchFamily="18" charset="0"/>
                          </a:rPr>
                        </m:ctrlPr>
                      </m:naryPr>
                      <m:sub>
                        <m:r>
                          <m:rPr>
                            <m:brk m:alnAt="23"/>
                          </m:rPr>
                          <a:rPr lang="es-ES" sz="1100" b="0" i="1">
                            <a:latin typeface="Cambria Math" panose="02040503050406030204" pitchFamily="18" charset="0"/>
                          </a:rPr>
                          <m:t>𝑖</m:t>
                        </m:r>
                        <m:r>
                          <a:rPr lang="es-ES" sz="1100" b="0" i="1">
                            <a:latin typeface="Cambria Math" panose="02040503050406030204" pitchFamily="18" charset="0"/>
                          </a:rPr>
                          <m:t>=1</m:t>
                        </m:r>
                      </m:sub>
                      <m:sup>
                        <m:r>
                          <a:rPr lang="es-ES" sz="1100" b="0" i="1">
                            <a:latin typeface="Cambria Math" panose="02040503050406030204" pitchFamily="18" charset="0"/>
                          </a:rPr>
                          <m:t>𝑛</m:t>
                        </m:r>
                      </m:sup>
                      <m:e>
                        <m:r>
                          <a:rPr lang="es-ES" sz="1100" b="0" i="1">
                            <a:latin typeface="Cambria Math" panose="02040503050406030204" pitchFamily="18" charset="0"/>
                          </a:rPr>
                          <m:t>=</m:t>
                        </m:r>
                      </m:e>
                    </m:nary>
                    <m:r>
                      <a:rPr lang="es-ES" sz="1100" b="0" i="1">
                        <a:latin typeface="Cambria Math" panose="02040503050406030204" pitchFamily="18" charset="0"/>
                      </a:rPr>
                      <m:t>𝑤𝑖</m:t>
                    </m:r>
                    <m:r>
                      <a:rPr lang="es-ES" sz="1100" b="0" i="1">
                        <a:latin typeface="Cambria Math" panose="02040503050406030204" pitchFamily="18" charset="0"/>
                      </a:rPr>
                      <m:t>∗</m:t>
                    </m:r>
                    <m:r>
                      <a:rPr lang="es-ES" sz="1100" b="0" i="1">
                        <a:latin typeface="Cambria Math" panose="02040503050406030204" pitchFamily="18" charset="0"/>
                      </a:rPr>
                      <m:t>𝑋𝑖</m:t>
                    </m:r>
                  </m:oMath>
                </m:oMathPara>
              </a14:m>
              <a:endParaRPr lang="es-CO" sz="1100"/>
            </a:p>
          </xdr:txBody>
        </xdr:sp>
      </mc:Choice>
      <mc:Fallback>
        <xdr:sp macro="" textlink="">
          <xdr:nvSpPr>
            <xdr:cNvPr id="6" name="CuadroTexto 5">
              <a:extLst>
                <a:ext uri="{FF2B5EF4-FFF2-40B4-BE49-F238E27FC236}">
                  <a16:creationId xmlns:a16="http://schemas.microsoft.com/office/drawing/2014/main" id="{FCF045F9-DF0F-4BE6-B657-CC225E57AE18}"/>
                </a:ext>
              </a:extLst>
            </xdr:cNvPr>
            <xdr:cNvSpPr txBox="1"/>
          </xdr:nvSpPr>
          <xdr:spPr>
            <a:xfrm>
              <a:off x="31990244" y="2543175"/>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i="0">
                  <a:latin typeface="Cambria Math" panose="02040503050406030204" pitchFamily="18" charset="0"/>
                </a:rPr>
                <a:t>∑</a:t>
              </a:r>
              <a:r>
                <a:rPr lang="es-ES" sz="1100" b="0" i="0">
                  <a:latin typeface="Cambria Math" panose="02040503050406030204" pitchFamily="18" charset="0"/>
                </a:rPr>
                <a:t>_</a:t>
              </a:r>
              <a:r>
                <a:rPr lang="es-CO" sz="1100" b="0" i="0">
                  <a:latin typeface="Cambria Math" panose="02040503050406030204" pitchFamily="18" charset="0"/>
                </a:rPr>
                <a:t>(</a:t>
              </a:r>
              <a:r>
                <a:rPr lang="es-ES" sz="1100" b="0" i="0">
                  <a:latin typeface="Cambria Math" panose="02040503050406030204" pitchFamily="18" charset="0"/>
                </a:rPr>
                <a:t>𝑖=1</a:t>
              </a:r>
              <a:r>
                <a:rPr lang="es-CO" sz="1100" b="0" i="0">
                  <a:latin typeface="Cambria Math" panose="02040503050406030204" pitchFamily="18" charset="0"/>
                </a:rPr>
                <a:t>)</a:t>
              </a:r>
              <a:r>
                <a:rPr lang="es-ES" sz="1100" b="0" i="0">
                  <a:latin typeface="Cambria Math" panose="02040503050406030204" pitchFamily="18" charset="0"/>
                </a:rPr>
                <a:t>^𝑛▒= 𝑤𝑖∗𝑋𝑖</a:t>
              </a:r>
              <a:endParaRPr lang="es-CO" sz="1100"/>
            </a:p>
          </xdr:txBody>
        </xdr:sp>
      </mc:Fallback>
    </mc:AlternateContent>
    <xdr:clientData/>
  </xdr:oneCellAnchor>
  <xdr:oneCellAnchor>
    <xdr:from>
      <xdr:col>17</xdr:col>
      <xdr:colOff>328082</xdr:colOff>
      <xdr:row>8</xdr:row>
      <xdr:rowOff>148167</xdr:rowOff>
    </xdr:from>
    <xdr:ext cx="1134531" cy="462114"/>
    <mc:AlternateContent xmlns:mc="http://schemas.openxmlformats.org/markup-compatibility/2006">
      <mc:Choice xmlns:a14="http://schemas.microsoft.com/office/drawing/2010/main" Requires="a14">
        <xdr:sp macro="" textlink="">
          <xdr:nvSpPr>
            <xdr:cNvPr id="7" name="CuadroTexto 6">
              <a:extLst>
                <a:ext uri="{FF2B5EF4-FFF2-40B4-BE49-F238E27FC236}">
                  <a16:creationId xmlns:a16="http://schemas.microsoft.com/office/drawing/2014/main" id="{5C5F10F0-AD70-44E3-B766-9EA3C24F4324}"/>
                </a:ext>
              </a:extLst>
            </xdr:cNvPr>
            <xdr:cNvSpPr txBox="1"/>
          </xdr:nvSpPr>
          <xdr:spPr>
            <a:xfrm>
              <a:off x="31979657" y="3758142"/>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s-CO" sz="1100" i="1">
                            <a:latin typeface="Cambria Math" panose="02040503050406030204" pitchFamily="18" charset="0"/>
                          </a:rPr>
                        </m:ctrlPr>
                      </m:naryPr>
                      <m:sub>
                        <m:r>
                          <m:rPr>
                            <m:brk m:alnAt="23"/>
                          </m:rPr>
                          <a:rPr lang="es-ES" sz="1100" b="0" i="1">
                            <a:latin typeface="Cambria Math" panose="02040503050406030204" pitchFamily="18" charset="0"/>
                          </a:rPr>
                          <m:t>𝑖</m:t>
                        </m:r>
                        <m:r>
                          <a:rPr lang="es-ES" sz="1100" b="0" i="1">
                            <a:latin typeface="Cambria Math" panose="02040503050406030204" pitchFamily="18" charset="0"/>
                          </a:rPr>
                          <m:t>=1</m:t>
                        </m:r>
                      </m:sub>
                      <m:sup>
                        <m:r>
                          <a:rPr lang="es-ES" sz="1100" b="0" i="1">
                            <a:latin typeface="Cambria Math" panose="02040503050406030204" pitchFamily="18" charset="0"/>
                          </a:rPr>
                          <m:t>𝑛</m:t>
                        </m:r>
                      </m:sup>
                      <m:e>
                        <m:r>
                          <a:rPr lang="es-ES" sz="1100" b="0" i="1">
                            <a:latin typeface="Cambria Math" panose="02040503050406030204" pitchFamily="18" charset="0"/>
                          </a:rPr>
                          <m:t>=</m:t>
                        </m:r>
                      </m:e>
                    </m:nary>
                    <m:r>
                      <a:rPr lang="es-ES" sz="1100" b="0" i="1">
                        <a:latin typeface="Cambria Math" panose="02040503050406030204" pitchFamily="18" charset="0"/>
                      </a:rPr>
                      <m:t>𝑤𝑖</m:t>
                    </m:r>
                    <m:r>
                      <a:rPr lang="es-ES" sz="1100" b="0" i="1">
                        <a:latin typeface="Cambria Math" panose="02040503050406030204" pitchFamily="18" charset="0"/>
                      </a:rPr>
                      <m:t>∗</m:t>
                    </m:r>
                    <m:r>
                      <a:rPr lang="es-ES" sz="1100" b="0" i="1">
                        <a:latin typeface="Cambria Math" panose="02040503050406030204" pitchFamily="18" charset="0"/>
                      </a:rPr>
                      <m:t>𝑋𝑖</m:t>
                    </m:r>
                  </m:oMath>
                </m:oMathPara>
              </a14:m>
              <a:endParaRPr lang="es-CO" sz="1100"/>
            </a:p>
          </xdr:txBody>
        </xdr:sp>
      </mc:Choice>
      <mc:Fallback>
        <xdr:sp macro="" textlink="">
          <xdr:nvSpPr>
            <xdr:cNvPr id="7" name="CuadroTexto 6">
              <a:extLst>
                <a:ext uri="{FF2B5EF4-FFF2-40B4-BE49-F238E27FC236}">
                  <a16:creationId xmlns:a16="http://schemas.microsoft.com/office/drawing/2014/main" id="{5C5F10F0-AD70-44E3-B766-9EA3C24F4324}"/>
                </a:ext>
              </a:extLst>
            </xdr:cNvPr>
            <xdr:cNvSpPr txBox="1"/>
          </xdr:nvSpPr>
          <xdr:spPr>
            <a:xfrm>
              <a:off x="31979657" y="3758142"/>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i="0">
                  <a:latin typeface="Cambria Math" panose="02040503050406030204" pitchFamily="18" charset="0"/>
                </a:rPr>
                <a:t>∑</a:t>
              </a:r>
              <a:r>
                <a:rPr lang="es-ES" sz="1100" b="0" i="0">
                  <a:latin typeface="Cambria Math" panose="02040503050406030204" pitchFamily="18" charset="0"/>
                </a:rPr>
                <a:t>_</a:t>
              </a:r>
              <a:r>
                <a:rPr lang="es-CO" sz="1100" b="0" i="0">
                  <a:latin typeface="Cambria Math" panose="02040503050406030204" pitchFamily="18" charset="0"/>
                </a:rPr>
                <a:t>(</a:t>
              </a:r>
              <a:r>
                <a:rPr lang="es-ES" sz="1100" b="0" i="0">
                  <a:latin typeface="Cambria Math" panose="02040503050406030204" pitchFamily="18" charset="0"/>
                </a:rPr>
                <a:t>𝑖=1</a:t>
              </a:r>
              <a:r>
                <a:rPr lang="es-CO" sz="1100" b="0" i="0">
                  <a:latin typeface="Cambria Math" panose="02040503050406030204" pitchFamily="18" charset="0"/>
                </a:rPr>
                <a:t>)</a:t>
              </a:r>
              <a:r>
                <a:rPr lang="es-ES" sz="1100" b="0" i="0">
                  <a:latin typeface="Cambria Math" panose="02040503050406030204" pitchFamily="18" charset="0"/>
                </a:rPr>
                <a:t>^𝑛▒= 𝑤𝑖∗𝑋𝑖</a:t>
              </a:r>
              <a:endParaRPr lang="es-CO" sz="1100"/>
            </a:p>
          </xdr:txBody>
        </xdr:sp>
      </mc:Fallback>
    </mc:AlternateContent>
    <xdr:clientData/>
  </xdr:oneCellAnchor>
  <xdr:oneCellAnchor>
    <xdr:from>
      <xdr:col>17</xdr:col>
      <xdr:colOff>296332</xdr:colOff>
      <xdr:row>9</xdr:row>
      <xdr:rowOff>0</xdr:rowOff>
    </xdr:from>
    <xdr:ext cx="1134531" cy="462114"/>
    <mc:AlternateContent xmlns:mc="http://schemas.openxmlformats.org/markup-compatibility/2006">
      <mc:Choice xmlns:a14="http://schemas.microsoft.com/office/drawing/2010/main" Requires="a14">
        <xdr:sp macro="" textlink="">
          <xdr:nvSpPr>
            <xdr:cNvPr id="8" name="CuadroTexto 7">
              <a:extLst>
                <a:ext uri="{FF2B5EF4-FFF2-40B4-BE49-F238E27FC236}">
                  <a16:creationId xmlns:a16="http://schemas.microsoft.com/office/drawing/2014/main" id="{6C664764-F8BE-44EF-872A-1D6108DF89C1}"/>
                </a:ext>
              </a:extLst>
            </xdr:cNvPr>
            <xdr:cNvSpPr txBox="1"/>
          </xdr:nvSpPr>
          <xdr:spPr>
            <a:xfrm>
              <a:off x="31947907" y="5133975"/>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s-CO" sz="1100" i="1">
                            <a:latin typeface="Cambria Math" panose="02040503050406030204" pitchFamily="18" charset="0"/>
                          </a:rPr>
                        </m:ctrlPr>
                      </m:naryPr>
                      <m:sub>
                        <m:r>
                          <m:rPr>
                            <m:brk m:alnAt="23"/>
                          </m:rPr>
                          <a:rPr lang="es-ES" sz="1100" b="0" i="1">
                            <a:latin typeface="Cambria Math" panose="02040503050406030204" pitchFamily="18" charset="0"/>
                          </a:rPr>
                          <m:t>𝑖</m:t>
                        </m:r>
                        <m:r>
                          <a:rPr lang="es-ES" sz="1100" b="0" i="1">
                            <a:latin typeface="Cambria Math" panose="02040503050406030204" pitchFamily="18" charset="0"/>
                          </a:rPr>
                          <m:t>=1</m:t>
                        </m:r>
                      </m:sub>
                      <m:sup>
                        <m:r>
                          <a:rPr lang="es-ES" sz="1100" b="0" i="1">
                            <a:latin typeface="Cambria Math" panose="02040503050406030204" pitchFamily="18" charset="0"/>
                          </a:rPr>
                          <m:t>𝑛</m:t>
                        </m:r>
                      </m:sup>
                      <m:e>
                        <m:r>
                          <a:rPr lang="es-ES" sz="1100" b="0" i="1">
                            <a:latin typeface="Cambria Math" panose="02040503050406030204" pitchFamily="18" charset="0"/>
                          </a:rPr>
                          <m:t>=</m:t>
                        </m:r>
                      </m:e>
                    </m:nary>
                    <m:r>
                      <a:rPr lang="es-ES" sz="1100" b="0" i="1">
                        <a:latin typeface="Cambria Math" panose="02040503050406030204" pitchFamily="18" charset="0"/>
                      </a:rPr>
                      <m:t>𝑤𝑖</m:t>
                    </m:r>
                    <m:r>
                      <a:rPr lang="es-ES" sz="1100" b="0" i="1">
                        <a:latin typeface="Cambria Math" panose="02040503050406030204" pitchFamily="18" charset="0"/>
                      </a:rPr>
                      <m:t>∗</m:t>
                    </m:r>
                    <m:r>
                      <a:rPr lang="es-ES" sz="1100" b="0" i="1">
                        <a:latin typeface="Cambria Math" panose="02040503050406030204" pitchFamily="18" charset="0"/>
                      </a:rPr>
                      <m:t>𝑋𝑖</m:t>
                    </m:r>
                  </m:oMath>
                </m:oMathPara>
              </a14:m>
              <a:endParaRPr lang="es-CO" sz="1100"/>
            </a:p>
          </xdr:txBody>
        </xdr:sp>
      </mc:Choice>
      <mc:Fallback>
        <xdr:sp macro="" textlink="">
          <xdr:nvSpPr>
            <xdr:cNvPr id="8" name="CuadroTexto 7">
              <a:extLst>
                <a:ext uri="{FF2B5EF4-FFF2-40B4-BE49-F238E27FC236}">
                  <a16:creationId xmlns:a16="http://schemas.microsoft.com/office/drawing/2014/main" id="{6C664764-F8BE-44EF-872A-1D6108DF89C1}"/>
                </a:ext>
              </a:extLst>
            </xdr:cNvPr>
            <xdr:cNvSpPr txBox="1"/>
          </xdr:nvSpPr>
          <xdr:spPr>
            <a:xfrm>
              <a:off x="31947907" y="5133975"/>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i="0">
                  <a:latin typeface="Cambria Math" panose="02040503050406030204" pitchFamily="18" charset="0"/>
                </a:rPr>
                <a:t>∑</a:t>
              </a:r>
              <a:r>
                <a:rPr lang="es-ES" sz="1100" b="0" i="0">
                  <a:latin typeface="Cambria Math" panose="02040503050406030204" pitchFamily="18" charset="0"/>
                </a:rPr>
                <a:t>_</a:t>
              </a:r>
              <a:r>
                <a:rPr lang="es-CO" sz="1100" b="0" i="0">
                  <a:latin typeface="Cambria Math" panose="02040503050406030204" pitchFamily="18" charset="0"/>
                </a:rPr>
                <a:t>(</a:t>
              </a:r>
              <a:r>
                <a:rPr lang="es-ES" sz="1100" b="0" i="0">
                  <a:latin typeface="Cambria Math" panose="02040503050406030204" pitchFamily="18" charset="0"/>
                </a:rPr>
                <a:t>𝑖=1</a:t>
              </a:r>
              <a:r>
                <a:rPr lang="es-CO" sz="1100" b="0" i="0">
                  <a:latin typeface="Cambria Math" panose="02040503050406030204" pitchFamily="18" charset="0"/>
                </a:rPr>
                <a:t>)</a:t>
              </a:r>
              <a:r>
                <a:rPr lang="es-ES" sz="1100" b="0" i="0">
                  <a:latin typeface="Cambria Math" panose="02040503050406030204" pitchFamily="18" charset="0"/>
                </a:rPr>
                <a:t>^𝑛▒= 𝑤𝑖∗𝑋𝑖</a:t>
              </a:r>
              <a:endParaRPr lang="es-CO" sz="1100"/>
            </a:p>
          </xdr:txBody>
        </xdr:sp>
      </mc:Fallback>
    </mc:AlternateContent>
    <xdr:clientData/>
  </xdr:oneCellAnchor>
  <xdr:oneCellAnchor>
    <xdr:from>
      <xdr:col>17</xdr:col>
      <xdr:colOff>273050</xdr:colOff>
      <xdr:row>10</xdr:row>
      <xdr:rowOff>82547</xdr:rowOff>
    </xdr:from>
    <xdr:ext cx="1134531" cy="462114"/>
    <mc:AlternateContent xmlns:mc="http://schemas.openxmlformats.org/markup-compatibility/2006">
      <mc:Choice xmlns:a14="http://schemas.microsoft.com/office/drawing/2010/main" Requires="a14">
        <xdr:sp macro="" textlink="">
          <xdr:nvSpPr>
            <xdr:cNvPr id="9" name="CuadroTexto 8">
              <a:extLst>
                <a:ext uri="{FF2B5EF4-FFF2-40B4-BE49-F238E27FC236}">
                  <a16:creationId xmlns:a16="http://schemas.microsoft.com/office/drawing/2014/main" id="{52C2C1F5-332E-4DD6-BE6B-60F6E9588554}"/>
                </a:ext>
              </a:extLst>
            </xdr:cNvPr>
            <xdr:cNvSpPr txBox="1"/>
          </xdr:nvSpPr>
          <xdr:spPr>
            <a:xfrm>
              <a:off x="31924625" y="6283322"/>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s-CO" sz="1100" i="1">
                            <a:latin typeface="Cambria Math" panose="02040503050406030204" pitchFamily="18" charset="0"/>
                          </a:rPr>
                        </m:ctrlPr>
                      </m:naryPr>
                      <m:sub>
                        <m:r>
                          <m:rPr>
                            <m:brk m:alnAt="23"/>
                          </m:rPr>
                          <a:rPr lang="es-ES" sz="1100" b="0" i="1">
                            <a:latin typeface="Cambria Math" panose="02040503050406030204" pitchFamily="18" charset="0"/>
                          </a:rPr>
                          <m:t>𝑖</m:t>
                        </m:r>
                        <m:r>
                          <a:rPr lang="es-ES" sz="1100" b="0" i="1">
                            <a:latin typeface="Cambria Math" panose="02040503050406030204" pitchFamily="18" charset="0"/>
                          </a:rPr>
                          <m:t>=1</m:t>
                        </m:r>
                      </m:sub>
                      <m:sup>
                        <m:r>
                          <a:rPr lang="es-ES" sz="1100" b="0" i="1">
                            <a:latin typeface="Cambria Math" panose="02040503050406030204" pitchFamily="18" charset="0"/>
                          </a:rPr>
                          <m:t>𝑛</m:t>
                        </m:r>
                      </m:sup>
                      <m:e>
                        <m:r>
                          <a:rPr lang="es-ES" sz="1100" b="0" i="1">
                            <a:latin typeface="Cambria Math" panose="02040503050406030204" pitchFamily="18" charset="0"/>
                          </a:rPr>
                          <m:t>=</m:t>
                        </m:r>
                      </m:e>
                    </m:nary>
                    <m:r>
                      <a:rPr lang="es-ES" sz="1100" b="0" i="1">
                        <a:latin typeface="Cambria Math" panose="02040503050406030204" pitchFamily="18" charset="0"/>
                      </a:rPr>
                      <m:t>𝑤𝑖</m:t>
                    </m:r>
                    <m:r>
                      <a:rPr lang="es-ES" sz="1100" b="0" i="1">
                        <a:latin typeface="Cambria Math" panose="02040503050406030204" pitchFamily="18" charset="0"/>
                      </a:rPr>
                      <m:t>∗</m:t>
                    </m:r>
                    <m:r>
                      <a:rPr lang="es-ES" sz="1100" b="0" i="1">
                        <a:latin typeface="Cambria Math" panose="02040503050406030204" pitchFamily="18" charset="0"/>
                      </a:rPr>
                      <m:t>𝑋𝑖</m:t>
                    </m:r>
                  </m:oMath>
                </m:oMathPara>
              </a14:m>
              <a:endParaRPr lang="es-CO" sz="1100"/>
            </a:p>
          </xdr:txBody>
        </xdr:sp>
      </mc:Choice>
      <mc:Fallback>
        <xdr:sp macro="" textlink="">
          <xdr:nvSpPr>
            <xdr:cNvPr id="9" name="CuadroTexto 8">
              <a:extLst>
                <a:ext uri="{FF2B5EF4-FFF2-40B4-BE49-F238E27FC236}">
                  <a16:creationId xmlns:a16="http://schemas.microsoft.com/office/drawing/2014/main" id="{52C2C1F5-332E-4DD6-BE6B-60F6E9588554}"/>
                </a:ext>
              </a:extLst>
            </xdr:cNvPr>
            <xdr:cNvSpPr txBox="1"/>
          </xdr:nvSpPr>
          <xdr:spPr>
            <a:xfrm>
              <a:off x="31924625" y="6283322"/>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i="0">
                  <a:latin typeface="Cambria Math" panose="02040503050406030204" pitchFamily="18" charset="0"/>
                </a:rPr>
                <a:t>∑</a:t>
              </a:r>
              <a:r>
                <a:rPr lang="es-ES" sz="1100" b="0" i="0">
                  <a:latin typeface="Cambria Math" panose="02040503050406030204" pitchFamily="18" charset="0"/>
                </a:rPr>
                <a:t>_</a:t>
              </a:r>
              <a:r>
                <a:rPr lang="es-CO" sz="1100" b="0" i="0">
                  <a:latin typeface="Cambria Math" panose="02040503050406030204" pitchFamily="18" charset="0"/>
                </a:rPr>
                <a:t>(</a:t>
              </a:r>
              <a:r>
                <a:rPr lang="es-ES" sz="1100" b="0" i="0">
                  <a:latin typeface="Cambria Math" panose="02040503050406030204" pitchFamily="18" charset="0"/>
                </a:rPr>
                <a:t>𝑖=1</a:t>
              </a:r>
              <a:r>
                <a:rPr lang="es-CO" sz="1100" b="0" i="0">
                  <a:latin typeface="Cambria Math" panose="02040503050406030204" pitchFamily="18" charset="0"/>
                </a:rPr>
                <a:t>)</a:t>
              </a:r>
              <a:r>
                <a:rPr lang="es-ES" sz="1100" b="0" i="0">
                  <a:latin typeface="Cambria Math" panose="02040503050406030204" pitchFamily="18" charset="0"/>
                </a:rPr>
                <a:t>^𝑛▒= 𝑤𝑖∗𝑋𝑖</a:t>
              </a:r>
              <a:endParaRPr lang="es-CO" sz="1100"/>
            </a:p>
          </xdr:txBody>
        </xdr:sp>
      </mc:Fallback>
    </mc:AlternateContent>
    <xdr:clientData/>
  </xdr:oneCellAnchor>
  <xdr:oneCellAnchor>
    <xdr:from>
      <xdr:col>17</xdr:col>
      <xdr:colOff>273050</xdr:colOff>
      <xdr:row>11</xdr:row>
      <xdr:rowOff>82547</xdr:rowOff>
    </xdr:from>
    <xdr:ext cx="1134531" cy="462114"/>
    <mc:AlternateContent xmlns:mc="http://schemas.openxmlformats.org/markup-compatibility/2006">
      <mc:Choice xmlns:a14="http://schemas.microsoft.com/office/drawing/2010/main" Requires="a14">
        <xdr:sp macro="" textlink="">
          <xdr:nvSpPr>
            <xdr:cNvPr id="10" name="CuadroTexto 9">
              <a:extLst>
                <a:ext uri="{FF2B5EF4-FFF2-40B4-BE49-F238E27FC236}">
                  <a16:creationId xmlns:a16="http://schemas.microsoft.com/office/drawing/2014/main" id="{E4E88248-276F-48E1-8C63-80591A259DC1}"/>
                </a:ext>
              </a:extLst>
            </xdr:cNvPr>
            <xdr:cNvSpPr txBox="1"/>
          </xdr:nvSpPr>
          <xdr:spPr>
            <a:xfrm>
              <a:off x="31924625" y="7350122"/>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s-CO" sz="1100" i="1">
                            <a:latin typeface="Cambria Math" panose="02040503050406030204" pitchFamily="18" charset="0"/>
                          </a:rPr>
                        </m:ctrlPr>
                      </m:naryPr>
                      <m:sub>
                        <m:r>
                          <m:rPr>
                            <m:brk m:alnAt="23"/>
                          </m:rPr>
                          <a:rPr lang="es-ES" sz="1100" b="0" i="1">
                            <a:latin typeface="Cambria Math" panose="02040503050406030204" pitchFamily="18" charset="0"/>
                          </a:rPr>
                          <m:t>𝑖</m:t>
                        </m:r>
                        <m:r>
                          <a:rPr lang="es-ES" sz="1100" b="0" i="1">
                            <a:latin typeface="Cambria Math" panose="02040503050406030204" pitchFamily="18" charset="0"/>
                          </a:rPr>
                          <m:t>=1</m:t>
                        </m:r>
                      </m:sub>
                      <m:sup>
                        <m:r>
                          <a:rPr lang="es-ES" sz="1100" b="0" i="1">
                            <a:latin typeface="Cambria Math" panose="02040503050406030204" pitchFamily="18" charset="0"/>
                          </a:rPr>
                          <m:t>𝑛</m:t>
                        </m:r>
                      </m:sup>
                      <m:e>
                        <m:r>
                          <a:rPr lang="es-ES" sz="1100" b="0" i="1">
                            <a:latin typeface="Cambria Math" panose="02040503050406030204" pitchFamily="18" charset="0"/>
                          </a:rPr>
                          <m:t>=</m:t>
                        </m:r>
                      </m:e>
                    </m:nary>
                    <m:r>
                      <a:rPr lang="es-ES" sz="1100" b="0" i="1">
                        <a:latin typeface="Cambria Math" panose="02040503050406030204" pitchFamily="18" charset="0"/>
                      </a:rPr>
                      <m:t>𝑤𝑖</m:t>
                    </m:r>
                    <m:r>
                      <a:rPr lang="es-ES" sz="1100" b="0" i="1">
                        <a:latin typeface="Cambria Math" panose="02040503050406030204" pitchFamily="18" charset="0"/>
                      </a:rPr>
                      <m:t>∗</m:t>
                    </m:r>
                    <m:r>
                      <a:rPr lang="es-ES" sz="1100" b="0" i="1">
                        <a:latin typeface="Cambria Math" panose="02040503050406030204" pitchFamily="18" charset="0"/>
                      </a:rPr>
                      <m:t>𝑋𝑖</m:t>
                    </m:r>
                  </m:oMath>
                </m:oMathPara>
              </a14:m>
              <a:endParaRPr lang="es-CO" sz="1100"/>
            </a:p>
          </xdr:txBody>
        </xdr:sp>
      </mc:Choice>
      <mc:Fallback>
        <xdr:sp macro="" textlink="">
          <xdr:nvSpPr>
            <xdr:cNvPr id="10" name="CuadroTexto 9">
              <a:extLst>
                <a:ext uri="{FF2B5EF4-FFF2-40B4-BE49-F238E27FC236}">
                  <a16:creationId xmlns:a16="http://schemas.microsoft.com/office/drawing/2014/main" id="{E4E88248-276F-48E1-8C63-80591A259DC1}"/>
                </a:ext>
              </a:extLst>
            </xdr:cNvPr>
            <xdr:cNvSpPr txBox="1"/>
          </xdr:nvSpPr>
          <xdr:spPr>
            <a:xfrm>
              <a:off x="31924625" y="7350122"/>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i="0">
                  <a:latin typeface="Cambria Math" panose="02040503050406030204" pitchFamily="18" charset="0"/>
                </a:rPr>
                <a:t>∑</a:t>
              </a:r>
              <a:r>
                <a:rPr lang="es-ES" sz="1100" b="0" i="0">
                  <a:latin typeface="Cambria Math" panose="02040503050406030204" pitchFamily="18" charset="0"/>
                </a:rPr>
                <a:t>_</a:t>
              </a:r>
              <a:r>
                <a:rPr lang="es-CO" sz="1100" b="0" i="0">
                  <a:latin typeface="Cambria Math" panose="02040503050406030204" pitchFamily="18" charset="0"/>
                </a:rPr>
                <a:t>(</a:t>
              </a:r>
              <a:r>
                <a:rPr lang="es-ES" sz="1100" b="0" i="0">
                  <a:latin typeface="Cambria Math" panose="02040503050406030204" pitchFamily="18" charset="0"/>
                </a:rPr>
                <a:t>𝑖=1</a:t>
              </a:r>
              <a:r>
                <a:rPr lang="es-CO" sz="1100" b="0" i="0">
                  <a:latin typeface="Cambria Math" panose="02040503050406030204" pitchFamily="18" charset="0"/>
                </a:rPr>
                <a:t>)</a:t>
              </a:r>
              <a:r>
                <a:rPr lang="es-ES" sz="1100" b="0" i="0">
                  <a:latin typeface="Cambria Math" panose="02040503050406030204" pitchFamily="18" charset="0"/>
                </a:rPr>
                <a:t>^𝑛▒= 𝑤𝑖∗𝑋𝑖</a:t>
              </a:r>
              <a:endParaRPr lang="es-CO" sz="1100"/>
            </a:p>
          </xdr:txBody>
        </xdr:sp>
      </mc:Fallback>
    </mc:AlternateContent>
    <xdr:clientData/>
  </xdr:oneCellAnchor>
  <xdr:oneCellAnchor>
    <xdr:from>
      <xdr:col>17</xdr:col>
      <xdr:colOff>273050</xdr:colOff>
      <xdr:row>12</xdr:row>
      <xdr:rowOff>82547</xdr:rowOff>
    </xdr:from>
    <xdr:ext cx="1134531" cy="462114"/>
    <mc:AlternateContent xmlns:mc="http://schemas.openxmlformats.org/markup-compatibility/2006">
      <mc:Choice xmlns:a14="http://schemas.microsoft.com/office/drawing/2010/main" Requires="a14">
        <xdr:sp macro="" textlink="">
          <xdr:nvSpPr>
            <xdr:cNvPr id="11" name="CuadroTexto 10">
              <a:extLst>
                <a:ext uri="{FF2B5EF4-FFF2-40B4-BE49-F238E27FC236}">
                  <a16:creationId xmlns:a16="http://schemas.microsoft.com/office/drawing/2014/main" id="{C99A053D-229C-4659-B6E3-7FEDE9500D9A}"/>
                </a:ext>
              </a:extLst>
            </xdr:cNvPr>
            <xdr:cNvSpPr txBox="1"/>
          </xdr:nvSpPr>
          <xdr:spPr>
            <a:xfrm>
              <a:off x="31924625" y="8416922"/>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s-CO" sz="1100" i="1">
                            <a:latin typeface="Cambria Math" panose="02040503050406030204" pitchFamily="18" charset="0"/>
                          </a:rPr>
                        </m:ctrlPr>
                      </m:naryPr>
                      <m:sub>
                        <m:r>
                          <m:rPr>
                            <m:brk m:alnAt="23"/>
                          </m:rPr>
                          <a:rPr lang="es-ES" sz="1100" b="0" i="1">
                            <a:latin typeface="Cambria Math" panose="02040503050406030204" pitchFamily="18" charset="0"/>
                          </a:rPr>
                          <m:t>𝑖</m:t>
                        </m:r>
                        <m:r>
                          <a:rPr lang="es-ES" sz="1100" b="0" i="1">
                            <a:latin typeface="Cambria Math" panose="02040503050406030204" pitchFamily="18" charset="0"/>
                          </a:rPr>
                          <m:t>=1</m:t>
                        </m:r>
                      </m:sub>
                      <m:sup>
                        <m:r>
                          <a:rPr lang="es-ES" sz="1100" b="0" i="1">
                            <a:latin typeface="Cambria Math" panose="02040503050406030204" pitchFamily="18" charset="0"/>
                          </a:rPr>
                          <m:t>𝑛</m:t>
                        </m:r>
                      </m:sup>
                      <m:e>
                        <m:r>
                          <a:rPr lang="es-ES" sz="1100" b="0" i="1">
                            <a:latin typeface="Cambria Math" panose="02040503050406030204" pitchFamily="18" charset="0"/>
                          </a:rPr>
                          <m:t>=</m:t>
                        </m:r>
                      </m:e>
                    </m:nary>
                    <m:r>
                      <a:rPr lang="es-ES" sz="1100" b="0" i="1">
                        <a:latin typeface="Cambria Math" panose="02040503050406030204" pitchFamily="18" charset="0"/>
                      </a:rPr>
                      <m:t>𝑤𝑖</m:t>
                    </m:r>
                    <m:r>
                      <a:rPr lang="es-ES" sz="1100" b="0" i="1">
                        <a:latin typeface="Cambria Math" panose="02040503050406030204" pitchFamily="18" charset="0"/>
                      </a:rPr>
                      <m:t>∗</m:t>
                    </m:r>
                    <m:r>
                      <a:rPr lang="es-ES" sz="1100" b="0" i="1">
                        <a:latin typeface="Cambria Math" panose="02040503050406030204" pitchFamily="18" charset="0"/>
                      </a:rPr>
                      <m:t>𝑋𝑖</m:t>
                    </m:r>
                  </m:oMath>
                </m:oMathPara>
              </a14:m>
              <a:endParaRPr lang="es-CO" sz="1100"/>
            </a:p>
          </xdr:txBody>
        </xdr:sp>
      </mc:Choice>
      <mc:Fallback>
        <xdr:sp macro="" textlink="">
          <xdr:nvSpPr>
            <xdr:cNvPr id="11" name="CuadroTexto 10">
              <a:extLst>
                <a:ext uri="{FF2B5EF4-FFF2-40B4-BE49-F238E27FC236}">
                  <a16:creationId xmlns:a16="http://schemas.microsoft.com/office/drawing/2014/main" id="{C99A053D-229C-4659-B6E3-7FEDE9500D9A}"/>
                </a:ext>
              </a:extLst>
            </xdr:cNvPr>
            <xdr:cNvSpPr txBox="1"/>
          </xdr:nvSpPr>
          <xdr:spPr>
            <a:xfrm>
              <a:off x="31924625" y="8416922"/>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i="0">
                  <a:latin typeface="Cambria Math" panose="02040503050406030204" pitchFamily="18" charset="0"/>
                </a:rPr>
                <a:t>∑</a:t>
              </a:r>
              <a:r>
                <a:rPr lang="es-ES" sz="1100" b="0" i="0">
                  <a:latin typeface="Cambria Math" panose="02040503050406030204" pitchFamily="18" charset="0"/>
                </a:rPr>
                <a:t>_</a:t>
              </a:r>
              <a:r>
                <a:rPr lang="es-CO" sz="1100" b="0" i="0">
                  <a:latin typeface="Cambria Math" panose="02040503050406030204" pitchFamily="18" charset="0"/>
                </a:rPr>
                <a:t>(</a:t>
              </a:r>
              <a:r>
                <a:rPr lang="es-ES" sz="1100" b="0" i="0">
                  <a:latin typeface="Cambria Math" panose="02040503050406030204" pitchFamily="18" charset="0"/>
                </a:rPr>
                <a:t>𝑖=1</a:t>
              </a:r>
              <a:r>
                <a:rPr lang="es-CO" sz="1100" b="0" i="0">
                  <a:latin typeface="Cambria Math" panose="02040503050406030204" pitchFamily="18" charset="0"/>
                </a:rPr>
                <a:t>)</a:t>
              </a:r>
              <a:r>
                <a:rPr lang="es-ES" sz="1100" b="0" i="0">
                  <a:latin typeface="Cambria Math" panose="02040503050406030204" pitchFamily="18" charset="0"/>
                </a:rPr>
                <a:t>^𝑛▒= 𝑤𝑖∗𝑋𝑖</a:t>
              </a:r>
              <a:endParaRPr lang="es-CO" sz="1100"/>
            </a:p>
          </xdr:txBody>
        </xdr:sp>
      </mc:Fallback>
    </mc:AlternateContent>
    <xdr:clientData/>
  </xdr:oneCellAnchor>
  <xdr:oneCellAnchor>
    <xdr:from>
      <xdr:col>17</xdr:col>
      <xdr:colOff>273050</xdr:colOff>
      <xdr:row>13</xdr:row>
      <xdr:rowOff>82547</xdr:rowOff>
    </xdr:from>
    <xdr:ext cx="1134531" cy="462114"/>
    <mc:AlternateContent xmlns:mc="http://schemas.openxmlformats.org/markup-compatibility/2006">
      <mc:Choice xmlns:a14="http://schemas.microsoft.com/office/drawing/2010/main" Requires="a14">
        <xdr:sp macro="" textlink="">
          <xdr:nvSpPr>
            <xdr:cNvPr id="12" name="CuadroTexto 11">
              <a:extLst>
                <a:ext uri="{FF2B5EF4-FFF2-40B4-BE49-F238E27FC236}">
                  <a16:creationId xmlns:a16="http://schemas.microsoft.com/office/drawing/2014/main" id="{D2C46EC8-6F90-4792-ADCC-6044B155B452}"/>
                </a:ext>
              </a:extLst>
            </xdr:cNvPr>
            <xdr:cNvSpPr txBox="1"/>
          </xdr:nvSpPr>
          <xdr:spPr>
            <a:xfrm>
              <a:off x="31924625" y="11160122"/>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s-CO" sz="1100" i="1">
                            <a:latin typeface="Cambria Math" panose="02040503050406030204" pitchFamily="18" charset="0"/>
                          </a:rPr>
                        </m:ctrlPr>
                      </m:naryPr>
                      <m:sub>
                        <m:r>
                          <m:rPr>
                            <m:brk m:alnAt="23"/>
                          </m:rPr>
                          <a:rPr lang="es-ES" sz="1100" b="0" i="1">
                            <a:latin typeface="Cambria Math" panose="02040503050406030204" pitchFamily="18" charset="0"/>
                          </a:rPr>
                          <m:t>𝑖</m:t>
                        </m:r>
                        <m:r>
                          <a:rPr lang="es-ES" sz="1100" b="0" i="1">
                            <a:latin typeface="Cambria Math" panose="02040503050406030204" pitchFamily="18" charset="0"/>
                          </a:rPr>
                          <m:t>=1</m:t>
                        </m:r>
                      </m:sub>
                      <m:sup>
                        <m:r>
                          <a:rPr lang="es-ES" sz="1100" b="0" i="1">
                            <a:latin typeface="Cambria Math" panose="02040503050406030204" pitchFamily="18" charset="0"/>
                          </a:rPr>
                          <m:t>𝑛</m:t>
                        </m:r>
                      </m:sup>
                      <m:e>
                        <m:r>
                          <a:rPr lang="es-ES" sz="1100" b="0" i="1">
                            <a:latin typeface="Cambria Math" panose="02040503050406030204" pitchFamily="18" charset="0"/>
                          </a:rPr>
                          <m:t>=</m:t>
                        </m:r>
                      </m:e>
                    </m:nary>
                    <m:r>
                      <a:rPr lang="es-ES" sz="1100" b="0" i="1">
                        <a:latin typeface="Cambria Math" panose="02040503050406030204" pitchFamily="18" charset="0"/>
                      </a:rPr>
                      <m:t>𝑤𝑖</m:t>
                    </m:r>
                    <m:r>
                      <a:rPr lang="es-ES" sz="1100" b="0" i="1">
                        <a:latin typeface="Cambria Math" panose="02040503050406030204" pitchFamily="18" charset="0"/>
                      </a:rPr>
                      <m:t>∗</m:t>
                    </m:r>
                    <m:r>
                      <a:rPr lang="es-ES" sz="1100" b="0" i="1">
                        <a:latin typeface="Cambria Math" panose="02040503050406030204" pitchFamily="18" charset="0"/>
                      </a:rPr>
                      <m:t>𝑋𝑖</m:t>
                    </m:r>
                  </m:oMath>
                </m:oMathPara>
              </a14:m>
              <a:endParaRPr lang="es-CO" sz="1100"/>
            </a:p>
          </xdr:txBody>
        </xdr:sp>
      </mc:Choice>
      <mc:Fallback>
        <xdr:sp macro="" textlink="">
          <xdr:nvSpPr>
            <xdr:cNvPr id="12" name="CuadroTexto 11">
              <a:extLst>
                <a:ext uri="{FF2B5EF4-FFF2-40B4-BE49-F238E27FC236}">
                  <a16:creationId xmlns:a16="http://schemas.microsoft.com/office/drawing/2014/main" id="{D2C46EC8-6F90-4792-ADCC-6044B155B452}"/>
                </a:ext>
              </a:extLst>
            </xdr:cNvPr>
            <xdr:cNvSpPr txBox="1"/>
          </xdr:nvSpPr>
          <xdr:spPr>
            <a:xfrm>
              <a:off x="31924625" y="11160122"/>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i="0">
                  <a:latin typeface="Cambria Math" panose="02040503050406030204" pitchFamily="18" charset="0"/>
                </a:rPr>
                <a:t>∑</a:t>
              </a:r>
              <a:r>
                <a:rPr lang="es-ES" sz="1100" b="0" i="0">
                  <a:latin typeface="Cambria Math" panose="02040503050406030204" pitchFamily="18" charset="0"/>
                </a:rPr>
                <a:t>_</a:t>
              </a:r>
              <a:r>
                <a:rPr lang="es-CO" sz="1100" b="0" i="0">
                  <a:latin typeface="Cambria Math" panose="02040503050406030204" pitchFamily="18" charset="0"/>
                </a:rPr>
                <a:t>(</a:t>
              </a:r>
              <a:r>
                <a:rPr lang="es-ES" sz="1100" b="0" i="0">
                  <a:latin typeface="Cambria Math" panose="02040503050406030204" pitchFamily="18" charset="0"/>
                </a:rPr>
                <a:t>𝑖=1</a:t>
              </a:r>
              <a:r>
                <a:rPr lang="es-CO" sz="1100" b="0" i="0">
                  <a:latin typeface="Cambria Math" panose="02040503050406030204" pitchFamily="18" charset="0"/>
                </a:rPr>
                <a:t>)</a:t>
              </a:r>
              <a:r>
                <a:rPr lang="es-ES" sz="1100" b="0" i="0">
                  <a:latin typeface="Cambria Math" panose="02040503050406030204" pitchFamily="18" charset="0"/>
                </a:rPr>
                <a:t>^𝑛▒= 𝑤𝑖∗𝑋𝑖</a:t>
              </a:r>
              <a:endParaRPr lang="es-CO" sz="1100"/>
            </a:p>
          </xdr:txBody>
        </xdr:sp>
      </mc:Fallback>
    </mc:AlternateContent>
    <xdr:clientData/>
  </xdr:oneCellAnchor>
  <xdr:oneCellAnchor>
    <xdr:from>
      <xdr:col>17</xdr:col>
      <xdr:colOff>273050</xdr:colOff>
      <xdr:row>14</xdr:row>
      <xdr:rowOff>82547</xdr:rowOff>
    </xdr:from>
    <xdr:ext cx="1134531" cy="462114"/>
    <mc:AlternateContent xmlns:mc="http://schemas.openxmlformats.org/markup-compatibility/2006">
      <mc:Choice xmlns:a14="http://schemas.microsoft.com/office/drawing/2010/main" Requires="a14">
        <xdr:sp macro="" textlink="">
          <xdr:nvSpPr>
            <xdr:cNvPr id="13" name="CuadroTexto 12">
              <a:extLst>
                <a:ext uri="{FF2B5EF4-FFF2-40B4-BE49-F238E27FC236}">
                  <a16:creationId xmlns:a16="http://schemas.microsoft.com/office/drawing/2014/main" id="{1D3000B4-AC86-41B5-B7E8-8D6BAD60708B}"/>
                </a:ext>
              </a:extLst>
            </xdr:cNvPr>
            <xdr:cNvSpPr txBox="1"/>
          </xdr:nvSpPr>
          <xdr:spPr>
            <a:xfrm>
              <a:off x="31924625" y="13446122"/>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s-CO" sz="1100" i="1">
                            <a:latin typeface="Cambria Math" panose="02040503050406030204" pitchFamily="18" charset="0"/>
                          </a:rPr>
                        </m:ctrlPr>
                      </m:naryPr>
                      <m:sub>
                        <m:r>
                          <m:rPr>
                            <m:brk m:alnAt="23"/>
                          </m:rPr>
                          <a:rPr lang="es-ES" sz="1100" b="0" i="1">
                            <a:latin typeface="Cambria Math" panose="02040503050406030204" pitchFamily="18" charset="0"/>
                          </a:rPr>
                          <m:t>𝑖</m:t>
                        </m:r>
                        <m:r>
                          <a:rPr lang="es-ES" sz="1100" b="0" i="1">
                            <a:latin typeface="Cambria Math" panose="02040503050406030204" pitchFamily="18" charset="0"/>
                          </a:rPr>
                          <m:t>=1</m:t>
                        </m:r>
                      </m:sub>
                      <m:sup>
                        <m:r>
                          <a:rPr lang="es-ES" sz="1100" b="0" i="1">
                            <a:latin typeface="Cambria Math" panose="02040503050406030204" pitchFamily="18" charset="0"/>
                          </a:rPr>
                          <m:t>𝑛</m:t>
                        </m:r>
                      </m:sup>
                      <m:e>
                        <m:r>
                          <a:rPr lang="es-ES" sz="1100" b="0" i="1">
                            <a:latin typeface="Cambria Math" panose="02040503050406030204" pitchFamily="18" charset="0"/>
                          </a:rPr>
                          <m:t>=</m:t>
                        </m:r>
                      </m:e>
                    </m:nary>
                    <m:r>
                      <a:rPr lang="es-ES" sz="1100" b="0" i="1">
                        <a:latin typeface="Cambria Math" panose="02040503050406030204" pitchFamily="18" charset="0"/>
                      </a:rPr>
                      <m:t>𝑤𝑖</m:t>
                    </m:r>
                    <m:r>
                      <a:rPr lang="es-ES" sz="1100" b="0" i="1">
                        <a:latin typeface="Cambria Math" panose="02040503050406030204" pitchFamily="18" charset="0"/>
                      </a:rPr>
                      <m:t>∗</m:t>
                    </m:r>
                    <m:r>
                      <a:rPr lang="es-ES" sz="1100" b="0" i="1">
                        <a:latin typeface="Cambria Math" panose="02040503050406030204" pitchFamily="18" charset="0"/>
                      </a:rPr>
                      <m:t>𝑋𝑖</m:t>
                    </m:r>
                  </m:oMath>
                </m:oMathPara>
              </a14:m>
              <a:endParaRPr lang="es-CO" sz="1100"/>
            </a:p>
          </xdr:txBody>
        </xdr:sp>
      </mc:Choice>
      <mc:Fallback>
        <xdr:sp macro="" textlink="">
          <xdr:nvSpPr>
            <xdr:cNvPr id="13" name="CuadroTexto 12">
              <a:extLst>
                <a:ext uri="{FF2B5EF4-FFF2-40B4-BE49-F238E27FC236}">
                  <a16:creationId xmlns:a16="http://schemas.microsoft.com/office/drawing/2014/main" id="{1D3000B4-AC86-41B5-B7E8-8D6BAD60708B}"/>
                </a:ext>
              </a:extLst>
            </xdr:cNvPr>
            <xdr:cNvSpPr txBox="1"/>
          </xdr:nvSpPr>
          <xdr:spPr>
            <a:xfrm>
              <a:off x="31924625" y="13446122"/>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i="0">
                  <a:latin typeface="Cambria Math" panose="02040503050406030204" pitchFamily="18" charset="0"/>
                </a:rPr>
                <a:t>∑</a:t>
              </a:r>
              <a:r>
                <a:rPr lang="es-ES" sz="1100" b="0" i="0">
                  <a:latin typeface="Cambria Math" panose="02040503050406030204" pitchFamily="18" charset="0"/>
                </a:rPr>
                <a:t>_</a:t>
              </a:r>
              <a:r>
                <a:rPr lang="es-CO" sz="1100" b="0" i="0">
                  <a:latin typeface="Cambria Math" panose="02040503050406030204" pitchFamily="18" charset="0"/>
                </a:rPr>
                <a:t>(</a:t>
              </a:r>
              <a:r>
                <a:rPr lang="es-ES" sz="1100" b="0" i="0">
                  <a:latin typeface="Cambria Math" panose="02040503050406030204" pitchFamily="18" charset="0"/>
                </a:rPr>
                <a:t>𝑖=1</a:t>
              </a:r>
              <a:r>
                <a:rPr lang="es-CO" sz="1100" b="0" i="0">
                  <a:latin typeface="Cambria Math" panose="02040503050406030204" pitchFamily="18" charset="0"/>
                </a:rPr>
                <a:t>)</a:t>
              </a:r>
              <a:r>
                <a:rPr lang="es-ES" sz="1100" b="0" i="0">
                  <a:latin typeface="Cambria Math" panose="02040503050406030204" pitchFamily="18" charset="0"/>
                </a:rPr>
                <a:t>^𝑛▒= 𝑤𝑖∗𝑋𝑖</a:t>
              </a:r>
              <a:endParaRPr lang="es-CO" sz="1100"/>
            </a:p>
          </xdr:txBody>
        </xdr:sp>
      </mc:Fallback>
    </mc:AlternateContent>
    <xdr:clientData/>
  </xdr:oneCellAnchor>
  <xdr:oneCellAnchor>
    <xdr:from>
      <xdr:col>12</xdr:col>
      <xdr:colOff>273050</xdr:colOff>
      <xdr:row>16</xdr:row>
      <xdr:rowOff>82547</xdr:rowOff>
    </xdr:from>
    <xdr:ext cx="1134531" cy="462114"/>
    <mc:AlternateContent xmlns:mc="http://schemas.openxmlformats.org/markup-compatibility/2006">
      <mc:Choice xmlns:a14="http://schemas.microsoft.com/office/drawing/2010/main" Requires="a14">
        <xdr:sp macro="" textlink="">
          <xdr:nvSpPr>
            <xdr:cNvPr id="14" name="CuadroTexto 13">
              <a:extLst>
                <a:ext uri="{FF2B5EF4-FFF2-40B4-BE49-F238E27FC236}">
                  <a16:creationId xmlns:a16="http://schemas.microsoft.com/office/drawing/2014/main" id="{B405DADF-A598-4DF3-914D-F9E291802A33}"/>
                </a:ext>
              </a:extLst>
            </xdr:cNvPr>
            <xdr:cNvSpPr txBox="1"/>
          </xdr:nvSpPr>
          <xdr:spPr>
            <a:xfrm>
              <a:off x="21399500" y="16341722"/>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s-CO" sz="1100" i="1">
                            <a:latin typeface="Cambria Math" panose="02040503050406030204" pitchFamily="18" charset="0"/>
                          </a:rPr>
                        </m:ctrlPr>
                      </m:naryPr>
                      <m:sub>
                        <m:r>
                          <m:rPr>
                            <m:brk m:alnAt="23"/>
                          </m:rPr>
                          <a:rPr lang="es-ES" sz="1100" b="0" i="1">
                            <a:latin typeface="Cambria Math" panose="02040503050406030204" pitchFamily="18" charset="0"/>
                          </a:rPr>
                          <m:t>𝑖</m:t>
                        </m:r>
                        <m:r>
                          <a:rPr lang="es-ES" sz="1100" b="0" i="1">
                            <a:latin typeface="Cambria Math" panose="02040503050406030204" pitchFamily="18" charset="0"/>
                          </a:rPr>
                          <m:t>=1</m:t>
                        </m:r>
                      </m:sub>
                      <m:sup>
                        <m:r>
                          <a:rPr lang="es-ES" sz="1100" b="0" i="1">
                            <a:latin typeface="Cambria Math" panose="02040503050406030204" pitchFamily="18" charset="0"/>
                          </a:rPr>
                          <m:t>𝑛</m:t>
                        </m:r>
                      </m:sup>
                      <m:e>
                        <m:r>
                          <a:rPr lang="es-ES" sz="1100" b="0" i="1">
                            <a:latin typeface="Cambria Math" panose="02040503050406030204" pitchFamily="18" charset="0"/>
                          </a:rPr>
                          <m:t>=</m:t>
                        </m:r>
                      </m:e>
                    </m:nary>
                    <m:r>
                      <a:rPr lang="es-ES" sz="1100" b="0" i="1">
                        <a:latin typeface="Cambria Math" panose="02040503050406030204" pitchFamily="18" charset="0"/>
                      </a:rPr>
                      <m:t>𝑤𝑖</m:t>
                    </m:r>
                    <m:r>
                      <a:rPr lang="es-ES" sz="1100" b="0" i="1">
                        <a:latin typeface="Cambria Math" panose="02040503050406030204" pitchFamily="18" charset="0"/>
                      </a:rPr>
                      <m:t>∗</m:t>
                    </m:r>
                    <m:r>
                      <a:rPr lang="es-ES" sz="1100" b="0" i="1">
                        <a:latin typeface="Cambria Math" panose="02040503050406030204" pitchFamily="18" charset="0"/>
                      </a:rPr>
                      <m:t>𝑋𝑖</m:t>
                    </m:r>
                  </m:oMath>
                </m:oMathPara>
              </a14:m>
              <a:endParaRPr lang="es-CO" sz="1100"/>
            </a:p>
          </xdr:txBody>
        </xdr:sp>
      </mc:Choice>
      <mc:Fallback>
        <xdr:sp macro="" textlink="">
          <xdr:nvSpPr>
            <xdr:cNvPr id="14" name="CuadroTexto 13">
              <a:extLst>
                <a:ext uri="{FF2B5EF4-FFF2-40B4-BE49-F238E27FC236}">
                  <a16:creationId xmlns:a16="http://schemas.microsoft.com/office/drawing/2014/main" id="{B405DADF-A598-4DF3-914D-F9E291802A33}"/>
                </a:ext>
              </a:extLst>
            </xdr:cNvPr>
            <xdr:cNvSpPr txBox="1"/>
          </xdr:nvSpPr>
          <xdr:spPr>
            <a:xfrm>
              <a:off x="21399500" y="16341722"/>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i="0">
                  <a:latin typeface="Cambria Math" panose="02040503050406030204" pitchFamily="18" charset="0"/>
                </a:rPr>
                <a:t>∑</a:t>
              </a:r>
              <a:r>
                <a:rPr lang="es-ES" sz="1100" b="0" i="0">
                  <a:latin typeface="Cambria Math" panose="02040503050406030204" pitchFamily="18" charset="0"/>
                </a:rPr>
                <a:t>_</a:t>
              </a:r>
              <a:r>
                <a:rPr lang="es-CO" sz="1100" b="0" i="0">
                  <a:latin typeface="Cambria Math" panose="02040503050406030204" pitchFamily="18" charset="0"/>
                </a:rPr>
                <a:t>(</a:t>
              </a:r>
              <a:r>
                <a:rPr lang="es-ES" sz="1100" b="0" i="0">
                  <a:latin typeface="Cambria Math" panose="02040503050406030204" pitchFamily="18" charset="0"/>
                </a:rPr>
                <a:t>𝑖=1</a:t>
              </a:r>
              <a:r>
                <a:rPr lang="es-CO" sz="1100" b="0" i="0">
                  <a:latin typeface="Cambria Math" panose="02040503050406030204" pitchFamily="18" charset="0"/>
                </a:rPr>
                <a:t>)</a:t>
              </a:r>
              <a:r>
                <a:rPr lang="es-ES" sz="1100" b="0" i="0">
                  <a:latin typeface="Cambria Math" panose="02040503050406030204" pitchFamily="18" charset="0"/>
                </a:rPr>
                <a:t>^𝑛▒= 𝑤𝑖∗𝑋𝑖</a:t>
              </a:r>
              <a:endParaRPr lang="es-CO" sz="1100"/>
            </a:p>
          </xdr:txBody>
        </xdr:sp>
      </mc:Fallback>
    </mc:AlternateContent>
    <xdr:clientData/>
  </xdr:oneCellAnchor>
  <xdr:oneCellAnchor>
    <xdr:from>
      <xdr:col>12</xdr:col>
      <xdr:colOff>273050</xdr:colOff>
      <xdr:row>17</xdr:row>
      <xdr:rowOff>82547</xdr:rowOff>
    </xdr:from>
    <xdr:ext cx="1134531" cy="462114"/>
    <mc:AlternateContent xmlns:mc="http://schemas.openxmlformats.org/markup-compatibility/2006">
      <mc:Choice xmlns:a14="http://schemas.microsoft.com/office/drawing/2010/main" Requires="a14">
        <xdr:sp macro="" textlink="">
          <xdr:nvSpPr>
            <xdr:cNvPr id="15" name="CuadroTexto 14">
              <a:extLst>
                <a:ext uri="{FF2B5EF4-FFF2-40B4-BE49-F238E27FC236}">
                  <a16:creationId xmlns:a16="http://schemas.microsoft.com/office/drawing/2014/main" id="{7F8D0E6E-7F88-4EF9-9AB4-1BEF34E94F73}"/>
                </a:ext>
              </a:extLst>
            </xdr:cNvPr>
            <xdr:cNvSpPr txBox="1"/>
          </xdr:nvSpPr>
          <xdr:spPr>
            <a:xfrm>
              <a:off x="21399500" y="21370922"/>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s-CO" sz="1100" i="1">
                            <a:latin typeface="Cambria Math" panose="02040503050406030204" pitchFamily="18" charset="0"/>
                          </a:rPr>
                        </m:ctrlPr>
                      </m:naryPr>
                      <m:sub>
                        <m:r>
                          <m:rPr>
                            <m:brk m:alnAt="23"/>
                          </m:rPr>
                          <a:rPr lang="es-ES" sz="1100" b="0" i="1">
                            <a:latin typeface="Cambria Math" panose="02040503050406030204" pitchFamily="18" charset="0"/>
                          </a:rPr>
                          <m:t>𝑖</m:t>
                        </m:r>
                        <m:r>
                          <a:rPr lang="es-ES" sz="1100" b="0" i="1">
                            <a:latin typeface="Cambria Math" panose="02040503050406030204" pitchFamily="18" charset="0"/>
                          </a:rPr>
                          <m:t>=1</m:t>
                        </m:r>
                      </m:sub>
                      <m:sup>
                        <m:r>
                          <a:rPr lang="es-ES" sz="1100" b="0" i="1">
                            <a:latin typeface="Cambria Math" panose="02040503050406030204" pitchFamily="18" charset="0"/>
                          </a:rPr>
                          <m:t>𝑛</m:t>
                        </m:r>
                      </m:sup>
                      <m:e>
                        <m:r>
                          <a:rPr lang="es-ES" sz="1100" b="0" i="1">
                            <a:latin typeface="Cambria Math" panose="02040503050406030204" pitchFamily="18" charset="0"/>
                          </a:rPr>
                          <m:t>=</m:t>
                        </m:r>
                      </m:e>
                    </m:nary>
                    <m:r>
                      <a:rPr lang="es-ES" sz="1100" b="0" i="1">
                        <a:latin typeface="Cambria Math" panose="02040503050406030204" pitchFamily="18" charset="0"/>
                      </a:rPr>
                      <m:t>𝑤𝑖</m:t>
                    </m:r>
                    <m:r>
                      <a:rPr lang="es-ES" sz="1100" b="0" i="1">
                        <a:latin typeface="Cambria Math" panose="02040503050406030204" pitchFamily="18" charset="0"/>
                      </a:rPr>
                      <m:t>∗</m:t>
                    </m:r>
                    <m:r>
                      <a:rPr lang="es-ES" sz="1100" b="0" i="1">
                        <a:latin typeface="Cambria Math" panose="02040503050406030204" pitchFamily="18" charset="0"/>
                      </a:rPr>
                      <m:t>𝑋𝑖</m:t>
                    </m:r>
                  </m:oMath>
                </m:oMathPara>
              </a14:m>
              <a:endParaRPr lang="es-CO" sz="1100"/>
            </a:p>
          </xdr:txBody>
        </xdr:sp>
      </mc:Choice>
      <mc:Fallback>
        <xdr:sp macro="" textlink="">
          <xdr:nvSpPr>
            <xdr:cNvPr id="15" name="CuadroTexto 14">
              <a:extLst>
                <a:ext uri="{FF2B5EF4-FFF2-40B4-BE49-F238E27FC236}">
                  <a16:creationId xmlns:a16="http://schemas.microsoft.com/office/drawing/2014/main" id="{7F8D0E6E-7F88-4EF9-9AB4-1BEF34E94F73}"/>
                </a:ext>
              </a:extLst>
            </xdr:cNvPr>
            <xdr:cNvSpPr txBox="1"/>
          </xdr:nvSpPr>
          <xdr:spPr>
            <a:xfrm>
              <a:off x="21399500" y="21370922"/>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i="0">
                  <a:latin typeface="Cambria Math" panose="02040503050406030204" pitchFamily="18" charset="0"/>
                </a:rPr>
                <a:t>∑</a:t>
              </a:r>
              <a:r>
                <a:rPr lang="es-ES" sz="1100" b="0" i="0">
                  <a:latin typeface="Cambria Math" panose="02040503050406030204" pitchFamily="18" charset="0"/>
                </a:rPr>
                <a:t>_</a:t>
              </a:r>
              <a:r>
                <a:rPr lang="es-CO" sz="1100" b="0" i="0">
                  <a:latin typeface="Cambria Math" panose="02040503050406030204" pitchFamily="18" charset="0"/>
                </a:rPr>
                <a:t>(</a:t>
              </a:r>
              <a:r>
                <a:rPr lang="es-ES" sz="1100" b="0" i="0">
                  <a:latin typeface="Cambria Math" panose="02040503050406030204" pitchFamily="18" charset="0"/>
                </a:rPr>
                <a:t>𝑖=1</a:t>
              </a:r>
              <a:r>
                <a:rPr lang="es-CO" sz="1100" b="0" i="0">
                  <a:latin typeface="Cambria Math" panose="02040503050406030204" pitchFamily="18" charset="0"/>
                </a:rPr>
                <a:t>)</a:t>
              </a:r>
              <a:r>
                <a:rPr lang="es-ES" sz="1100" b="0" i="0">
                  <a:latin typeface="Cambria Math" panose="02040503050406030204" pitchFamily="18" charset="0"/>
                </a:rPr>
                <a:t>^𝑛▒= 𝑤𝑖∗𝑋𝑖</a:t>
              </a:r>
              <a:endParaRPr lang="es-CO" sz="1100"/>
            </a:p>
          </xdr:txBody>
        </xdr:sp>
      </mc:Fallback>
    </mc:AlternateContent>
    <xdr:clientData/>
  </xdr:one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213633</xdr:colOff>
      <xdr:row>3</xdr:row>
      <xdr:rowOff>0</xdr:rowOff>
    </xdr:to>
    <xdr:grpSp>
      <xdr:nvGrpSpPr>
        <xdr:cNvPr id="2" name="Grupo 1">
          <a:extLst>
            <a:ext uri="{FF2B5EF4-FFF2-40B4-BE49-F238E27FC236}">
              <a16:creationId xmlns:a16="http://schemas.microsoft.com/office/drawing/2014/main" id="{0B5BDB85-EEC7-4021-8E1D-33686A59B1E8}"/>
            </a:ext>
          </a:extLst>
        </xdr:cNvPr>
        <xdr:cNvGrpSpPr/>
      </xdr:nvGrpSpPr>
      <xdr:grpSpPr>
        <a:xfrm>
          <a:off x="0" y="0"/>
          <a:ext cx="2813398" cy="862853"/>
          <a:chOff x="228600" y="47625"/>
          <a:chExt cx="2680608" cy="981075"/>
        </a:xfrm>
      </xdr:grpSpPr>
      <xdr:pic>
        <xdr:nvPicPr>
          <xdr:cNvPr id="3" name="Picture 5">
            <a:extLst>
              <a:ext uri="{FF2B5EF4-FFF2-40B4-BE49-F238E27FC236}">
                <a16:creationId xmlns:a16="http://schemas.microsoft.com/office/drawing/2014/main" id="{4136057A-1CB9-4BB1-8840-DB0048BD30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9C05FDBB-D471-4588-AED7-DB0B938D677B}"/>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twoCellAnchor>
    <xdr:from>
      <xdr:col>0</xdr:col>
      <xdr:colOff>0</xdr:colOff>
      <xdr:row>0</xdr:row>
      <xdr:rowOff>0</xdr:rowOff>
    </xdr:from>
    <xdr:to>
      <xdr:col>2</xdr:col>
      <xdr:colOff>213633</xdr:colOff>
      <xdr:row>3</xdr:row>
      <xdr:rowOff>0</xdr:rowOff>
    </xdr:to>
    <xdr:grpSp>
      <xdr:nvGrpSpPr>
        <xdr:cNvPr id="5" name="Grupo 4">
          <a:extLst>
            <a:ext uri="{FF2B5EF4-FFF2-40B4-BE49-F238E27FC236}">
              <a16:creationId xmlns:a16="http://schemas.microsoft.com/office/drawing/2014/main" id="{0A5C0950-9490-45A5-950A-FF3814A1B736}"/>
            </a:ext>
          </a:extLst>
        </xdr:cNvPr>
        <xdr:cNvGrpSpPr/>
      </xdr:nvGrpSpPr>
      <xdr:grpSpPr>
        <a:xfrm>
          <a:off x="0" y="0"/>
          <a:ext cx="2813398" cy="862853"/>
          <a:chOff x="228600" y="47625"/>
          <a:chExt cx="2680608" cy="981075"/>
        </a:xfrm>
      </xdr:grpSpPr>
      <xdr:pic>
        <xdr:nvPicPr>
          <xdr:cNvPr id="6" name="Picture 5">
            <a:extLst>
              <a:ext uri="{FF2B5EF4-FFF2-40B4-BE49-F238E27FC236}">
                <a16:creationId xmlns:a16="http://schemas.microsoft.com/office/drawing/2014/main" id="{43594E07-B11D-4B86-ADA6-65EB1B7BFA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7" name="5 CuadroTexto">
            <a:extLst>
              <a:ext uri="{FF2B5EF4-FFF2-40B4-BE49-F238E27FC236}">
                <a16:creationId xmlns:a16="http://schemas.microsoft.com/office/drawing/2014/main" id="{DD51E366-15C9-4792-9462-3D4B68D4FC69}"/>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213633</xdr:colOff>
      <xdr:row>3</xdr:row>
      <xdr:rowOff>0</xdr:rowOff>
    </xdr:to>
    <xdr:grpSp>
      <xdr:nvGrpSpPr>
        <xdr:cNvPr id="2" name="Grupo 1">
          <a:extLst>
            <a:ext uri="{FF2B5EF4-FFF2-40B4-BE49-F238E27FC236}">
              <a16:creationId xmlns:a16="http://schemas.microsoft.com/office/drawing/2014/main" id="{0FBEEB67-41E4-4637-B884-5EC971A3E67B}"/>
            </a:ext>
          </a:extLst>
        </xdr:cNvPr>
        <xdr:cNvGrpSpPr/>
      </xdr:nvGrpSpPr>
      <xdr:grpSpPr>
        <a:xfrm>
          <a:off x="0" y="0"/>
          <a:ext cx="1909083" cy="600075"/>
          <a:chOff x="228600" y="47625"/>
          <a:chExt cx="2680608" cy="981075"/>
        </a:xfrm>
      </xdr:grpSpPr>
      <xdr:pic>
        <xdr:nvPicPr>
          <xdr:cNvPr id="3" name="Picture 5">
            <a:extLst>
              <a:ext uri="{FF2B5EF4-FFF2-40B4-BE49-F238E27FC236}">
                <a16:creationId xmlns:a16="http://schemas.microsoft.com/office/drawing/2014/main" id="{D7FBFD17-9128-4589-8EAB-7140CE9938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DD7DA528-BF77-432A-8B96-F3F2D43BC790}"/>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213633</xdr:colOff>
      <xdr:row>3</xdr:row>
      <xdr:rowOff>0</xdr:rowOff>
    </xdr:to>
    <xdr:grpSp>
      <xdr:nvGrpSpPr>
        <xdr:cNvPr id="2" name="Grupo 1">
          <a:extLst>
            <a:ext uri="{FF2B5EF4-FFF2-40B4-BE49-F238E27FC236}">
              <a16:creationId xmlns:a16="http://schemas.microsoft.com/office/drawing/2014/main" id="{FE45E98B-45EB-48E3-9E41-F7F2C679C087}"/>
            </a:ext>
          </a:extLst>
        </xdr:cNvPr>
        <xdr:cNvGrpSpPr/>
      </xdr:nvGrpSpPr>
      <xdr:grpSpPr>
        <a:xfrm>
          <a:off x="0" y="0"/>
          <a:ext cx="2813958" cy="600075"/>
          <a:chOff x="228600" y="47625"/>
          <a:chExt cx="2680608" cy="981075"/>
        </a:xfrm>
      </xdr:grpSpPr>
      <xdr:pic>
        <xdr:nvPicPr>
          <xdr:cNvPr id="3" name="Picture 5">
            <a:extLst>
              <a:ext uri="{FF2B5EF4-FFF2-40B4-BE49-F238E27FC236}">
                <a16:creationId xmlns:a16="http://schemas.microsoft.com/office/drawing/2014/main" id="{E68AB129-6A8E-4876-88E4-BD39DD8B55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850CAAC5-B824-4E38-B72F-32A0472DB0A7}"/>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213633</xdr:colOff>
      <xdr:row>3</xdr:row>
      <xdr:rowOff>0</xdr:rowOff>
    </xdr:to>
    <xdr:grpSp>
      <xdr:nvGrpSpPr>
        <xdr:cNvPr id="2" name="Grupo 1">
          <a:extLst>
            <a:ext uri="{FF2B5EF4-FFF2-40B4-BE49-F238E27FC236}">
              <a16:creationId xmlns:a16="http://schemas.microsoft.com/office/drawing/2014/main" id="{D890451C-52BA-4655-997D-95283934209E}"/>
            </a:ext>
          </a:extLst>
        </xdr:cNvPr>
        <xdr:cNvGrpSpPr/>
      </xdr:nvGrpSpPr>
      <xdr:grpSpPr>
        <a:xfrm>
          <a:off x="0" y="0"/>
          <a:ext cx="2818429" cy="651199"/>
          <a:chOff x="228600" y="47625"/>
          <a:chExt cx="2680608" cy="981075"/>
        </a:xfrm>
      </xdr:grpSpPr>
      <xdr:pic>
        <xdr:nvPicPr>
          <xdr:cNvPr id="3" name="Picture 5">
            <a:extLst>
              <a:ext uri="{FF2B5EF4-FFF2-40B4-BE49-F238E27FC236}">
                <a16:creationId xmlns:a16="http://schemas.microsoft.com/office/drawing/2014/main" id="{84D033BE-01CD-46F2-B9E8-B79CB0B250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0A6E6B06-7F4B-4D2F-8740-69F8E18C47A0}"/>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Drive\ANLA\PT%20Control%20Seguimientos%2029-Dic-17.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ANBOGVIEWFSS04\Perfiles\larcila\Docs\Plan%20de%20Accion%20Institucional\PAI%202017\Seguimiento%202017\ABRIL\SES\Copia%20de%20Control%20T&#233;rminos%20Abril_2017%20REV2_EVALUACI&#211;N_DefJaz.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Users\larcila\AppData\Local\Microsoft\Windows\INetCache\Content.Outlook\XHN05ZOW\PT%20Control%20T&#233;rminos%20ENERO%202017%2019012017.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6.%20Junio_/Anexos/Obligacion7/7.6%20Reunion_comentarios/Avance-PAI-SSLA-MAYO.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s://anla-my.sharepoint.com/Users/jazmi/Desktop/PAI%20SSLA/PAI-CONSOLIDADO-SSLA.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Users/chris/Downloads/FORMATO%20PAI_Regali&#769;as.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chris/Downloads/Informe%20PAI_Regali&#769;as_Febrero2020_.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Users/jazmi/Downloads/Informe%20PAI_Regal&#237;as_Abril2020.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Users/jazmi/Downloads/Informe%20PAI_Regal&#237;as_Mayo2020.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Users/jazmi/Downloads/Informe%20PAI_Regal&#237;as_Junio2020.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Users/jazmi/Downloads/04-082020-anla-avance-indicadores-pai-II-trimestre-20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NBOGVIEWFSS04\Perfiles\larcila\Docs\Plan%20de%20Accion%20Institucional\PAI%202018\Seguimiento%202018\Cierre%202017\Control%20de%20SEGUIMIENTO%202017_defintivo_RevLore_22en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Users\larcila\AppData\Local\Microsoft\Windows\INetCache\Content.Outlook\XHN05ZOW\PT%20Control%20Seguimientos%202016%20ENERO%202017%20AG.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0%20SUBDIRECCION%20DE%20EYS\2017\CONTROL%20DE%20TERMINOS\0%20DICIEMBRE%2031%202016\Control%20de%20Terminos%20SIGOV%202016%20V5%20con%20corte%20al%2010-11-2016.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Minambiente4\SGC-SILA\Indicadores\Informes%20Evaluaci&#242;n\IND.%20PERMISOS\Indicadores%202008\Octubre%2008-02(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NBOGVIEWFSS04\Perfiles\larcila\Docs\Plan%20de%20Accion%20Institucional\PAI%202017\Seguimiento%202017\Balance%202016\PT%20Control%20T&#233;rminos%20DICIEMBRE%202016%20FINAL%2011012017.xlsm"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Sectorial"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0%20SUBDIRECCION%20DE%20EYS\2016\CONTROL%20TERMINOS%20SIGOV\ENERGIA-MINERIA\2016-09-30\SIGOV%202016%20V5%2030Sep2016%20_Martha%20rev%20SES%2005102016.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ANBOGVIEWFSS04\Perfiles\larcila\Docs\Plan%20de%20Accion%20Institucional\PAI%202017\Seguimiento%202017\MAYO\SES%20-%20ANEXOS\Copia%20de%20Control%20T&#233;rminos%20mayo%202017%20Evaluaci&#243;n_EVALUACI&#211;N_defintiivo_V10jun.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ros"/>
      <sheetName val="Control de Calidad"/>
      <sheetName val="Indicador estrategico"/>
      <sheetName val="Graficos Tiempo Promedio"/>
      <sheetName val="Solicitudes por estado"/>
      <sheetName val="Hoja1"/>
      <sheetName val="ESTADO DE TRAMITE"/>
      <sheetName val="Esta. Informe Seguimiento"/>
      <sheetName val="Hoja7"/>
      <sheetName val="Registro Control Tiempos"/>
      <sheetName val="29 Dic"/>
      <sheetName val="27-29 Dic"/>
      <sheetName val="Infome Plan de Accion SES 2017"/>
      <sheetName val="Productividad por sector"/>
      <sheetName val="Info Agroquímicos"/>
      <sheetName val="Resumen Estadisticas"/>
      <sheetName val="Resumen estadístico"/>
      <sheetName val="Info Minería"/>
      <sheetName val="Info Hidrocarburos"/>
      <sheetName val="Info Infraestructura"/>
      <sheetName val="Info Energía"/>
      <sheetName val="Anexo 1 de Pago"/>
      <sheetName val="Estado de Proyectos"/>
      <sheetName val="Hoja4"/>
      <sheetName val="Grafico LA Nueva"/>
      <sheetName val="Grafico LA Modificacion"/>
      <sheetName val="Decreto aplicable"/>
      <sheetName val="Proyectos PINES"/>
      <sheetName val="Bd Resoluciones"/>
      <sheetName val="Tiempos Años anteriores"/>
      <sheetName val="Informes de gestión"/>
      <sheetName val="Semaforos"/>
      <sheetName val="Hoja2"/>
      <sheetName val="PT Control Seguimientos 29-Dic-"/>
      <sheetName val="VIG. ANT - X GESTIO"/>
      <sheetName val="Vig. Ant"/>
      <sheetName val="VIG. 2017 - X GESTI"/>
      <sheetName val="2017"/>
      <sheetName val="SIN GESTIÓN BD"/>
      <sheetName val="REV. REZAGOS"/>
    </sheetNames>
    <sheetDataSet>
      <sheetData sheetId="0">
        <row r="2">
          <cell r="G2" t="str">
            <v>Enero</v>
          </cell>
          <cell r="H2" t="str">
            <v>Octubre</v>
          </cell>
        </row>
        <row r="5">
          <cell r="G5">
            <v>0.13417999999999999</v>
          </cell>
        </row>
        <row r="11">
          <cell r="R11" t="str">
            <v>Audiencia pública</v>
          </cell>
          <cell r="AB11" t="str">
            <v>Levantamiento de Veda</v>
          </cell>
        </row>
        <row r="12">
          <cell r="R12" t="str">
            <v>Solicitud del usuario</v>
          </cell>
          <cell r="AB12" t="str">
            <v>Sustracción de reservas</v>
          </cell>
        </row>
        <row r="13">
          <cell r="R13" t="str">
            <v>Consulta previa</v>
          </cell>
          <cell r="AB13" t="str">
            <v>Parques</v>
          </cell>
        </row>
        <row r="14">
          <cell r="R14" t="str">
            <v>Visita Aplazada (Seguimiento)</v>
          </cell>
        </row>
      </sheetData>
      <sheetData sheetId="1"/>
      <sheetData sheetId="2">
        <row r="2">
          <cell r="I2" t="str">
            <v>*</v>
          </cell>
        </row>
        <row r="5">
          <cell r="AV5">
            <v>0.85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ros"/>
      <sheetName val="Control de Calidad"/>
      <sheetName val="Indicador estrategico"/>
      <sheetName val="Graficos Tiempo Promedio"/>
      <sheetName val="Solicitudes por estado"/>
      <sheetName val="Estado Empalme"/>
      <sheetName val="Hoja4"/>
      <sheetName val="Hoja3"/>
      <sheetName val="Hoja2"/>
      <sheetName val="Registro Control Tiempos"/>
      <sheetName val="Resumen Estadisticas"/>
      <sheetName val="Resumen estadístico"/>
      <sheetName val="Estado de Proyectos"/>
      <sheetName val="Grafico LA Nueva"/>
      <sheetName val="Grafico LA Modificacion"/>
      <sheetName val="Grafico LA Nueva 2820"/>
      <sheetName val="Tiempos Año Anteriror"/>
      <sheetName val="Grafico LA Modificacion 2820"/>
      <sheetName val="Decreto aplicable"/>
      <sheetName val="Proyectos PINES"/>
      <sheetName val="Bd Resoluciones"/>
      <sheetName val="Tiempos Años anteriores"/>
      <sheetName val="Informes de gestión"/>
      <sheetName val="Semaforos"/>
    </sheetNames>
    <sheetDataSet>
      <sheetData sheetId="0">
        <row r="11">
          <cell r="V11" t="str">
            <v>Archiva</v>
          </cell>
        </row>
        <row r="12">
          <cell r="V12" t="str">
            <v>Desiste</v>
          </cell>
        </row>
        <row r="13">
          <cell r="V13" t="str">
            <v>Niega</v>
          </cell>
        </row>
        <row r="14">
          <cell r="V14" t="str">
            <v>Otorga</v>
          </cell>
        </row>
        <row r="15">
          <cell r="V15" t="str">
            <v>Revoca</v>
          </cell>
        </row>
        <row r="16">
          <cell r="V16" t="str">
            <v>Define DAA</v>
          </cell>
        </row>
        <row r="17">
          <cell r="V17" t="str">
            <v>Requiere DAA</v>
          </cell>
        </row>
        <row r="18">
          <cell r="V18" t="str">
            <v>No requiere DAA</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ado de Proyectos"/>
      <sheetName val="Control de Calidad"/>
      <sheetName val="Indicador estrategico"/>
      <sheetName val="Graficos Tiempo Promedio"/>
      <sheetName val="Solicitudes por estado"/>
      <sheetName val="Estado Empalme"/>
      <sheetName val="Estadisticas AI 2016"/>
      <sheetName val="Hoja1"/>
      <sheetName val="Parametros"/>
      <sheetName val="Semaforos"/>
      <sheetName val="Hoja4"/>
      <sheetName val="Hoja5"/>
      <sheetName val="ESTADO SOLICITUDES"/>
      <sheetName val="Registro Control Tiempos"/>
      <sheetName val="Resumen Estadisticas"/>
      <sheetName val="Resumen estadístico"/>
      <sheetName val="Grafico LA Nueva"/>
      <sheetName val="Grafico LA Modificacion"/>
      <sheetName val="Grafico LA Nueva 2820"/>
      <sheetName val="Tiempos Año Anteriror"/>
      <sheetName val="Grafico LA Modificacion 2820"/>
      <sheetName val="Decreto aplicable"/>
      <sheetName val="Proyectos PINES"/>
      <sheetName val="Bd Resoluciones"/>
      <sheetName val="Tiempos Años anteriores"/>
      <sheetName val="Informes de gestió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11">
          <cell r="L11" t="str">
            <v>Nuevo</v>
          </cell>
        </row>
        <row r="12">
          <cell r="L12" t="str">
            <v>Modificación</v>
          </cell>
        </row>
        <row r="13">
          <cell r="L13" t="str">
            <v>Mod. Fuente Materiales</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I SSLA"/>
      <sheetName val="Homologado tiempo transcurrido"/>
      <sheetName val="Gráfica Seguimientos"/>
      <sheetName val="Gráfica Rezagos"/>
      <sheetName val="COMP1%"/>
      <sheetName val="CONT "/>
      <sheetName val="GEOMÁTICA"/>
      <sheetName val="V.E."/>
      <sheetName val="Indicadores para informe"/>
      <sheetName val="Graf. presupuesto"/>
    </sheetNames>
    <sheetDataSet>
      <sheetData sheetId="0">
        <row r="7">
          <cell r="P7">
            <v>2488</v>
          </cell>
          <cell r="U7">
            <v>989</v>
          </cell>
        </row>
        <row r="8">
          <cell r="U8">
            <v>2355</v>
          </cell>
        </row>
        <row r="9">
          <cell r="U9">
            <v>0.75</v>
          </cell>
        </row>
        <row r="11">
          <cell r="P11">
            <v>215</v>
          </cell>
          <cell r="U11">
            <v>176</v>
          </cell>
        </row>
        <row r="12">
          <cell r="U12">
            <v>176</v>
          </cell>
        </row>
        <row r="13">
          <cell r="U13">
            <v>26</v>
          </cell>
        </row>
        <row r="15">
          <cell r="P15">
            <v>434</v>
          </cell>
          <cell r="U15">
            <v>324</v>
          </cell>
        </row>
        <row r="16">
          <cell r="U16">
            <v>324</v>
          </cell>
        </row>
        <row r="17">
          <cell r="U17">
            <v>74</v>
          </cell>
        </row>
        <row r="19">
          <cell r="P19">
            <v>268</v>
          </cell>
          <cell r="U19">
            <v>219</v>
          </cell>
        </row>
        <row r="20">
          <cell r="U20">
            <v>219</v>
          </cell>
        </row>
        <row r="21">
          <cell r="U21">
            <v>27</v>
          </cell>
        </row>
        <row r="23">
          <cell r="P23">
            <v>370</v>
          </cell>
          <cell r="U23">
            <v>270</v>
          </cell>
        </row>
        <row r="24">
          <cell r="U24">
            <v>270</v>
          </cell>
        </row>
        <row r="25">
          <cell r="U25">
            <v>23</v>
          </cell>
        </row>
        <row r="27">
          <cell r="P27">
            <v>1205</v>
          </cell>
          <cell r="U27">
            <v>1205</v>
          </cell>
        </row>
        <row r="29">
          <cell r="P29">
            <v>747</v>
          </cell>
        </row>
        <row r="30">
          <cell r="P30">
            <v>1</v>
          </cell>
        </row>
        <row r="31">
          <cell r="P31">
            <v>171</v>
          </cell>
        </row>
        <row r="33">
          <cell r="U33">
            <v>359</v>
          </cell>
        </row>
        <row r="36">
          <cell r="P36">
            <v>2800</v>
          </cell>
        </row>
        <row r="37">
          <cell r="P37">
            <v>1365</v>
          </cell>
        </row>
        <row r="38">
          <cell r="P38">
            <v>1365</v>
          </cell>
        </row>
      </sheetData>
      <sheetData sheetId="1"/>
      <sheetData sheetId="2"/>
      <sheetData sheetId="3"/>
      <sheetData sheetId="4"/>
      <sheetData sheetId="5"/>
      <sheetData sheetId="6"/>
      <sheetData sheetId="7"/>
      <sheetData sheetId="8"/>
      <sheetData sheetId="9"/>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I SSLA"/>
    </sheetNames>
    <sheetDataSet>
      <sheetData sheetId="0">
        <row r="7">
          <cell r="P7">
            <v>2488</v>
          </cell>
          <cell r="U7">
            <v>989</v>
          </cell>
        </row>
        <row r="8">
          <cell r="U8">
            <v>2355</v>
          </cell>
        </row>
        <row r="9">
          <cell r="U9">
            <v>0.75</v>
          </cell>
        </row>
        <row r="11">
          <cell r="P11">
            <v>215</v>
          </cell>
          <cell r="U11">
            <v>176</v>
          </cell>
        </row>
        <row r="12">
          <cell r="U12">
            <v>176</v>
          </cell>
        </row>
        <row r="13">
          <cell r="U13">
            <v>26</v>
          </cell>
        </row>
        <row r="15">
          <cell r="P15">
            <v>434</v>
          </cell>
          <cell r="U15">
            <v>324</v>
          </cell>
        </row>
        <row r="16">
          <cell r="U16">
            <v>324</v>
          </cell>
        </row>
        <row r="17">
          <cell r="U17">
            <v>74</v>
          </cell>
        </row>
        <row r="19">
          <cell r="P19">
            <v>268</v>
          </cell>
          <cell r="U19">
            <v>219</v>
          </cell>
        </row>
        <row r="20">
          <cell r="U20">
            <v>219</v>
          </cell>
        </row>
        <row r="21">
          <cell r="U21">
            <v>27</v>
          </cell>
        </row>
        <row r="23">
          <cell r="P23">
            <v>370</v>
          </cell>
          <cell r="U23">
            <v>270</v>
          </cell>
        </row>
        <row r="24">
          <cell r="U24">
            <v>270</v>
          </cell>
        </row>
        <row r="25">
          <cell r="U25">
            <v>23</v>
          </cell>
        </row>
        <row r="27">
          <cell r="P27">
            <v>1205</v>
          </cell>
          <cell r="U27">
            <v>1205</v>
          </cell>
        </row>
        <row r="29">
          <cell r="P29">
            <v>747</v>
          </cell>
        </row>
        <row r="30">
          <cell r="P30">
            <v>1</v>
          </cell>
        </row>
        <row r="31">
          <cell r="P31">
            <v>171</v>
          </cell>
        </row>
        <row r="33">
          <cell r="P33">
            <v>100</v>
          </cell>
          <cell r="U33">
            <v>359</v>
          </cell>
        </row>
        <row r="34">
          <cell r="P34">
            <v>14</v>
          </cell>
        </row>
        <row r="36">
          <cell r="P36">
            <v>2800</v>
          </cell>
        </row>
        <row r="37">
          <cell r="P37">
            <v>1365</v>
          </cell>
        </row>
        <row r="38">
          <cell r="P38">
            <v>1365</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I SES"/>
      <sheetName val="PAI REGALÍAS"/>
    </sheetNames>
    <sheetDataSet>
      <sheetData sheetId="0"/>
      <sheetData sheetId="1">
        <row r="7">
          <cell r="P7">
            <v>0.75</v>
          </cell>
        </row>
        <row r="8">
          <cell r="P8">
            <v>0.95</v>
          </cell>
        </row>
        <row r="9">
          <cell r="P9">
            <v>0.8</v>
          </cell>
        </row>
        <row r="10">
          <cell r="P10">
            <v>0.75</v>
          </cell>
        </row>
        <row r="11">
          <cell r="P11">
            <v>0.95</v>
          </cell>
        </row>
        <row r="12">
          <cell r="P12">
            <v>0.8</v>
          </cell>
        </row>
        <row r="13">
          <cell r="P13">
            <v>0.9</v>
          </cell>
        </row>
        <row r="14">
          <cell r="P14">
            <v>0.55000000000000004</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I SES"/>
      <sheetName val="PAI REGALÍAS"/>
    </sheetNames>
    <sheetDataSet>
      <sheetData sheetId="0"/>
      <sheetData sheetId="1">
        <row r="7">
          <cell r="P7">
            <v>0.75</v>
          </cell>
        </row>
        <row r="8">
          <cell r="P8">
            <v>95</v>
          </cell>
        </row>
        <row r="9">
          <cell r="P9">
            <v>0.8</v>
          </cell>
        </row>
        <row r="10">
          <cell r="P10">
            <v>0.75</v>
          </cell>
        </row>
        <row r="11">
          <cell r="P11">
            <v>95</v>
          </cell>
        </row>
        <row r="12">
          <cell r="P12">
            <v>0.8</v>
          </cell>
        </row>
        <row r="13">
          <cell r="P13">
            <v>0.9</v>
          </cell>
        </row>
        <row r="14">
          <cell r="P14">
            <v>0.55000000000000004</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I SES"/>
      <sheetName val="PAI REGALÍAS"/>
      <sheetName val="Hoja1"/>
    </sheetNames>
    <sheetDataSet>
      <sheetData sheetId="0"/>
      <sheetData sheetId="1">
        <row r="7">
          <cell r="P7">
            <v>0.75</v>
          </cell>
        </row>
        <row r="8">
          <cell r="P8">
            <v>95</v>
          </cell>
        </row>
        <row r="9">
          <cell r="P9">
            <v>0.8</v>
          </cell>
        </row>
        <row r="10">
          <cell r="P10">
            <v>0.75</v>
          </cell>
        </row>
        <row r="11">
          <cell r="P11">
            <v>95</v>
          </cell>
        </row>
        <row r="12">
          <cell r="P12">
            <v>0.8</v>
          </cell>
        </row>
        <row r="13">
          <cell r="P13">
            <v>0.9</v>
          </cell>
        </row>
        <row r="14">
          <cell r="P14">
            <v>0.55000000000000004</v>
          </cell>
        </row>
      </sheetData>
      <sheetData sheetId="2"/>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I SES"/>
      <sheetName val="PAI REGALÍAS"/>
      <sheetName val="Hoja1"/>
    </sheetNames>
    <sheetDataSet>
      <sheetData sheetId="0"/>
      <sheetData sheetId="1">
        <row r="7">
          <cell r="P7">
            <v>0.75</v>
          </cell>
        </row>
        <row r="8">
          <cell r="P8">
            <v>95</v>
          </cell>
        </row>
        <row r="9">
          <cell r="P9">
            <v>0.8</v>
          </cell>
        </row>
        <row r="10">
          <cell r="P10">
            <v>0.75</v>
          </cell>
        </row>
        <row r="11">
          <cell r="P11">
            <v>95</v>
          </cell>
        </row>
        <row r="12">
          <cell r="P12">
            <v>0.8</v>
          </cell>
        </row>
        <row r="13">
          <cell r="P13">
            <v>0.9</v>
          </cell>
        </row>
        <row r="14">
          <cell r="P14">
            <v>0.55000000000000004</v>
          </cell>
        </row>
      </sheetData>
      <sheetData sheetId="2"/>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I SES"/>
      <sheetName val="PAI REGALÍAS"/>
    </sheetNames>
    <sheetDataSet>
      <sheetData sheetId="0"/>
      <sheetData sheetId="1">
        <row r="7">
          <cell r="P7">
            <v>0.75</v>
          </cell>
        </row>
        <row r="8">
          <cell r="P8">
            <v>95</v>
          </cell>
        </row>
        <row r="9">
          <cell r="P9">
            <v>0.8</v>
          </cell>
        </row>
        <row r="10">
          <cell r="P10">
            <v>0.75</v>
          </cell>
        </row>
        <row r="11">
          <cell r="P11">
            <v>95</v>
          </cell>
        </row>
        <row r="12">
          <cell r="P12">
            <v>0.8</v>
          </cell>
        </row>
        <row r="13">
          <cell r="P13">
            <v>0.9</v>
          </cell>
        </row>
        <row r="14">
          <cell r="P14">
            <v>0.55000000000000004</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2020 I TRIM"/>
      <sheetName val="Consolidado 2020 II TRIM"/>
      <sheetName val="Sub de Evaluación y Seguimiento"/>
      <sheetName val="OTI"/>
      <sheetName val="Oficina Asesora Planeación"/>
      <sheetName val="Comunicaciones"/>
      <sheetName val="SMPC"/>
      <sheetName val="Sub.Evaluación LA"/>
      <sheetName val="Sub.Seguimiento LA"/>
      <sheetName val="SIPTA"/>
      <sheetName val="Oficina Asesora Jurídica"/>
      <sheetName val="SAF"/>
      <sheetName val="Control Disciplinario"/>
      <sheetName val="Control Interno"/>
      <sheetName val="PAI REGALÍ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istro Control Tiempos"/>
      <sheetName val="Hidrocarburos"/>
      <sheetName val="Infraestructura"/>
      <sheetName val="Minería"/>
      <sheetName val="Energía"/>
      <sheetName val="Agroquímicos"/>
    </sheetNames>
    <sheetDataSet>
      <sheetData sheetId="0">
        <row r="7">
          <cell r="C7">
            <v>42978</v>
          </cell>
        </row>
        <row r="9">
          <cell r="C9">
            <v>42978</v>
          </cell>
        </row>
      </sheetData>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ros"/>
      <sheetName val="Control de Calidad"/>
      <sheetName val="Indicador estrategico"/>
      <sheetName val="Graficos Tiempo Promedio"/>
      <sheetName val="Solicitudes por estado"/>
      <sheetName val="Hoja1"/>
      <sheetName val="ESTADO DE TRAMITE"/>
      <sheetName val="Registro Control Tiempos"/>
      <sheetName val="Resumen Estadisticas"/>
      <sheetName val="Resumen estadístico"/>
      <sheetName val="Anexo 1 de Pago"/>
      <sheetName val="Estado de Proyectos"/>
      <sheetName val="Grafico LA Nueva"/>
      <sheetName val="Grafico LA Modificacion"/>
      <sheetName val="Decreto aplicable"/>
      <sheetName val="Proyectos PINES"/>
      <sheetName val="Bd Resoluciones"/>
      <sheetName val="Tiempos Años anteriores"/>
      <sheetName val="Informes de gestión"/>
      <sheetName val="Semaforos"/>
    </sheetNames>
    <sheetDataSet>
      <sheetData sheetId="0">
        <row r="11">
          <cell r="F11" t="str">
            <v>LA</v>
          </cell>
        </row>
        <row r="12">
          <cell r="F12" t="str">
            <v>PMA</v>
          </cell>
        </row>
        <row r="13">
          <cell r="F13" t="str">
            <v>MMA</v>
          </cell>
        </row>
        <row r="14">
          <cell r="F14" t="str">
            <v>NDA</v>
          </cell>
        </row>
        <row r="15">
          <cell r="F15" t="str">
            <v>DAA</v>
          </cell>
        </row>
        <row r="16">
          <cell r="F16" t="str">
            <v>PMRA</v>
          </cell>
        </row>
        <row r="17">
          <cell r="F17" t="str">
            <v>DTA</v>
          </cell>
        </row>
        <row r="18">
          <cell r="F18" t="str">
            <v>POSC</v>
          </cell>
        </row>
        <row r="19">
          <cell r="F19" t="str">
            <v>P.E.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istros"/>
      <sheetName val="S"/>
      <sheetName val="H"/>
      <sheetName val="I"/>
      <sheetName val="E"/>
      <sheetName val="M"/>
      <sheetName val="A"/>
      <sheetName val="Anexo1"/>
      <sheetName val="R-2015"/>
      <sheetName val="1"/>
      <sheetName val="2"/>
      <sheetName val="Parametros"/>
      <sheetName val="BPH"/>
      <sheetName val="BPI"/>
      <sheetName val="BIE"/>
      <sheetName val="BPM"/>
      <sheetName val="Hoja1"/>
      <sheetName val="Contratistas"/>
      <sheetName val="Control de Terminos SIGOV 2016 "/>
      <sheetName val="Control%20de%20Terminos%20SIGOV"/>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ow r="12">
          <cell r="BI12" t="str">
            <v>Si</v>
          </cell>
        </row>
        <row r="15">
          <cell r="BI15" t="str">
            <v>Dec. 1310 de 2005</v>
          </cell>
        </row>
        <row r="16">
          <cell r="BI16" t="str">
            <v>Res. 1442 de 2008</v>
          </cell>
        </row>
        <row r="17">
          <cell r="BI17" t="str">
            <v>Dec. 2820 de 2010</v>
          </cell>
        </row>
        <row r="18">
          <cell r="BI18" t="str">
            <v>Dec. 2041 de 2014</v>
          </cell>
        </row>
        <row r="19">
          <cell r="BI19" t="str">
            <v>Dec. 1076 de 2015</v>
          </cell>
        </row>
      </sheetData>
      <sheetData sheetId="12" refreshError="1"/>
      <sheetData sheetId="13" refreshError="1"/>
      <sheetData sheetId="14" refreshError="1"/>
      <sheetData sheetId="15" refreshError="1"/>
      <sheetData sheetId="16" refreshError="1"/>
      <sheetData sheetId="17"/>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2008"/>
      <sheetName val="MOV. TRANFRONTERIZO"/>
      <sheetName val="INVESTIGACION"/>
      <sheetName val="CITES"/>
      <sheetName val="SUSTRACCION DE RESERVA"/>
      <sheetName val="PERMISO FUERA LICENCIAS AMBIENT"/>
      <sheetName val="pendientes CITES"/>
      <sheetName val="Octubre"/>
      <sheetName val="% Evaluaciones Resueltas"/>
      <sheetName val="Tiempo de evaluación PROPUESTO"/>
      <sheetName val="Eficiencia_terminos"/>
      <sheetName val="Eficiencia_terminos (2)"/>
      <sheetName val="Tiempo de evaluación"/>
      <sheetName val="Hoja1"/>
      <sheetName val="Pendientes"/>
      <sheetName val="datoa paula"/>
      <sheetName val="% Evaluaciones Resueltas (2)"/>
      <sheetName val="Octubre 08-02(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4">
          <cell r="C24" t="str">
            <v>Dentro de Término</v>
          </cell>
        </row>
      </sheetData>
      <sheetData sheetId="13"/>
      <sheetData sheetId="14">
        <row r="49">
          <cell r="B49">
            <v>1</v>
          </cell>
          <cell r="C49">
            <v>0</v>
          </cell>
          <cell r="D49">
            <v>12</v>
          </cell>
          <cell r="E49">
            <v>48</v>
          </cell>
        </row>
      </sheetData>
      <sheetData sheetId="15"/>
      <sheetData sheetId="16"/>
      <sheetData sheetId="1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ado de Proyectos"/>
      <sheetName val="Control de Calidad"/>
      <sheetName val="Indicador estrategico"/>
      <sheetName val="Graficos Tiempo Promedio"/>
      <sheetName val="Solicitudes por estado"/>
      <sheetName val="Estado Empalme"/>
      <sheetName val="Estadisticas AI 2016"/>
      <sheetName val="Hoja1"/>
      <sheetName val="Parametros"/>
      <sheetName val="Semaforos"/>
      <sheetName val="Hoja4"/>
      <sheetName val="Hoja5"/>
      <sheetName val="ESTADO SOLICITUDES"/>
      <sheetName val="Registro Control Tiempos"/>
      <sheetName val="Resumen Estadisticas"/>
      <sheetName val="Resumen estadístico"/>
      <sheetName val="Grafico LA Nueva"/>
      <sheetName val="Grafico LA Modificacion"/>
      <sheetName val="Grafico LA Nueva 2820"/>
      <sheetName val="Tiempos Año Anteriror"/>
      <sheetName val="Grafico LA Modificacion 2820"/>
      <sheetName val="Decreto aplicable"/>
      <sheetName val="Proyectos PINES"/>
      <sheetName val="Bd Resoluciones"/>
      <sheetName val="Tiempos Años anteriores"/>
      <sheetName val="Informes de gestión"/>
    </sheetNames>
    <sheetDataSet>
      <sheetData sheetId="0"/>
      <sheetData sheetId="1"/>
      <sheetData sheetId="2"/>
      <sheetData sheetId="3"/>
      <sheetData sheetId="4"/>
      <sheetData sheetId="5"/>
      <sheetData sheetId="6"/>
      <sheetData sheetId="7"/>
      <sheetData sheetId="8">
        <row r="11">
          <cell r="N11" t="str">
            <v>AGROQUÍMICOS</v>
          </cell>
        </row>
        <row r="12">
          <cell r="N12" t="str">
            <v>ENERGÍA</v>
          </cell>
        </row>
        <row r="13">
          <cell r="N13" t="str">
            <v>ESPECIALES</v>
          </cell>
        </row>
        <row r="14">
          <cell r="N14" t="str">
            <v>HIDROCARBUROS</v>
          </cell>
        </row>
        <row r="15">
          <cell r="N15" t="str">
            <v>INFRAESTRUCTURA</v>
          </cell>
        </row>
        <row r="16">
          <cell r="N16" t="str">
            <v>MINERÍA</v>
          </cell>
        </row>
        <row r="17">
          <cell r="N17" t="str">
            <v>POSCONSUMO</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ctorial"/>
      <sheetName val="Parametros"/>
    </sheetNames>
    <sheetDataSet>
      <sheetData sheetId="0" refreshError="1"/>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istros"/>
      <sheetName val="S"/>
      <sheetName val="H"/>
      <sheetName val="I"/>
      <sheetName val="E"/>
      <sheetName val="M"/>
      <sheetName val="A"/>
      <sheetName val="Anexo1"/>
      <sheetName val="R-2015"/>
      <sheetName val="1"/>
      <sheetName val="2"/>
      <sheetName val="Parametros"/>
      <sheetName val="BPH"/>
      <sheetName val="BPI"/>
      <sheetName val="BIE"/>
      <sheetName val="BPM"/>
      <sheetName val="Hoja1"/>
      <sheetName val="Contratistas"/>
    </sheetNames>
    <sheetDataSet>
      <sheetData sheetId="0"/>
      <sheetData sheetId="1"/>
      <sheetData sheetId="2"/>
      <sheetData sheetId="3"/>
      <sheetData sheetId="4"/>
      <sheetData sheetId="5"/>
      <sheetData sheetId="6"/>
      <sheetData sheetId="7"/>
      <sheetData sheetId="8"/>
      <sheetData sheetId="9"/>
      <sheetData sheetId="10"/>
      <sheetData sheetId="11">
        <row r="12">
          <cell r="BI12" t="str">
            <v>Si</v>
          </cell>
        </row>
        <row r="13">
          <cell r="BI13" t="str">
            <v>No</v>
          </cell>
        </row>
      </sheetData>
      <sheetData sheetId="12"/>
      <sheetData sheetId="13"/>
      <sheetData sheetId="14"/>
      <sheetData sheetId="15"/>
      <sheetData sheetId="16"/>
      <sheetData sheetId="17"/>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ado de Proyectos"/>
      <sheetName val="Control de Calidad"/>
      <sheetName val="Indicador estrategico"/>
      <sheetName val="Graficos Tiempo Promedio"/>
      <sheetName val="Solicitudes por estado"/>
      <sheetName val="Estado Empalme"/>
      <sheetName val="Estadisticas AI 2016"/>
      <sheetName val="Hoja1"/>
      <sheetName val="Parametros"/>
      <sheetName val="Semaforos"/>
      <sheetName val="Hoja4"/>
      <sheetName val="Hoja5"/>
      <sheetName val="ESTADO SOLICITUDES"/>
      <sheetName val="Registro Control Tiempos"/>
      <sheetName val="Resumen Estadisticas"/>
      <sheetName val="Resumen estadístico"/>
      <sheetName val="Grafico LA Nueva"/>
      <sheetName val="Grafico LA Modificacion"/>
      <sheetName val="Grafico LA Nueva 2820"/>
      <sheetName val="Tiempos Año Anteriror"/>
      <sheetName val="Grafico LA Modificacion 2820"/>
      <sheetName val="Decreto aplicable"/>
      <sheetName val="Proyectos PINES"/>
      <sheetName val="Bd Resoluciones"/>
      <sheetName val="Tiempos Años anteriores"/>
      <sheetName val="Informes de gestión"/>
    </sheetNames>
    <sheetDataSet>
      <sheetData sheetId="0"/>
      <sheetData sheetId="1"/>
      <sheetData sheetId="2"/>
      <sheetData sheetId="3"/>
      <sheetData sheetId="4"/>
      <sheetData sheetId="5"/>
      <sheetData sheetId="6"/>
      <sheetData sheetId="7"/>
      <sheetData sheetId="8">
        <row r="11">
          <cell r="T11" t="str">
            <v>Resolución</v>
          </cell>
        </row>
        <row r="12">
          <cell r="T12" t="str">
            <v>Auto</v>
          </cell>
        </row>
        <row r="13">
          <cell r="T13" t="str">
            <v>Oficio</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persons/person.xml><?xml version="1.0" encoding="utf-8"?>
<personList xmlns="http://schemas.microsoft.com/office/spreadsheetml/2018/threadedcomments" xmlns:x="http://schemas.openxmlformats.org/spreadsheetml/2006/main">
  <person displayName="Monica Andrea" id="{BCA6B991-B7EE-433A-BF53-AD1FF3C9508E}" userId="Monica Andrea" providerId="None"/>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B26" dT="2020-10-08T01:06:28.91" personId="{BCA6B991-B7EE-433A-BF53-AD1FF3C9508E}" id="{EC9868FB-B775-43D9-AE81-2C308839412D}">
    <text>Aclarar que las evidencias que se tienen no corresponden a una transferencia como tal sino a un proceso de transferencia que aún no se ha llevado a cabo, por las razones xxxxx</text>
  </threadedComment>
  <threadedComment ref="CJ26" dT="2020-10-08T01:07:02.67" personId="{BCA6B991-B7EE-433A-BF53-AD1FF3C9508E}" id="{FCED751F-56BB-4970-A5D0-ABC96C6025ED}">
    <text>Con base en lo anterior evaluar si el porcentaje de avance sigue siendo el mismo.</text>
  </threadedComment>
  <threadedComment ref="CR26" dT="2020-10-08T01:07:02.67" personId="{BCA6B991-B7EE-433A-BF53-AD1FF3C9508E}" id="{3B3CF0D7-9C46-49E4-B539-221A36D00DE0}" done="1">
    <text>Con base en lo anterior evaluar si el porcentaje de avance sigue siendo el mismo.</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9.xml"/><Relationship Id="rId4" Type="http://schemas.microsoft.com/office/2017/10/relationships/threadedComment" Target="../threadedComments/threadedComment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A5CA8-FDB3-4EFD-9ACB-DC317D501184}">
  <sheetPr>
    <tabColor theme="1"/>
  </sheetPr>
  <dimension ref="A1:H45"/>
  <sheetViews>
    <sheetView workbookViewId="0">
      <selection activeCell="I2" sqref="I2"/>
    </sheetView>
  </sheetViews>
  <sheetFormatPr baseColWidth="10" defaultColWidth="11.42578125" defaultRowHeight="15" x14ac:dyDescent="0.25"/>
  <cols>
    <col min="1" max="1" width="19.140625" style="707" bestFit="1" customWidth="1"/>
    <col min="2" max="2" width="31.85546875" style="707" customWidth="1"/>
    <col min="3" max="3" width="12" style="866" customWidth="1"/>
    <col min="4" max="4" width="11.42578125" style="866" customWidth="1"/>
    <col min="5" max="8" width="11.42578125" style="866"/>
    <col min="9" max="16384" width="11.42578125" style="707"/>
  </cols>
  <sheetData>
    <row r="1" spans="1:8" s="830" customFormat="1" x14ac:dyDescent="0.25">
      <c r="A1" s="827" t="s">
        <v>21</v>
      </c>
      <c r="B1" s="827" t="s">
        <v>22</v>
      </c>
      <c r="C1" s="828" t="s">
        <v>783</v>
      </c>
      <c r="D1" s="829"/>
      <c r="E1" s="828" t="s">
        <v>784</v>
      </c>
      <c r="F1" s="829"/>
      <c r="G1" s="828" t="s">
        <v>785</v>
      </c>
      <c r="H1" s="829"/>
    </row>
    <row r="2" spans="1:8" s="834" customFormat="1" ht="30" x14ac:dyDescent="0.25">
      <c r="A2" s="831"/>
      <c r="B2" s="831"/>
      <c r="C2" s="832" t="s">
        <v>1821</v>
      </c>
      <c r="D2" s="833" t="s">
        <v>1822</v>
      </c>
      <c r="E2" s="832" t="s">
        <v>1821</v>
      </c>
      <c r="F2" s="833" t="s">
        <v>1822</v>
      </c>
      <c r="G2" s="832" t="s">
        <v>1821</v>
      </c>
      <c r="H2" s="833" t="s">
        <v>1822</v>
      </c>
    </row>
    <row r="3" spans="1:8" x14ac:dyDescent="0.25">
      <c r="A3" s="835" t="s">
        <v>1823</v>
      </c>
      <c r="B3" s="836"/>
      <c r="C3" s="837" t="s">
        <v>1824</v>
      </c>
      <c r="D3" s="838" t="s">
        <v>1825</v>
      </c>
      <c r="E3" s="837" t="s">
        <v>1826</v>
      </c>
      <c r="F3" s="838" t="s">
        <v>1827</v>
      </c>
      <c r="G3" s="837" t="s">
        <v>1828</v>
      </c>
      <c r="H3" s="838" t="s">
        <v>1829</v>
      </c>
    </row>
    <row r="4" spans="1:8" x14ac:dyDescent="0.25">
      <c r="A4" s="835" t="s">
        <v>1830</v>
      </c>
      <c r="B4" s="836"/>
      <c r="C4" s="837" t="s">
        <v>1831</v>
      </c>
      <c r="D4" s="838" t="s">
        <v>1832</v>
      </c>
      <c r="E4" s="837" t="s">
        <v>1833</v>
      </c>
      <c r="F4" s="838" t="s">
        <v>1834</v>
      </c>
      <c r="G4" s="837" t="s">
        <v>1835</v>
      </c>
      <c r="H4" s="838" t="s">
        <v>1836</v>
      </c>
    </row>
    <row r="5" spans="1:8" x14ac:dyDescent="0.25">
      <c r="A5" s="835" t="s">
        <v>1837</v>
      </c>
      <c r="B5" s="836"/>
      <c r="C5" s="837" t="s">
        <v>1838</v>
      </c>
      <c r="D5" s="838" t="s">
        <v>1839</v>
      </c>
      <c r="E5" s="837" t="s">
        <v>1840</v>
      </c>
      <c r="F5" s="838" t="s">
        <v>1841</v>
      </c>
      <c r="G5" s="837" t="s">
        <v>1842</v>
      </c>
      <c r="H5" s="838" t="s">
        <v>1843</v>
      </c>
    </row>
    <row r="6" spans="1:8" x14ac:dyDescent="0.25">
      <c r="A6" s="839" t="s">
        <v>1844</v>
      </c>
      <c r="B6" s="836"/>
      <c r="C6" s="837" t="s">
        <v>1845</v>
      </c>
      <c r="D6" s="838" t="s">
        <v>353</v>
      </c>
      <c r="E6" s="837" t="s">
        <v>1846</v>
      </c>
      <c r="F6" s="838" t="s">
        <v>1847</v>
      </c>
      <c r="G6" s="837" t="s">
        <v>1848</v>
      </c>
      <c r="H6" s="838" t="s">
        <v>353</v>
      </c>
    </row>
    <row r="7" spans="1:8" x14ac:dyDescent="0.25">
      <c r="A7" s="840" t="s">
        <v>943</v>
      </c>
      <c r="B7" s="841"/>
      <c r="C7" s="842" t="s">
        <v>1849</v>
      </c>
      <c r="D7" s="843" t="s">
        <v>1850</v>
      </c>
      <c r="E7" s="842" t="s">
        <v>1851</v>
      </c>
      <c r="F7" s="843" t="s">
        <v>1852</v>
      </c>
      <c r="G7" s="842" t="s">
        <v>1853</v>
      </c>
      <c r="H7" s="843" t="s">
        <v>1851</v>
      </c>
    </row>
    <row r="8" spans="1:8" x14ac:dyDescent="0.25">
      <c r="A8" s="840" t="s">
        <v>1854</v>
      </c>
      <c r="B8" s="841"/>
      <c r="C8" s="842" t="s">
        <v>1855</v>
      </c>
      <c r="D8" s="843" t="s">
        <v>1855</v>
      </c>
      <c r="E8" s="842" t="s">
        <v>1856</v>
      </c>
      <c r="F8" s="843" t="s">
        <v>1857</v>
      </c>
      <c r="G8" s="842" t="s">
        <v>1828</v>
      </c>
      <c r="H8" s="843" t="s">
        <v>1858</v>
      </c>
    </row>
    <row r="9" spans="1:8" x14ac:dyDescent="0.25">
      <c r="A9" s="844" t="s">
        <v>793</v>
      </c>
      <c r="B9" s="845" t="s">
        <v>1056</v>
      </c>
      <c r="C9" s="846" t="s">
        <v>1859</v>
      </c>
      <c r="D9" s="847" t="s">
        <v>353</v>
      </c>
      <c r="E9" s="846" t="s">
        <v>1860</v>
      </c>
      <c r="F9" s="847" t="s">
        <v>353</v>
      </c>
      <c r="G9" s="846" t="s">
        <v>1861</v>
      </c>
      <c r="H9" s="847" t="s">
        <v>353</v>
      </c>
    </row>
    <row r="10" spans="1:8" x14ac:dyDescent="0.25">
      <c r="A10" s="848"/>
      <c r="B10" s="845" t="s">
        <v>1085</v>
      </c>
      <c r="C10" s="846" t="s">
        <v>1862</v>
      </c>
      <c r="D10" s="849" t="s">
        <v>1863</v>
      </c>
      <c r="E10" s="846" t="s">
        <v>1864</v>
      </c>
      <c r="F10" s="849" t="s">
        <v>353</v>
      </c>
      <c r="G10" s="846" t="s">
        <v>1865</v>
      </c>
      <c r="H10" s="849" t="s">
        <v>1827</v>
      </c>
    </row>
    <row r="11" spans="1:8" x14ac:dyDescent="0.25">
      <c r="A11" s="848"/>
      <c r="B11" s="845" t="s">
        <v>899</v>
      </c>
      <c r="C11" s="846" t="s">
        <v>1863</v>
      </c>
      <c r="D11" s="849" t="s">
        <v>1866</v>
      </c>
      <c r="E11" s="846" t="s">
        <v>1828</v>
      </c>
      <c r="F11" s="849" t="s">
        <v>1867</v>
      </c>
      <c r="G11" s="846" t="s">
        <v>1868</v>
      </c>
      <c r="H11" s="849" t="s">
        <v>1869</v>
      </c>
    </row>
    <row r="12" spans="1:8" x14ac:dyDescent="0.25">
      <c r="A12" s="848"/>
      <c r="B12" s="845" t="s">
        <v>1189</v>
      </c>
      <c r="C12" s="846" t="s">
        <v>1870</v>
      </c>
      <c r="D12" s="849" t="s">
        <v>353</v>
      </c>
      <c r="E12" s="846" t="s">
        <v>1871</v>
      </c>
      <c r="F12" s="849" t="s">
        <v>1872</v>
      </c>
      <c r="G12" s="846" t="s">
        <v>847</v>
      </c>
      <c r="H12" s="849" t="s">
        <v>353</v>
      </c>
    </row>
    <row r="13" spans="1:8" x14ac:dyDescent="0.25">
      <c r="A13" s="848"/>
      <c r="B13" s="845" t="s">
        <v>1223</v>
      </c>
      <c r="C13" s="846" t="s">
        <v>1873</v>
      </c>
      <c r="D13" s="849" t="s">
        <v>1866</v>
      </c>
      <c r="E13" s="846" t="s">
        <v>1874</v>
      </c>
      <c r="F13" s="849" t="s">
        <v>353</v>
      </c>
      <c r="G13" s="846" t="s">
        <v>1875</v>
      </c>
      <c r="H13" s="849" t="s">
        <v>1876</v>
      </c>
    </row>
    <row r="14" spans="1:8" s="830" customFormat="1" x14ac:dyDescent="0.25">
      <c r="A14" s="850"/>
      <c r="B14" s="851" t="s">
        <v>1877</v>
      </c>
      <c r="C14" s="852" t="s">
        <v>1878</v>
      </c>
      <c r="D14" s="852" t="s">
        <v>1879</v>
      </c>
      <c r="E14" s="852" t="s">
        <v>1880</v>
      </c>
      <c r="F14" s="852" t="s">
        <v>1881</v>
      </c>
      <c r="G14" s="852" t="s">
        <v>1836</v>
      </c>
      <c r="H14" s="852" t="s">
        <v>1856</v>
      </c>
    </row>
    <row r="15" spans="1:8" x14ac:dyDescent="0.25">
      <c r="A15" s="853" t="s">
        <v>1882</v>
      </c>
      <c r="B15" s="845" t="s">
        <v>792</v>
      </c>
      <c r="C15" s="846" t="s">
        <v>1883</v>
      </c>
      <c r="D15" s="849" t="s">
        <v>847</v>
      </c>
      <c r="E15" s="846" t="s">
        <v>1884</v>
      </c>
      <c r="F15" s="849" t="s">
        <v>1885</v>
      </c>
      <c r="G15" s="846" t="s">
        <v>1886</v>
      </c>
      <c r="H15" s="849" t="s">
        <v>1887</v>
      </c>
    </row>
    <row r="16" spans="1:8" x14ac:dyDescent="0.25">
      <c r="A16" s="854"/>
      <c r="B16" s="855" t="s">
        <v>853</v>
      </c>
      <c r="C16" s="846" t="s">
        <v>1867</v>
      </c>
      <c r="D16" s="849" t="s">
        <v>353</v>
      </c>
      <c r="E16" s="846" t="s">
        <v>1881</v>
      </c>
      <c r="F16" s="849" t="s">
        <v>353</v>
      </c>
      <c r="G16" s="846" t="s">
        <v>1888</v>
      </c>
      <c r="H16" s="849" t="s">
        <v>353</v>
      </c>
    </row>
    <row r="17" spans="1:8" s="830" customFormat="1" x14ac:dyDescent="0.25">
      <c r="A17" s="856"/>
      <c r="B17" s="851" t="s">
        <v>1889</v>
      </c>
      <c r="C17" s="852" t="s">
        <v>1890</v>
      </c>
      <c r="D17" s="852" t="s">
        <v>847</v>
      </c>
      <c r="E17" s="852" t="s">
        <v>1886</v>
      </c>
      <c r="F17" s="852" t="s">
        <v>1885</v>
      </c>
      <c r="G17" s="852" t="s">
        <v>1883</v>
      </c>
      <c r="H17" s="852" t="s">
        <v>1887</v>
      </c>
    </row>
    <row r="18" spans="1:8" x14ac:dyDescent="0.25">
      <c r="A18" s="844" t="s">
        <v>852</v>
      </c>
      <c r="B18" s="707" t="s">
        <v>852</v>
      </c>
      <c r="C18" s="857" t="s">
        <v>1891</v>
      </c>
      <c r="D18" s="847" t="s">
        <v>1892</v>
      </c>
      <c r="E18" s="857" t="s">
        <v>1893</v>
      </c>
      <c r="F18" s="847" t="s">
        <v>1894</v>
      </c>
      <c r="G18" s="857" t="s">
        <v>1880</v>
      </c>
      <c r="H18" s="847" t="s">
        <v>1895</v>
      </c>
    </row>
    <row r="19" spans="1:8" x14ac:dyDescent="0.25">
      <c r="A19" s="848"/>
      <c r="B19" s="855" t="s">
        <v>104</v>
      </c>
      <c r="C19" s="858" t="s">
        <v>1896</v>
      </c>
      <c r="D19" s="847" t="s">
        <v>1897</v>
      </c>
      <c r="E19" s="858" t="s">
        <v>1898</v>
      </c>
      <c r="F19" s="847" t="s">
        <v>1899</v>
      </c>
      <c r="G19" s="858" t="s">
        <v>1900</v>
      </c>
      <c r="H19" s="847" t="s">
        <v>1901</v>
      </c>
    </row>
    <row r="20" spans="1:8" x14ac:dyDescent="0.25">
      <c r="A20" s="848"/>
      <c r="B20" s="855" t="s">
        <v>156</v>
      </c>
      <c r="C20" s="858" t="s">
        <v>1902</v>
      </c>
      <c r="D20" s="847" t="s">
        <v>1903</v>
      </c>
      <c r="E20" s="858" t="s">
        <v>1879</v>
      </c>
      <c r="F20" s="847" t="s">
        <v>1904</v>
      </c>
      <c r="G20" s="858" t="s">
        <v>1905</v>
      </c>
      <c r="H20" s="847" t="s">
        <v>1906</v>
      </c>
    </row>
    <row r="21" spans="1:8" x14ac:dyDescent="0.25">
      <c r="A21" s="848"/>
      <c r="B21" s="855" t="s">
        <v>1907</v>
      </c>
      <c r="C21" s="858" t="s">
        <v>1908</v>
      </c>
      <c r="D21" s="847" t="s">
        <v>1909</v>
      </c>
      <c r="E21" s="858" t="s">
        <v>1910</v>
      </c>
      <c r="F21" s="847" t="s">
        <v>1911</v>
      </c>
      <c r="G21" s="858" t="s">
        <v>1881</v>
      </c>
      <c r="H21" s="847" t="s">
        <v>1912</v>
      </c>
    </row>
    <row r="22" spans="1:8" x14ac:dyDescent="0.25">
      <c r="A22" s="848"/>
      <c r="B22" s="855" t="s">
        <v>250</v>
      </c>
      <c r="C22" s="858" t="s">
        <v>1913</v>
      </c>
      <c r="D22" s="847" t="s">
        <v>1914</v>
      </c>
      <c r="E22" s="858" t="s">
        <v>1915</v>
      </c>
      <c r="F22" s="847" t="s">
        <v>1916</v>
      </c>
      <c r="G22" s="858" t="s">
        <v>1917</v>
      </c>
      <c r="H22" s="847" t="s">
        <v>1839</v>
      </c>
    </row>
    <row r="23" spans="1:8" x14ac:dyDescent="0.25">
      <c r="A23" s="848"/>
      <c r="B23" s="855" t="s">
        <v>294</v>
      </c>
      <c r="C23" s="858" t="s">
        <v>1918</v>
      </c>
      <c r="D23" s="847" t="s">
        <v>1919</v>
      </c>
      <c r="E23" s="858" t="s">
        <v>1920</v>
      </c>
      <c r="F23" s="847" t="s">
        <v>1857</v>
      </c>
      <c r="G23" s="858" t="s">
        <v>1921</v>
      </c>
      <c r="H23" s="847" t="s">
        <v>1922</v>
      </c>
    </row>
    <row r="24" spans="1:8" x14ac:dyDescent="0.25">
      <c r="A24" s="848"/>
      <c r="B24" s="855" t="s">
        <v>521</v>
      </c>
      <c r="C24" s="858" t="s">
        <v>1849</v>
      </c>
      <c r="D24" s="847" t="s">
        <v>353</v>
      </c>
      <c r="E24" s="858" t="s">
        <v>1539</v>
      </c>
      <c r="F24" s="847" t="s">
        <v>353</v>
      </c>
      <c r="G24" s="858" t="s">
        <v>1825</v>
      </c>
      <c r="H24" s="847" t="s">
        <v>353</v>
      </c>
    </row>
    <row r="25" spans="1:8" x14ac:dyDescent="0.25">
      <c r="A25" s="848"/>
      <c r="B25" s="855" t="s">
        <v>341</v>
      </c>
      <c r="C25" s="858" t="s">
        <v>1923</v>
      </c>
      <c r="D25" s="847" t="s">
        <v>1866</v>
      </c>
      <c r="E25" s="858" t="s">
        <v>1924</v>
      </c>
      <c r="F25" s="847" t="s">
        <v>1925</v>
      </c>
      <c r="G25" s="858" t="s">
        <v>1896</v>
      </c>
      <c r="H25" s="847" t="s">
        <v>1917</v>
      </c>
    </row>
    <row r="26" spans="1:8" x14ac:dyDescent="0.25">
      <c r="A26" s="848"/>
      <c r="B26" s="855" t="s">
        <v>1926</v>
      </c>
      <c r="C26" s="846" t="s">
        <v>1927</v>
      </c>
      <c r="D26" s="849" t="s">
        <v>353</v>
      </c>
      <c r="E26" s="846" t="s">
        <v>1928</v>
      </c>
      <c r="F26" s="849" t="s">
        <v>353</v>
      </c>
      <c r="G26" s="846" t="s">
        <v>1929</v>
      </c>
      <c r="H26" s="849" t="s">
        <v>353</v>
      </c>
    </row>
    <row r="27" spans="1:8" x14ac:dyDescent="0.25">
      <c r="A27" s="848"/>
      <c r="B27" s="855" t="s">
        <v>366</v>
      </c>
      <c r="C27" s="846" t="s">
        <v>1930</v>
      </c>
      <c r="D27" s="849" t="s">
        <v>353</v>
      </c>
      <c r="E27" s="846" t="s">
        <v>1898</v>
      </c>
      <c r="F27" s="849" t="s">
        <v>353</v>
      </c>
      <c r="G27" s="846" t="s">
        <v>1931</v>
      </c>
      <c r="H27" s="849" t="s">
        <v>353</v>
      </c>
    </row>
    <row r="28" spans="1:8" s="830" customFormat="1" x14ac:dyDescent="0.25">
      <c r="A28" s="850"/>
      <c r="B28" s="851" t="s">
        <v>1932</v>
      </c>
      <c r="C28" s="852" t="s">
        <v>1850</v>
      </c>
      <c r="D28" s="852" t="s">
        <v>1892</v>
      </c>
      <c r="E28" s="852" t="s">
        <v>1838</v>
      </c>
      <c r="F28" s="852" t="s">
        <v>1933</v>
      </c>
      <c r="G28" s="852" t="s">
        <v>1833</v>
      </c>
      <c r="H28" s="852" t="s">
        <v>1934</v>
      </c>
    </row>
    <row r="29" spans="1:8" x14ac:dyDescent="0.25">
      <c r="A29" s="853" t="s">
        <v>1935</v>
      </c>
      <c r="B29" s="859" t="s">
        <v>1936</v>
      </c>
      <c r="C29" s="860" t="s">
        <v>1937</v>
      </c>
      <c r="D29" s="861" t="s">
        <v>1903</v>
      </c>
      <c r="E29" s="860" t="s">
        <v>1938</v>
      </c>
      <c r="F29" s="861" t="s">
        <v>1939</v>
      </c>
      <c r="G29" s="860" t="s">
        <v>1940</v>
      </c>
      <c r="H29" s="861" t="s">
        <v>1881</v>
      </c>
    </row>
    <row r="30" spans="1:8" x14ac:dyDescent="0.25">
      <c r="A30" s="854"/>
      <c r="B30" s="855" t="s">
        <v>1941</v>
      </c>
      <c r="C30" s="858" t="s">
        <v>1867</v>
      </c>
      <c r="D30" s="847" t="s">
        <v>1840</v>
      </c>
      <c r="E30" s="858" t="s">
        <v>1826</v>
      </c>
      <c r="F30" s="847" t="s">
        <v>1934</v>
      </c>
      <c r="G30" s="858"/>
      <c r="H30" s="847"/>
    </row>
    <row r="31" spans="1:8" s="830" customFormat="1" x14ac:dyDescent="0.25">
      <c r="A31" s="854"/>
      <c r="B31" s="859" t="s">
        <v>1942</v>
      </c>
      <c r="C31" s="860" t="s">
        <v>1873</v>
      </c>
      <c r="D31" s="861" t="s">
        <v>1866</v>
      </c>
      <c r="E31" s="860" t="s">
        <v>1840</v>
      </c>
      <c r="F31" s="861" t="s">
        <v>1866</v>
      </c>
      <c r="G31" s="860"/>
      <c r="H31" s="861"/>
    </row>
    <row r="32" spans="1:8" ht="15.75" customHeight="1" x14ac:dyDescent="0.25">
      <c r="A32" s="854"/>
      <c r="B32" s="855" t="s">
        <v>1733</v>
      </c>
      <c r="C32" s="858" t="s">
        <v>1867</v>
      </c>
      <c r="D32" s="847" t="s">
        <v>1840</v>
      </c>
      <c r="E32" s="858" t="s">
        <v>1826</v>
      </c>
      <c r="F32" s="847" t="s">
        <v>1934</v>
      </c>
      <c r="G32" s="858" t="s">
        <v>1943</v>
      </c>
      <c r="H32" s="847" t="s">
        <v>1944</v>
      </c>
    </row>
    <row r="33" spans="1:8" s="830" customFormat="1" x14ac:dyDescent="0.25">
      <c r="A33" s="862"/>
      <c r="B33" s="851" t="s">
        <v>1945</v>
      </c>
      <c r="C33" s="852" t="s">
        <v>1946</v>
      </c>
      <c r="D33" s="852" t="s">
        <v>1947</v>
      </c>
      <c r="E33" s="852" t="s">
        <v>1948</v>
      </c>
      <c r="F33" s="852" t="s">
        <v>1949</v>
      </c>
      <c r="G33" s="852" t="s">
        <v>1950</v>
      </c>
      <c r="H33" s="852" t="s">
        <v>1910</v>
      </c>
    </row>
    <row r="34" spans="1:8" ht="15.75" x14ac:dyDescent="0.25">
      <c r="A34" s="863" t="s">
        <v>1951</v>
      </c>
      <c r="B34" s="863"/>
      <c r="C34" s="864" t="s">
        <v>1952</v>
      </c>
      <c r="D34" s="864" t="s">
        <v>1916</v>
      </c>
      <c r="E34" s="864" t="s">
        <v>1833</v>
      </c>
      <c r="F34" s="864" t="s">
        <v>1860</v>
      </c>
      <c r="G34" s="864" t="s">
        <v>1953</v>
      </c>
      <c r="H34" s="864" t="s">
        <v>1954</v>
      </c>
    </row>
    <row r="38" spans="1:8" x14ac:dyDescent="0.25">
      <c r="C38" s="865"/>
    </row>
    <row r="39" spans="1:8" x14ac:dyDescent="0.25">
      <c r="C39" s="867"/>
    </row>
    <row r="41" spans="1:8" x14ac:dyDescent="0.25">
      <c r="C41" s="868"/>
    </row>
    <row r="43" spans="1:8" x14ac:dyDescent="0.25">
      <c r="B43" s="869"/>
    </row>
    <row r="44" spans="1:8" x14ac:dyDescent="0.25">
      <c r="C44" s="865"/>
    </row>
    <row r="45" spans="1:8" x14ac:dyDescent="0.25">
      <c r="C45" s="867"/>
    </row>
  </sheetData>
  <sheetProtection algorithmName="SHA-512" hashValue="r1ZcrzjnvwDA24k96kuTS1MmebR/ee3hYea23dyaNNzZ+L9333zHKfA41Q1X1CvmsHE0B1fNOroRMdzVfPgD8A==" saltValue="eBKc8drKha6aVr6dGgTGWg==" spinCount="100000" sheet="1" objects="1" scenarios="1" selectLockedCells="1"/>
  <mergeCells count="9">
    <mergeCell ref="A15:A17"/>
    <mergeCell ref="A18:A28"/>
    <mergeCell ref="A29:A33"/>
    <mergeCell ref="A1:A2"/>
    <mergeCell ref="B1:B2"/>
    <mergeCell ref="C1:D1"/>
    <mergeCell ref="E1:F1"/>
    <mergeCell ref="G1:H1"/>
    <mergeCell ref="A9:A14"/>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95AC9-D36E-4C72-91F5-27C12C86314A}">
  <sheetPr>
    <tabColor rgb="FFFFC000"/>
  </sheetPr>
  <dimension ref="A1:EO33"/>
  <sheetViews>
    <sheetView topLeftCell="CJ1" zoomScaleNormal="100" workbookViewId="0">
      <selection activeCell="CJ6" sqref="CJ6"/>
    </sheetView>
  </sheetViews>
  <sheetFormatPr baseColWidth="10" defaultColWidth="11.42578125" defaultRowHeight="15" x14ac:dyDescent="0.25"/>
  <cols>
    <col min="1" max="1" width="21.140625" style="250" customWidth="1"/>
    <col min="2" max="2" width="17.85546875" style="250" customWidth="1"/>
    <col min="3" max="3" width="24.140625" style="250" customWidth="1"/>
    <col min="4" max="4" width="26.42578125" style="250" customWidth="1"/>
    <col min="5" max="5" width="18.140625" style="250" customWidth="1"/>
    <col min="6" max="6" width="20.5703125" style="250" customWidth="1"/>
    <col min="7" max="7" width="14" style="250" customWidth="1"/>
    <col min="8" max="8" width="16.5703125" style="250" customWidth="1"/>
    <col min="9" max="9" width="15.140625" style="250" customWidth="1"/>
    <col min="10" max="10" width="15.85546875" style="250" customWidth="1"/>
    <col min="11" max="11" width="16.42578125" style="250" customWidth="1"/>
    <col min="12" max="12" width="21.85546875" style="250" customWidth="1"/>
    <col min="13" max="13" width="23" style="250" customWidth="1"/>
    <col min="14" max="14" width="11.42578125" style="250"/>
    <col min="15" max="15" width="13.5703125" style="250" customWidth="1"/>
    <col min="16" max="16" width="11.42578125" style="250"/>
    <col min="17" max="17" width="20.28515625" style="250" customWidth="1"/>
    <col min="18" max="18" width="20.140625" style="250" customWidth="1"/>
    <col min="19" max="19" width="12.28515625" style="250" customWidth="1"/>
    <col min="20" max="20" width="11.42578125" style="250"/>
    <col min="21" max="21" width="11.5703125" style="250" customWidth="1"/>
    <col min="22" max="22" width="14.140625" style="251" bestFit="1" customWidth="1"/>
    <col min="23" max="23" width="16.7109375" style="251" customWidth="1"/>
    <col min="24" max="24" width="16.7109375" style="250" customWidth="1"/>
    <col min="25" max="25" width="16.28515625" style="250" customWidth="1"/>
    <col min="26" max="26" width="11.42578125" style="250"/>
    <col min="27" max="27" width="16" style="250" customWidth="1"/>
    <col min="28" max="28" width="40.5703125" style="250" customWidth="1"/>
    <col min="29" max="29" width="14.5703125" style="250" customWidth="1"/>
    <col min="30" max="30" width="11.42578125" style="250"/>
    <col min="31" max="31" width="13" style="250" customWidth="1"/>
    <col min="32" max="32" width="32.85546875" style="250" customWidth="1"/>
    <col min="33" max="33" width="18.140625" style="250" bestFit="1" customWidth="1"/>
    <col min="34" max="34" width="11.42578125" style="250"/>
    <col min="35" max="35" width="16" style="250" customWidth="1"/>
    <col min="36" max="36" width="40.5703125" style="250" customWidth="1"/>
    <col min="37" max="37" width="17.140625" style="250" bestFit="1" customWidth="1"/>
    <col min="38" max="38" width="11.42578125" style="250"/>
    <col min="39" max="39" width="13" style="250" customWidth="1"/>
    <col min="40" max="40" width="32.85546875" style="250" customWidth="1"/>
    <col min="41" max="41" width="18.140625" style="250" bestFit="1" customWidth="1"/>
    <col min="42" max="42" width="11.42578125" style="250"/>
    <col min="43" max="43" width="16" style="250" customWidth="1"/>
    <col min="44" max="44" width="40.5703125" style="250" customWidth="1"/>
    <col min="45" max="45" width="17.140625" style="250" bestFit="1" customWidth="1"/>
    <col min="46" max="46" width="11.42578125" style="250"/>
    <col min="47" max="47" width="13" style="250" customWidth="1"/>
    <col min="48" max="48" width="32.85546875" style="250" customWidth="1"/>
    <col min="49" max="49" width="18.140625" style="250" bestFit="1" customWidth="1"/>
    <col min="50" max="50" width="11.42578125" style="250"/>
    <col min="51" max="51" width="16" style="250" customWidth="1"/>
    <col min="52" max="52" width="40.5703125" style="250" customWidth="1"/>
    <col min="53" max="53" width="17.140625" style="250" bestFit="1" customWidth="1"/>
    <col min="54" max="54" width="11.42578125" style="250"/>
    <col min="55" max="55" width="13" style="250" customWidth="1"/>
    <col min="56" max="56" width="32.85546875" style="250" customWidth="1"/>
    <col min="57" max="57" width="18.140625" style="250" bestFit="1" customWidth="1"/>
    <col min="58" max="58" width="11.42578125" style="250"/>
    <col min="59" max="59" width="16" style="250" customWidth="1"/>
    <col min="60" max="60" width="40.5703125" style="250" customWidth="1"/>
    <col min="61" max="61" width="17.140625" style="250" bestFit="1" customWidth="1"/>
    <col min="62" max="62" width="11.42578125" style="250"/>
    <col min="63" max="63" width="13" style="250" customWidth="1"/>
    <col min="64" max="64" width="32.85546875" style="250" customWidth="1"/>
    <col min="65" max="65" width="18.140625" style="250" bestFit="1" customWidth="1"/>
    <col min="66" max="66" width="11.42578125" style="250"/>
    <col min="67" max="67" width="16" style="250" customWidth="1"/>
    <col min="68" max="68" width="40.5703125" style="250" customWidth="1"/>
    <col min="69" max="69" width="17.140625" style="250" bestFit="1" customWidth="1"/>
    <col min="70" max="70" width="11.42578125" style="250"/>
    <col min="71" max="71" width="13" style="250" customWidth="1"/>
    <col min="72" max="72" width="32.85546875" style="250" customWidth="1"/>
    <col min="73" max="73" width="18.140625" style="250" bestFit="1" customWidth="1"/>
    <col min="74" max="74" width="11.42578125" style="250"/>
    <col min="75" max="75" width="16" style="250" customWidth="1"/>
    <col min="76" max="76" width="40.5703125" style="250" customWidth="1"/>
    <col min="77" max="77" width="17.140625" style="250" bestFit="1" customWidth="1"/>
    <col min="78" max="78" width="11.42578125" style="250"/>
    <col min="79" max="79" width="13" style="250" customWidth="1"/>
    <col min="80" max="80" width="32.85546875" style="250" customWidth="1"/>
    <col min="81" max="81" width="18.140625" style="250" bestFit="1" customWidth="1"/>
    <col min="82" max="82" width="11.42578125" style="250"/>
    <col min="83" max="83" width="16" style="250" customWidth="1"/>
    <col min="84" max="84" width="40.5703125" style="250" customWidth="1"/>
    <col min="85" max="85" width="17.140625" style="250" bestFit="1" customWidth="1"/>
    <col min="86" max="86" width="11.42578125" style="250"/>
    <col min="87" max="87" width="13" style="250" customWidth="1"/>
    <col min="88" max="88" width="32.85546875" style="250" customWidth="1"/>
    <col min="89" max="89" width="18.140625" style="250" bestFit="1" customWidth="1"/>
    <col min="90" max="90" width="11.42578125" style="250"/>
    <col min="91" max="91" width="16" style="250" customWidth="1"/>
    <col min="92" max="92" width="40.5703125" style="250" customWidth="1"/>
    <col min="93" max="93" width="17.140625" style="250" bestFit="1" customWidth="1"/>
    <col min="94" max="94" width="11.42578125" style="250"/>
    <col min="95" max="95" width="13" style="250" customWidth="1"/>
    <col min="96" max="96" width="32.85546875" style="250" customWidth="1"/>
    <col min="97" max="145" width="11.42578125" style="348"/>
    <col min="146" max="16384" width="11.42578125" style="250"/>
  </cols>
  <sheetData>
    <row r="1" spans="1:145" s="1" customFormat="1" ht="15.75" customHeight="1" x14ac:dyDescent="0.25">
      <c r="C1" s="383" t="s">
        <v>0</v>
      </c>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c r="CA1" s="383"/>
      <c r="CB1" s="383"/>
      <c r="CC1" s="383"/>
      <c r="CD1" s="383"/>
      <c r="CE1" s="383"/>
      <c r="CF1" s="383"/>
      <c r="CG1" s="383"/>
      <c r="CH1" s="383"/>
      <c r="CI1" s="383"/>
      <c r="CJ1" s="383"/>
      <c r="CK1" s="383"/>
      <c r="CL1" s="383"/>
      <c r="CM1" s="383"/>
      <c r="CN1" s="383"/>
      <c r="CO1" s="383"/>
      <c r="CP1" s="384"/>
      <c r="CQ1" s="2" t="s">
        <v>1</v>
      </c>
      <c r="CR1" s="3">
        <v>43458</v>
      </c>
    </row>
    <row r="2" spans="1:145" s="1" customFormat="1" ht="15.75" customHeight="1" x14ac:dyDescent="0.25">
      <c r="C2" s="383"/>
      <c r="D2" s="383"/>
      <c r="E2" s="383"/>
      <c r="F2" s="383"/>
      <c r="G2" s="383"/>
      <c r="H2" s="383"/>
      <c r="I2" s="383"/>
      <c r="J2" s="383"/>
      <c r="K2" s="383"/>
      <c r="L2" s="383"/>
      <c r="M2" s="383"/>
      <c r="N2" s="383"/>
      <c r="O2" s="383"/>
      <c r="P2" s="383"/>
      <c r="Q2" s="383"/>
      <c r="R2" s="383"/>
      <c r="S2" s="383"/>
      <c r="T2" s="383"/>
      <c r="U2" s="383"/>
      <c r="V2" s="383"/>
      <c r="W2" s="383"/>
      <c r="X2" s="383"/>
      <c r="Y2" s="383"/>
      <c r="Z2" s="383"/>
      <c r="AA2" s="383"/>
      <c r="AB2" s="383"/>
      <c r="AC2" s="383"/>
      <c r="AD2" s="383"/>
      <c r="AE2" s="383"/>
      <c r="AF2" s="383"/>
      <c r="AG2" s="383"/>
      <c r="AH2" s="383"/>
      <c r="AI2" s="383"/>
      <c r="AJ2" s="383"/>
      <c r="AK2" s="383"/>
      <c r="AL2" s="383"/>
      <c r="AM2" s="383"/>
      <c r="AN2" s="383"/>
      <c r="AO2" s="383"/>
      <c r="AP2" s="383"/>
      <c r="AQ2" s="383"/>
      <c r="AR2" s="383"/>
      <c r="AS2" s="383"/>
      <c r="AT2" s="383"/>
      <c r="AU2" s="383"/>
      <c r="AV2" s="383"/>
      <c r="AW2" s="383"/>
      <c r="AX2" s="383"/>
      <c r="AY2" s="383"/>
      <c r="AZ2" s="383"/>
      <c r="BA2" s="383"/>
      <c r="BB2" s="383"/>
      <c r="BC2" s="383"/>
      <c r="BD2" s="383"/>
      <c r="BE2" s="383"/>
      <c r="BF2" s="383"/>
      <c r="BG2" s="383"/>
      <c r="BH2" s="383"/>
      <c r="BI2" s="383"/>
      <c r="BJ2" s="383"/>
      <c r="BK2" s="383"/>
      <c r="BL2" s="383"/>
      <c r="BM2" s="383"/>
      <c r="BN2" s="383"/>
      <c r="BO2" s="383"/>
      <c r="BP2" s="383"/>
      <c r="BQ2" s="383"/>
      <c r="BR2" s="383"/>
      <c r="BS2" s="383"/>
      <c r="BT2" s="383"/>
      <c r="BU2" s="383"/>
      <c r="BV2" s="383"/>
      <c r="BW2" s="383"/>
      <c r="BX2" s="383"/>
      <c r="BY2" s="383"/>
      <c r="BZ2" s="383"/>
      <c r="CA2" s="383"/>
      <c r="CB2" s="383"/>
      <c r="CC2" s="383"/>
      <c r="CD2" s="383"/>
      <c r="CE2" s="383"/>
      <c r="CF2" s="383"/>
      <c r="CG2" s="383"/>
      <c r="CH2" s="383"/>
      <c r="CI2" s="383"/>
      <c r="CJ2" s="383"/>
      <c r="CK2" s="383"/>
      <c r="CL2" s="383"/>
      <c r="CM2" s="383"/>
      <c r="CN2" s="383"/>
      <c r="CO2" s="383"/>
      <c r="CP2" s="384"/>
      <c r="CQ2" s="2" t="s">
        <v>2</v>
      </c>
      <c r="CR2" s="2">
        <v>5</v>
      </c>
    </row>
    <row r="3" spans="1:145" s="1" customFormat="1" ht="15.75" customHeight="1" x14ac:dyDescent="0.25">
      <c r="C3" s="383"/>
      <c r="D3" s="383"/>
      <c r="E3" s="383"/>
      <c r="F3" s="383"/>
      <c r="G3" s="383"/>
      <c r="H3" s="383"/>
      <c r="I3" s="383"/>
      <c r="J3" s="383"/>
      <c r="K3" s="383"/>
      <c r="L3" s="383"/>
      <c r="M3" s="383"/>
      <c r="N3" s="383"/>
      <c r="O3" s="383"/>
      <c r="P3" s="383"/>
      <c r="Q3" s="383"/>
      <c r="R3" s="383"/>
      <c r="S3" s="383"/>
      <c r="T3" s="383"/>
      <c r="U3" s="383"/>
      <c r="V3" s="383"/>
      <c r="W3" s="383"/>
      <c r="X3" s="383"/>
      <c r="Y3" s="383"/>
      <c r="Z3" s="383"/>
      <c r="AA3" s="383"/>
      <c r="AB3" s="383"/>
      <c r="AC3" s="383"/>
      <c r="AD3" s="383"/>
      <c r="AE3" s="383"/>
      <c r="AF3" s="383"/>
      <c r="AG3" s="383"/>
      <c r="AH3" s="383"/>
      <c r="AI3" s="383"/>
      <c r="AJ3" s="383"/>
      <c r="AK3" s="383"/>
      <c r="AL3" s="383"/>
      <c r="AM3" s="383"/>
      <c r="AN3" s="383"/>
      <c r="AO3" s="383"/>
      <c r="AP3" s="383"/>
      <c r="AQ3" s="383"/>
      <c r="AR3" s="383"/>
      <c r="AS3" s="383"/>
      <c r="AT3" s="383"/>
      <c r="AU3" s="383"/>
      <c r="AV3" s="383"/>
      <c r="AW3" s="383"/>
      <c r="AX3" s="383"/>
      <c r="AY3" s="383"/>
      <c r="AZ3" s="383"/>
      <c r="BA3" s="383"/>
      <c r="BB3" s="383"/>
      <c r="BC3" s="383"/>
      <c r="BD3" s="383"/>
      <c r="BE3" s="383"/>
      <c r="BF3" s="383"/>
      <c r="BG3" s="383"/>
      <c r="BH3" s="383"/>
      <c r="BI3" s="383"/>
      <c r="BJ3" s="383"/>
      <c r="BK3" s="383"/>
      <c r="BL3" s="383"/>
      <c r="BM3" s="383"/>
      <c r="BN3" s="383"/>
      <c r="BO3" s="383"/>
      <c r="BP3" s="383"/>
      <c r="BQ3" s="383"/>
      <c r="BR3" s="383"/>
      <c r="BS3" s="383"/>
      <c r="BT3" s="383"/>
      <c r="BU3" s="383"/>
      <c r="BV3" s="383"/>
      <c r="BW3" s="383"/>
      <c r="BX3" s="383"/>
      <c r="BY3" s="383"/>
      <c r="BZ3" s="383"/>
      <c r="CA3" s="383"/>
      <c r="CB3" s="383"/>
      <c r="CC3" s="383"/>
      <c r="CD3" s="383"/>
      <c r="CE3" s="383"/>
      <c r="CF3" s="383"/>
      <c r="CG3" s="383"/>
      <c r="CH3" s="383"/>
      <c r="CI3" s="383"/>
      <c r="CJ3" s="383"/>
      <c r="CK3" s="383"/>
      <c r="CL3" s="383"/>
      <c r="CM3" s="383"/>
      <c r="CN3" s="383"/>
      <c r="CO3" s="383"/>
      <c r="CP3" s="384"/>
      <c r="CQ3" s="2" t="s">
        <v>3</v>
      </c>
      <c r="CR3" s="2" t="s">
        <v>4</v>
      </c>
    </row>
    <row r="4" spans="1:145" s="202" customFormat="1" ht="15" customHeight="1" x14ac:dyDescent="0.25">
      <c r="A4" s="557" t="s">
        <v>5</v>
      </c>
      <c r="B4" s="558"/>
      <c r="C4" s="558"/>
      <c r="D4" s="558"/>
      <c r="E4" s="558"/>
      <c r="F4" s="558"/>
      <c r="G4" s="558"/>
      <c r="H4" s="558"/>
      <c r="I4" s="558"/>
      <c r="J4" s="558"/>
      <c r="K4" s="559"/>
      <c r="L4" s="560" t="s">
        <v>6</v>
      </c>
      <c r="M4" s="561"/>
      <c r="N4" s="561"/>
      <c r="O4" s="561"/>
      <c r="P4" s="562"/>
      <c r="Q4" s="560" t="s">
        <v>7</v>
      </c>
      <c r="R4" s="561"/>
      <c r="S4" s="561"/>
      <c r="T4" s="561"/>
      <c r="U4" s="562"/>
      <c r="V4" s="563" t="s">
        <v>8</v>
      </c>
      <c r="W4" s="564"/>
      <c r="X4" s="567" t="s">
        <v>9</v>
      </c>
      <c r="Y4" s="549" t="s">
        <v>10</v>
      </c>
      <c r="Z4" s="550"/>
      <c r="AA4" s="550"/>
      <c r="AB4" s="550"/>
      <c r="AC4" s="550"/>
      <c r="AD4" s="550"/>
      <c r="AE4" s="550"/>
      <c r="AF4" s="551"/>
      <c r="AG4" s="549" t="s">
        <v>11</v>
      </c>
      <c r="AH4" s="550"/>
      <c r="AI4" s="550"/>
      <c r="AJ4" s="550"/>
      <c r="AK4" s="550"/>
      <c r="AL4" s="550"/>
      <c r="AM4" s="550"/>
      <c r="AN4" s="551"/>
      <c r="AO4" s="549" t="s">
        <v>12</v>
      </c>
      <c r="AP4" s="550"/>
      <c r="AQ4" s="550"/>
      <c r="AR4" s="550"/>
      <c r="AS4" s="550"/>
      <c r="AT4" s="550"/>
      <c r="AU4" s="550"/>
      <c r="AV4" s="551"/>
      <c r="AW4" s="549" t="s">
        <v>13</v>
      </c>
      <c r="AX4" s="550"/>
      <c r="AY4" s="550"/>
      <c r="AZ4" s="550"/>
      <c r="BA4" s="550"/>
      <c r="BB4" s="550"/>
      <c r="BC4" s="550"/>
      <c r="BD4" s="551"/>
      <c r="BE4" s="549" t="s">
        <v>14</v>
      </c>
      <c r="BF4" s="550"/>
      <c r="BG4" s="550"/>
      <c r="BH4" s="550"/>
      <c r="BI4" s="550"/>
      <c r="BJ4" s="550"/>
      <c r="BK4" s="550"/>
      <c r="BL4" s="551"/>
      <c r="BM4" s="549" t="s">
        <v>15</v>
      </c>
      <c r="BN4" s="550"/>
      <c r="BO4" s="550"/>
      <c r="BP4" s="550"/>
      <c r="BQ4" s="550"/>
      <c r="BR4" s="550"/>
      <c r="BS4" s="550"/>
      <c r="BT4" s="551"/>
      <c r="BU4" s="549" t="s">
        <v>16</v>
      </c>
      <c r="BV4" s="550"/>
      <c r="BW4" s="550"/>
      <c r="BX4" s="550"/>
      <c r="BY4" s="550"/>
      <c r="BZ4" s="550"/>
      <c r="CA4" s="550"/>
      <c r="CB4" s="551"/>
      <c r="CC4" s="549" t="s">
        <v>382</v>
      </c>
      <c r="CD4" s="550"/>
      <c r="CE4" s="550"/>
      <c r="CF4" s="550"/>
      <c r="CG4" s="550"/>
      <c r="CH4" s="550"/>
      <c r="CI4" s="550"/>
      <c r="CJ4" s="551"/>
      <c r="CK4" s="549" t="s">
        <v>595</v>
      </c>
      <c r="CL4" s="550"/>
      <c r="CM4" s="550"/>
      <c r="CN4" s="550"/>
      <c r="CO4" s="550"/>
      <c r="CP4" s="550"/>
      <c r="CQ4" s="550"/>
      <c r="CR4" s="551"/>
      <c r="CS4" s="349"/>
      <c r="CT4" s="349"/>
      <c r="CU4" s="349"/>
      <c r="CV4" s="349"/>
      <c r="CW4" s="349"/>
      <c r="CX4" s="349"/>
      <c r="CY4" s="349"/>
      <c r="CZ4" s="349"/>
      <c r="DA4" s="349"/>
      <c r="DB4" s="349"/>
      <c r="DC4" s="349"/>
      <c r="DD4" s="349"/>
      <c r="DE4" s="349"/>
      <c r="DF4" s="349"/>
      <c r="DG4" s="349"/>
      <c r="DH4" s="349"/>
      <c r="DI4" s="349"/>
      <c r="DJ4" s="349"/>
      <c r="DK4" s="349"/>
      <c r="DL4" s="349"/>
      <c r="DM4" s="349"/>
      <c r="DN4" s="349"/>
      <c r="DO4" s="349"/>
      <c r="DP4" s="349"/>
      <c r="DQ4" s="349"/>
      <c r="DR4" s="349"/>
      <c r="DS4" s="349"/>
      <c r="DT4" s="349"/>
      <c r="DU4" s="349"/>
      <c r="DV4" s="349"/>
      <c r="DW4" s="349"/>
      <c r="DX4" s="349"/>
      <c r="DY4" s="349"/>
      <c r="DZ4" s="349"/>
      <c r="EA4" s="349"/>
      <c r="EB4" s="349"/>
      <c r="EC4" s="349"/>
      <c r="ED4" s="349"/>
      <c r="EE4" s="349"/>
      <c r="EF4" s="349"/>
      <c r="EG4" s="349"/>
      <c r="EH4" s="349"/>
      <c r="EI4" s="349"/>
      <c r="EJ4" s="349"/>
      <c r="EK4" s="349"/>
      <c r="EL4" s="349"/>
      <c r="EM4" s="349"/>
      <c r="EN4" s="349"/>
      <c r="EO4" s="349"/>
    </row>
    <row r="5" spans="1:145" s="202" customFormat="1" ht="30" x14ac:dyDescent="0.25">
      <c r="A5" s="538" t="s">
        <v>17</v>
      </c>
      <c r="B5" s="539"/>
      <c r="C5" s="542"/>
      <c r="D5" s="333" t="s">
        <v>18</v>
      </c>
      <c r="E5" s="538" t="s">
        <v>19</v>
      </c>
      <c r="F5" s="542"/>
      <c r="G5" s="538" t="s">
        <v>20</v>
      </c>
      <c r="H5" s="539"/>
      <c r="I5" s="542"/>
      <c r="J5" s="506" t="s">
        <v>21</v>
      </c>
      <c r="K5" s="506" t="s">
        <v>22</v>
      </c>
      <c r="L5" s="549"/>
      <c r="M5" s="550"/>
      <c r="N5" s="550"/>
      <c r="O5" s="550"/>
      <c r="P5" s="551"/>
      <c r="Q5" s="549"/>
      <c r="R5" s="550"/>
      <c r="S5" s="550"/>
      <c r="T5" s="550"/>
      <c r="U5" s="551"/>
      <c r="V5" s="565"/>
      <c r="W5" s="566"/>
      <c r="X5" s="568"/>
      <c r="Y5" s="538" t="s">
        <v>23</v>
      </c>
      <c r="Z5" s="539"/>
      <c r="AA5" s="539"/>
      <c r="AB5" s="540"/>
      <c r="AC5" s="541" t="s">
        <v>24</v>
      </c>
      <c r="AD5" s="539"/>
      <c r="AE5" s="539"/>
      <c r="AF5" s="542"/>
      <c r="AG5" s="538" t="s">
        <v>23</v>
      </c>
      <c r="AH5" s="539"/>
      <c r="AI5" s="539"/>
      <c r="AJ5" s="540"/>
      <c r="AK5" s="541" t="s">
        <v>24</v>
      </c>
      <c r="AL5" s="539"/>
      <c r="AM5" s="539"/>
      <c r="AN5" s="542"/>
      <c r="AO5" s="538" t="s">
        <v>23</v>
      </c>
      <c r="AP5" s="539"/>
      <c r="AQ5" s="539"/>
      <c r="AR5" s="540"/>
      <c r="AS5" s="541" t="s">
        <v>24</v>
      </c>
      <c r="AT5" s="539"/>
      <c r="AU5" s="539"/>
      <c r="AV5" s="542"/>
      <c r="AW5" s="538" t="s">
        <v>23</v>
      </c>
      <c r="AX5" s="539"/>
      <c r="AY5" s="539"/>
      <c r="AZ5" s="540"/>
      <c r="BA5" s="541" t="s">
        <v>24</v>
      </c>
      <c r="BB5" s="539"/>
      <c r="BC5" s="539"/>
      <c r="BD5" s="542"/>
      <c r="BE5" s="538" t="s">
        <v>23</v>
      </c>
      <c r="BF5" s="539"/>
      <c r="BG5" s="539"/>
      <c r="BH5" s="540"/>
      <c r="BI5" s="541" t="s">
        <v>24</v>
      </c>
      <c r="BJ5" s="539"/>
      <c r="BK5" s="539"/>
      <c r="BL5" s="542"/>
      <c r="BM5" s="538" t="s">
        <v>23</v>
      </c>
      <c r="BN5" s="539"/>
      <c r="BO5" s="539"/>
      <c r="BP5" s="540"/>
      <c r="BQ5" s="541" t="s">
        <v>24</v>
      </c>
      <c r="BR5" s="539"/>
      <c r="BS5" s="539"/>
      <c r="BT5" s="542"/>
      <c r="BU5" s="538" t="s">
        <v>23</v>
      </c>
      <c r="BV5" s="539"/>
      <c r="BW5" s="539"/>
      <c r="BX5" s="540"/>
      <c r="BY5" s="541" t="s">
        <v>24</v>
      </c>
      <c r="BZ5" s="539"/>
      <c r="CA5" s="539"/>
      <c r="CB5" s="542"/>
      <c r="CC5" s="538" t="s">
        <v>23</v>
      </c>
      <c r="CD5" s="539"/>
      <c r="CE5" s="539"/>
      <c r="CF5" s="540"/>
      <c r="CG5" s="541" t="s">
        <v>24</v>
      </c>
      <c r="CH5" s="539"/>
      <c r="CI5" s="539"/>
      <c r="CJ5" s="542"/>
      <c r="CK5" s="538" t="s">
        <v>23</v>
      </c>
      <c r="CL5" s="539"/>
      <c r="CM5" s="539"/>
      <c r="CN5" s="540"/>
      <c r="CO5" s="541" t="s">
        <v>24</v>
      </c>
      <c r="CP5" s="539"/>
      <c r="CQ5" s="539"/>
      <c r="CR5" s="542"/>
      <c r="CS5" s="349"/>
      <c r="CT5" s="349"/>
      <c r="CU5" s="349"/>
      <c r="CV5" s="349"/>
      <c r="CW5" s="349"/>
      <c r="CX5" s="349"/>
      <c r="CY5" s="349"/>
      <c r="CZ5" s="349"/>
      <c r="DA5" s="349"/>
      <c r="DB5" s="349"/>
      <c r="DC5" s="349"/>
      <c r="DD5" s="349"/>
      <c r="DE5" s="349"/>
      <c r="DF5" s="349"/>
      <c r="DG5" s="349"/>
      <c r="DH5" s="349"/>
      <c r="DI5" s="349"/>
      <c r="DJ5" s="349"/>
      <c r="DK5" s="349"/>
      <c r="DL5" s="349"/>
      <c r="DM5" s="349"/>
      <c r="DN5" s="349"/>
      <c r="DO5" s="349"/>
      <c r="DP5" s="349"/>
      <c r="DQ5" s="349"/>
      <c r="DR5" s="349"/>
      <c r="DS5" s="349"/>
      <c r="DT5" s="349"/>
      <c r="DU5" s="349"/>
      <c r="DV5" s="349"/>
      <c r="DW5" s="349"/>
      <c r="DX5" s="349"/>
      <c r="DY5" s="349"/>
      <c r="DZ5" s="349"/>
      <c r="EA5" s="349"/>
      <c r="EB5" s="349"/>
      <c r="EC5" s="349"/>
      <c r="ED5" s="349"/>
      <c r="EE5" s="349"/>
      <c r="EF5" s="349"/>
      <c r="EG5" s="349"/>
      <c r="EH5" s="349"/>
      <c r="EI5" s="349"/>
      <c r="EJ5" s="349"/>
      <c r="EK5" s="349"/>
      <c r="EL5" s="349"/>
      <c r="EM5" s="349"/>
      <c r="EN5" s="349"/>
      <c r="EO5" s="349"/>
    </row>
    <row r="6" spans="1:145" s="202" customFormat="1" ht="45" x14ac:dyDescent="0.25">
      <c r="A6" s="150" t="s">
        <v>25</v>
      </c>
      <c r="B6" s="150" t="s">
        <v>26</v>
      </c>
      <c r="C6" s="150" t="s">
        <v>27</v>
      </c>
      <c r="D6" s="150" t="s">
        <v>28</v>
      </c>
      <c r="E6" s="150" t="s">
        <v>29</v>
      </c>
      <c r="F6" s="150" t="s">
        <v>30</v>
      </c>
      <c r="G6" s="150" t="s">
        <v>31</v>
      </c>
      <c r="H6" s="150" t="s">
        <v>32</v>
      </c>
      <c r="I6" s="150" t="s">
        <v>33</v>
      </c>
      <c r="J6" s="552"/>
      <c r="K6" s="552"/>
      <c r="L6" s="150" t="s">
        <v>6</v>
      </c>
      <c r="M6" s="150" t="s">
        <v>34</v>
      </c>
      <c r="N6" s="150" t="s">
        <v>35</v>
      </c>
      <c r="O6" s="150" t="s">
        <v>36</v>
      </c>
      <c r="P6" s="150" t="s">
        <v>37</v>
      </c>
      <c r="Q6" s="150" t="s">
        <v>7</v>
      </c>
      <c r="R6" s="150" t="s">
        <v>38</v>
      </c>
      <c r="S6" s="150" t="s">
        <v>35</v>
      </c>
      <c r="T6" s="150" t="s">
        <v>36</v>
      </c>
      <c r="U6" s="150" t="s">
        <v>39</v>
      </c>
      <c r="V6" s="203" t="s">
        <v>40</v>
      </c>
      <c r="W6" s="203" t="s">
        <v>41</v>
      </c>
      <c r="X6" s="150" t="s">
        <v>42</v>
      </c>
      <c r="Y6" s="150" t="s">
        <v>43</v>
      </c>
      <c r="Z6" s="150" t="s">
        <v>44</v>
      </c>
      <c r="AA6" s="150" t="s">
        <v>45</v>
      </c>
      <c r="AB6" s="150" t="s">
        <v>46</v>
      </c>
      <c r="AC6" s="150" t="s">
        <v>43</v>
      </c>
      <c r="AD6" s="150" t="s">
        <v>44</v>
      </c>
      <c r="AE6" s="150" t="s">
        <v>45</v>
      </c>
      <c r="AF6" s="150" t="s">
        <v>46</v>
      </c>
      <c r="AG6" s="150" t="s">
        <v>43</v>
      </c>
      <c r="AH6" s="150" t="s">
        <v>44</v>
      </c>
      <c r="AI6" s="150" t="s">
        <v>45</v>
      </c>
      <c r="AJ6" s="150" t="s">
        <v>46</v>
      </c>
      <c r="AK6" s="150" t="s">
        <v>43</v>
      </c>
      <c r="AL6" s="150" t="s">
        <v>44</v>
      </c>
      <c r="AM6" s="150" t="s">
        <v>45</v>
      </c>
      <c r="AN6" s="150" t="s">
        <v>46</v>
      </c>
      <c r="AO6" s="150" t="s">
        <v>43</v>
      </c>
      <c r="AP6" s="150" t="s">
        <v>44</v>
      </c>
      <c r="AQ6" s="150" t="s">
        <v>45</v>
      </c>
      <c r="AR6" s="150" t="s">
        <v>46</v>
      </c>
      <c r="AS6" s="150" t="s">
        <v>43</v>
      </c>
      <c r="AT6" s="150" t="s">
        <v>44</v>
      </c>
      <c r="AU6" s="150" t="s">
        <v>45</v>
      </c>
      <c r="AV6" s="150" t="s">
        <v>46</v>
      </c>
      <c r="AW6" s="150" t="s">
        <v>43</v>
      </c>
      <c r="AX6" s="150" t="s">
        <v>44</v>
      </c>
      <c r="AY6" s="150" t="s">
        <v>45</v>
      </c>
      <c r="AZ6" s="150" t="s">
        <v>46</v>
      </c>
      <c r="BA6" s="150" t="s">
        <v>43</v>
      </c>
      <c r="BB6" s="150" t="s">
        <v>44</v>
      </c>
      <c r="BC6" s="150" t="s">
        <v>45</v>
      </c>
      <c r="BD6" s="150" t="s">
        <v>46</v>
      </c>
      <c r="BE6" s="150" t="s">
        <v>43</v>
      </c>
      <c r="BF6" s="150" t="s">
        <v>44</v>
      </c>
      <c r="BG6" s="150" t="s">
        <v>45</v>
      </c>
      <c r="BH6" s="150" t="s">
        <v>46</v>
      </c>
      <c r="BI6" s="150" t="s">
        <v>43</v>
      </c>
      <c r="BJ6" s="150" t="s">
        <v>44</v>
      </c>
      <c r="BK6" s="150" t="s">
        <v>45</v>
      </c>
      <c r="BL6" s="150" t="s">
        <v>46</v>
      </c>
      <c r="BM6" s="150" t="s">
        <v>43</v>
      </c>
      <c r="BN6" s="150" t="s">
        <v>44</v>
      </c>
      <c r="BO6" s="150" t="s">
        <v>45</v>
      </c>
      <c r="BP6" s="150" t="s">
        <v>46</v>
      </c>
      <c r="BQ6" s="150" t="s">
        <v>43</v>
      </c>
      <c r="BR6" s="150" t="s">
        <v>44</v>
      </c>
      <c r="BS6" s="150" t="s">
        <v>45</v>
      </c>
      <c r="BT6" s="150" t="s">
        <v>46</v>
      </c>
      <c r="BU6" s="150" t="s">
        <v>43</v>
      </c>
      <c r="BV6" s="150" t="s">
        <v>44</v>
      </c>
      <c r="BW6" s="150" t="s">
        <v>45</v>
      </c>
      <c r="BX6" s="150" t="s">
        <v>46</v>
      </c>
      <c r="BY6" s="150" t="s">
        <v>43</v>
      </c>
      <c r="BZ6" s="150" t="s">
        <v>44</v>
      </c>
      <c r="CA6" s="150" t="s">
        <v>45</v>
      </c>
      <c r="CB6" s="150" t="s">
        <v>46</v>
      </c>
      <c r="CC6" s="150" t="s">
        <v>43</v>
      </c>
      <c r="CD6" s="150" t="s">
        <v>44</v>
      </c>
      <c r="CE6" s="150" t="s">
        <v>45</v>
      </c>
      <c r="CF6" s="150" t="s">
        <v>46</v>
      </c>
      <c r="CG6" s="150" t="s">
        <v>43</v>
      </c>
      <c r="CH6" s="150" t="s">
        <v>44</v>
      </c>
      <c r="CI6" s="150" t="s">
        <v>45</v>
      </c>
      <c r="CJ6" s="150" t="s">
        <v>46</v>
      </c>
      <c r="CK6" s="150" t="s">
        <v>43</v>
      </c>
      <c r="CL6" s="150" t="s">
        <v>44</v>
      </c>
      <c r="CM6" s="150" t="s">
        <v>45</v>
      </c>
      <c r="CN6" s="150" t="s">
        <v>46</v>
      </c>
      <c r="CO6" s="150" t="s">
        <v>43</v>
      </c>
      <c r="CP6" s="150" t="s">
        <v>44</v>
      </c>
      <c r="CQ6" s="150" t="s">
        <v>45</v>
      </c>
      <c r="CR6" s="150" t="s">
        <v>46</v>
      </c>
      <c r="CS6" s="349"/>
      <c r="CT6" s="349"/>
      <c r="CU6" s="349"/>
      <c r="CV6" s="349"/>
      <c r="CW6" s="349"/>
      <c r="CX6" s="349"/>
      <c r="CY6" s="349"/>
      <c r="CZ6" s="349"/>
      <c r="DA6" s="349"/>
      <c r="DB6" s="349"/>
      <c r="DC6" s="349"/>
      <c r="DD6" s="349"/>
      <c r="DE6" s="349"/>
      <c r="DF6" s="349"/>
      <c r="DG6" s="349"/>
      <c r="DH6" s="349"/>
      <c r="DI6" s="349"/>
      <c r="DJ6" s="349"/>
      <c r="DK6" s="349"/>
      <c r="DL6" s="349"/>
      <c r="DM6" s="349"/>
      <c r="DN6" s="349"/>
      <c r="DO6" s="349"/>
      <c r="DP6" s="349"/>
      <c r="DQ6" s="349"/>
      <c r="DR6" s="349"/>
      <c r="DS6" s="349"/>
      <c r="DT6" s="349"/>
      <c r="DU6" s="349"/>
      <c r="DV6" s="349"/>
      <c r="DW6" s="349"/>
      <c r="DX6" s="349"/>
      <c r="DY6" s="349"/>
      <c r="DZ6" s="349"/>
      <c r="EA6" s="349"/>
      <c r="EB6" s="349"/>
      <c r="EC6" s="349"/>
      <c r="ED6" s="349"/>
      <c r="EE6" s="349"/>
      <c r="EF6" s="349"/>
      <c r="EG6" s="349"/>
      <c r="EH6" s="349"/>
      <c r="EI6" s="349"/>
      <c r="EJ6" s="349"/>
      <c r="EK6" s="349"/>
      <c r="EL6" s="349"/>
      <c r="EM6" s="349"/>
      <c r="EN6" s="349"/>
      <c r="EO6" s="349"/>
    </row>
    <row r="7" spans="1:145" s="210" customFormat="1" ht="156" x14ac:dyDescent="0.25">
      <c r="A7" s="543" t="s">
        <v>47</v>
      </c>
      <c r="B7" s="391" t="s">
        <v>48</v>
      </c>
      <c r="C7" s="391" t="s">
        <v>49</v>
      </c>
      <c r="D7" s="391" t="s">
        <v>790</v>
      </c>
      <c r="E7" s="391" t="s">
        <v>51</v>
      </c>
      <c r="F7" s="391" t="s">
        <v>851</v>
      </c>
      <c r="G7" s="391"/>
      <c r="H7" s="391" t="s">
        <v>1333</v>
      </c>
      <c r="I7" s="391" t="s">
        <v>669</v>
      </c>
      <c r="J7" s="391" t="s">
        <v>1334</v>
      </c>
      <c r="K7" s="391" t="s">
        <v>1335</v>
      </c>
      <c r="L7" s="322" t="s">
        <v>1336</v>
      </c>
      <c r="M7" s="322" t="s">
        <v>1337</v>
      </c>
      <c r="N7" s="322" t="s">
        <v>93</v>
      </c>
      <c r="O7" s="322">
        <v>0</v>
      </c>
      <c r="P7" s="324">
        <v>1</v>
      </c>
      <c r="Q7" s="169"/>
      <c r="R7" s="169"/>
      <c r="S7" s="169"/>
      <c r="T7" s="169"/>
      <c r="U7" s="169"/>
      <c r="V7" s="354">
        <v>154683793</v>
      </c>
      <c r="W7" s="544">
        <v>45317466258</v>
      </c>
      <c r="X7" s="548" t="s">
        <v>1338</v>
      </c>
      <c r="Y7" s="323">
        <v>1</v>
      </c>
      <c r="Z7" s="323">
        <v>1</v>
      </c>
      <c r="AA7" s="323">
        <v>1</v>
      </c>
      <c r="AB7" s="49" t="s">
        <v>1339</v>
      </c>
      <c r="AC7" s="169"/>
      <c r="AD7" s="169"/>
      <c r="AE7" s="169"/>
      <c r="AF7" s="169"/>
      <c r="AG7" s="323">
        <v>1</v>
      </c>
      <c r="AH7" s="323">
        <v>1</v>
      </c>
      <c r="AI7" s="323">
        <v>1</v>
      </c>
      <c r="AJ7" s="49" t="s">
        <v>1340</v>
      </c>
      <c r="AK7" s="169"/>
      <c r="AL7" s="169"/>
      <c r="AM7" s="169"/>
      <c r="AN7" s="169"/>
      <c r="AO7" s="323">
        <v>1</v>
      </c>
      <c r="AP7" s="323">
        <v>1</v>
      </c>
      <c r="AQ7" s="323">
        <v>1</v>
      </c>
      <c r="AR7" s="49" t="s">
        <v>1341</v>
      </c>
      <c r="AS7" s="169"/>
      <c r="AT7" s="169"/>
      <c r="AU7" s="169"/>
      <c r="AV7" s="169"/>
      <c r="AW7" s="323" t="s">
        <v>799</v>
      </c>
      <c r="AX7" s="323">
        <v>1</v>
      </c>
      <c r="AY7" s="323">
        <v>1</v>
      </c>
      <c r="AZ7" s="49" t="s">
        <v>1342</v>
      </c>
      <c r="BA7" s="169"/>
      <c r="BB7" s="169"/>
      <c r="BC7" s="169"/>
      <c r="BD7" s="169"/>
      <c r="BE7" s="323" t="s">
        <v>799</v>
      </c>
      <c r="BF7" s="323">
        <v>1</v>
      </c>
      <c r="BG7" s="323">
        <v>1</v>
      </c>
      <c r="BH7" s="49" t="s">
        <v>1343</v>
      </c>
      <c r="BI7" s="169"/>
      <c r="BJ7" s="169"/>
      <c r="BK7" s="169"/>
      <c r="BL7" s="169"/>
      <c r="BM7" s="323">
        <v>0</v>
      </c>
      <c r="BN7" s="323">
        <v>0</v>
      </c>
      <c r="BO7" s="323">
        <v>1</v>
      </c>
      <c r="BP7" s="49" t="s">
        <v>1344</v>
      </c>
      <c r="BQ7" s="169"/>
      <c r="BR7" s="169"/>
      <c r="BS7" s="169"/>
      <c r="BT7" s="169"/>
      <c r="BU7" s="323" t="s">
        <v>799</v>
      </c>
      <c r="BV7" s="323">
        <v>0</v>
      </c>
      <c r="BW7" s="323">
        <v>1</v>
      </c>
      <c r="BX7" s="49" t="s">
        <v>1416</v>
      </c>
      <c r="BY7" s="169"/>
      <c r="BZ7" s="169"/>
      <c r="CA7" s="169"/>
      <c r="CB7" s="169"/>
      <c r="CC7" s="323">
        <v>0</v>
      </c>
      <c r="CD7" s="323">
        <v>1</v>
      </c>
      <c r="CE7" s="323">
        <v>1</v>
      </c>
      <c r="CF7" s="49" t="s">
        <v>1416</v>
      </c>
      <c r="CG7" s="169"/>
      <c r="CH7" s="169"/>
      <c r="CI7" s="169"/>
      <c r="CJ7" s="169"/>
      <c r="CK7" s="323">
        <f>28/28</f>
        <v>1</v>
      </c>
      <c r="CL7" s="323">
        <v>1</v>
      </c>
      <c r="CM7" s="323">
        <v>1</v>
      </c>
      <c r="CN7" s="49" t="s">
        <v>1417</v>
      </c>
      <c r="CO7" s="169"/>
      <c r="CP7" s="169"/>
      <c r="CQ7" s="169"/>
      <c r="CR7" s="169"/>
      <c r="CS7" s="350"/>
      <c r="CT7" s="350"/>
      <c r="CU7" s="350"/>
      <c r="CV7" s="350"/>
      <c r="CW7" s="350"/>
      <c r="CX7" s="350"/>
      <c r="CY7" s="350"/>
      <c r="CZ7" s="350"/>
      <c r="DA7" s="350"/>
      <c r="DB7" s="350"/>
      <c r="DC7" s="350"/>
      <c r="DD7" s="350"/>
      <c r="DE7" s="350"/>
      <c r="DF7" s="350"/>
      <c r="DG7" s="350"/>
      <c r="DH7" s="350"/>
      <c r="DI7" s="350"/>
      <c r="DJ7" s="350"/>
      <c r="DK7" s="350"/>
      <c r="DL7" s="350"/>
      <c r="DM7" s="350"/>
      <c r="DN7" s="350"/>
      <c r="DO7" s="350"/>
      <c r="DP7" s="350"/>
      <c r="DQ7" s="350"/>
      <c r="DR7" s="350"/>
      <c r="DS7" s="350"/>
      <c r="DT7" s="350"/>
      <c r="DU7" s="350"/>
      <c r="DV7" s="350"/>
      <c r="DW7" s="350"/>
      <c r="DX7" s="350"/>
      <c r="DY7" s="350"/>
      <c r="DZ7" s="350"/>
      <c r="EA7" s="350"/>
      <c r="EB7" s="350"/>
      <c r="EC7" s="350"/>
      <c r="ED7" s="350"/>
      <c r="EE7" s="350"/>
      <c r="EF7" s="350"/>
      <c r="EG7" s="350"/>
      <c r="EH7" s="350"/>
      <c r="EI7" s="350"/>
      <c r="EJ7" s="350"/>
      <c r="EK7" s="350"/>
      <c r="EL7" s="350"/>
      <c r="EM7" s="350"/>
      <c r="EN7" s="350"/>
      <c r="EO7" s="350"/>
    </row>
    <row r="8" spans="1:145" s="210" customFormat="1" ht="48" x14ac:dyDescent="0.25">
      <c r="A8" s="532"/>
      <c r="B8" s="391"/>
      <c r="C8" s="391"/>
      <c r="D8" s="391"/>
      <c r="E8" s="391"/>
      <c r="F8" s="391"/>
      <c r="G8" s="391"/>
      <c r="H8" s="391"/>
      <c r="I8" s="391"/>
      <c r="J8" s="391"/>
      <c r="K8" s="391"/>
      <c r="L8" s="327" t="s">
        <v>1345</v>
      </c>
      <c r="M8" s="327" t="s">
        <v>1346</v>
      </c>
      <c r="N8" s="327" t="s">
        <v>93</v>
      </c>
      <c r="O8" s="327">
        <v>0</v>
      </c>
      <c r="P8" s="328">
        <v>1</v>
      </c>
      <c r="Q8" s="169"/>
      <c r="R8" s="169"/>
      <c r="S8" s="169"/>
      <c r="T8" s="169"/>
      <c r="U8" s="169"/>
      <c r="V8" s="355">
        <v>74818490</v>
      </c>
      <c r="W8" s="545"/>
      <c r="X8" s="548"/>
      <c r="Y8" s="328">
        <v>1</v>
      </c>
      <c r="Z8" s="71">
        <v>1</v>
      </c>
      <c r="AA8" s="328">
        <v>1</v>
      </c>
      <c r="AB8" s="58" t="s">
        <v>1347</v>
      </c>
      <c r="AC8" s="169"/>
      <c r="AD8" s="169"/>
      <c r="AE8" s="169"/>
      <c r="AF8" s="169"/>
      <c r="AG8" s="328">
        <v>1</v>
      </c>
      <c r="AH8" s="71">
        <v>1</v>
      </c>
      <c r="AI8" s="328">
        <v>1</v>
      </c>
      <c r="AJ8" s="58" t="s">
        <v>1348</v>
      </c>
      <c r="AK8" s="169"/>
      <c r="AL8" s="169"/>
      <c r="AM8" s="169"/>
      <c r="AN8" s="169"/>
      <c r="AO8" s="328">
        <v>1</v>
      </c>
      <c r="AP8" s="71">
        <v>1</v>
      </c>
      <c r="AQ8" s="328">
        <v>1</v>
      </c>
      <c r="AR8" s="58" t="s">
        <v>1349</v>
      </c>
      <c r="AS8" s="169"/>
      <c r="AT8" s="169"/>
      <c r="AU8" s="169"/>
      <c r="AV8" s="169"/>
      <c r="AW8" s="328" t="s">
        <v>799</v>
      </c>
      <c r="AX8" s="71">
        <v>1</v>
      </c>
      <c r="AY8" s="328">
        <v>1</v>
      </c>
      <c r="AZ8" s="58" t="s">
        <v>1350</v>
      </c>
      <c r="BA8" s="169"/>
      <c r="BB8" s="169"/>
      <c r="BC8" s="169"/>
      <c r="BD8" s="169"/>
      <c r="BE8" s="328" t="s">
        <v>799</v>
      </c>
      <c r="BF8" s="71">
        <v>1</v>
      </c>
      <c r="BG8" s="328">
        <v>1</v>
      </c>
      <c r="BH8" s="58" t="s">
        <v>1350</v>
      </c>
      <c r="BI8" s="169"/>
      <c r="BJ8" s="169"/>
      <c r="BK8" s="169"/>
      <c r="BL8" s="169"/>
      <c r="BM8" s="356">
        <v>30</v>
      </c>
      <c r="BN8" s="71">
        <v>1</v>
      </c>
      <c r="BO8" s="328">
        <v>1</v>
      </c>
      <c r="BP8" s="58" t="s">
        <v>1351</v>
      </c>
      <c r="BQ8" s="169"/>
      <c r="BR8" s="169"/>
      <c r="BS8" s="169"/>
      <c r="BT8" s="169"/>
      <c r="BU8" s="356">
        <v>1</v>
      </c>
      <c r="BV8" s="71">
        <v>1</v>
      </c>
      <c r="BW8" s="328">
        <v>1</v>
      </c>
      <c r="BX8" s="58" t="s">
        <v>1418</v>
      </c>
      <c r="BY8" s="169"/>
      <c r="BZ8" s="169"/>
      <c r="CA8" s="169"/>
      <c r="CB8" s="169"/>
      <c r="CC8" s="328">
        <v>1</v>
      </c>
      <c r="CD8" s="71">
        <v>1</v>
      </c>
      <c r="CE8" s="328">
        <v>1</v>
      </c>
      <c r="CF8" s="58" t="s">
        <v>1419</v>
      </c>
      <c r="CG8" s="169"/>
      <c r="CH8" s="169"/>
      <c r="CI8" s="169"/>
      <c r="CJ8" s="169"/>
      <c r="CK8" s="328">
        <v>1</v>
      </c>
      <c r="CL8" s="71">
        <v>1</v>
      </c>
      <c r="CM8" s="328">
        <v>1</v>
      </c>
      <c r="CN8" s="58" t="s">
        <v>1420</v>
      </c>
      <c r="CO8" s="169"/>
      <c r="CP8" s="169"/>
      <c r="CQ8" s="169"/>
      <c r="CR8" s="169"/>
      <c r="CS8" s="350"/>
      <c r="CT8" s="350"/>
      <c r="CU8" s="350"/>
      <c r="CV8" s="350"/>
      <c r="CW8" s="350"/>
      <c r="CX8" s="350"/>
      <c r="CY8" s="350"/>
      <c r="CZ8" s="350"/>
      <c r="DA8" s="350"/>
      <c r="DB8" s="350"/>
      <c r="DC8" s="350"/>
      <c r="DD8" s="350"/>
      <c r="DE8" s="350"/>
      <c r="DF8" s="350"/>
      <c r="DG8" s="350"/>
      <c r="DH8" s="350"/>
      <c r="DI8" s="350"/>
      <c r="DJ8" s="350"/>
      <c r="DK8" s="350"/>
      <c r="DL8" s="350"/>
      <c r="DM8" s="350"/>
      <c r="DN8" s="350"/>
      <c r="DO8" s="350"/>
      <c r="DP8" s="350"/>
      <c r="DQ8" s="350"/>
      <c r="DR8" s="350"/>
      <c r="DS8" s="350"/>
      <c r="DT8" s="350"/>
      <c r="DU8" s="350"/>
      <c r="DV8" s="350"/>
      <c r="DW8" s="350"/>
      <c r="DX8" s="350"/>
      <c r="DY8" s="350"/>
      <c r="DZ8" s="350"/>
      <c r="EA8" s="350"/>
      <c r="EB8" s="350"/>
      <c r="EC8" s="350"/>
      <c r="ED8" s="350"/>
      <c r="EE8" s="350"/>
      <c r="EF8" s="350"/>
      <c r="EG8" s="350"/>
      <c r="EH8" s="350"/>
      <c r="EI8" s="350"/>
      <c r="EJ8" s="350"/>
      <c r="EK8" s="350"/>
      <c r="EL8" s="350"/>
      <c r="EM8" s="350"/>
      <c r="EN8" s="350"/>
      <c r="EO8" s="350"/>
    </row>
    <row r="9" spans="1:145" s="210" customFormat="1" ht="156" x14ac:dyDescent="0.25">
      <c r="A9" s="532"/>
      <c r="B9" s="391"/>
      <c r="C9" s="391"/>
      <c r="D9" s="391"/>
      <c r="E9" s="391"/>
      <c r="F9" s="391"/>
      <c r="G9" s="391"/>
      <c r="H9" s="391"/>
      <c r="I9" s="391"/>
      <c r="J9" s="391"/>
      <c r="K9" s="391"/>
      <c r="L9" s="322" t="s">
        <v>1352</v>
      </c>
      <c r="M9" s="322" t="s">
        <v>1353</v>
      </c>
      <c r="N9" s="322" t="s">
        <v>93</v>
      </c>
      <c r="O9" s="322"/>
      <c r="P9" s="324">
        <v>1</v>
      </c>
      <c r="Q9" s="169"/>
      <c r="R9" s="169"/>
      <c r="S9" s="169"/>
      <c r="T9" s="169"/>
      <c r="U9" s="169"/>
      <c r="V9" s="354">
        <v>74818490</v>
      </c>
      <c r="W9" s="545"/>
      <c r="X9" s="548"/>
      <c r="Y9" s="323">
        <v>0.35</v>
      </c>
      <c r="Z9" s="323">
        <v>1</v>
      </c>
      <c r="AA9" s="323">
        <v>0.35</v>
      </c>
      <c r="AB9" s="49" t="s">
        <v>1354</v>
      </c>
      <c r="AC9" s="169"/>
      <c r="AD9" s="169"/>
      <c r="AE9" s="169"/>
      <c r="AF9" s="169"/>
      <c r="AG9" s="323">
        <v>0.36</v>
      </c>
      <c r="AH9" s="322">
        <v>1</v>
      </c>
      <c r="AI9" s="323">
        <v>0.35</v>
      </c>
      <c r="AJ9" s="49" t="s">
        <v>1354</v>
      </c>
      <c r="AK9" s="169"/>
      <c r="AL9" s="169"/>
      <c r="AM9" s="169"/>
      <c r="AN9" s="169"/>
      <c r="AO9" s="323">
        <v>0.37</v>
      </c>
      <c r="AP9" s="322">
        <v>1</v>
      </c>
      <c r="AQ9" s="323">
        <v>0.37</v>
      </c>
      <c r="AR9" s="49" t="s">
        <v>1355</v>
      </c>
      <c r="AS9" s="169"/>
      <c r="AT9" s="169"/>
      <c r="AU9" s="169"/>
      <c r="AV9" s="169"/>
      <c r="AW9" s="323">
        <v>0.37</v>
      </c>
      <c r="AX9" s="322">
        <v>1</v>
      </c>
      <c r="AY9" s="323">
        <v>0.37</v>
      </c>
      <c r="AZ9" s="49" t="s">
        <v>1355</v>
      </c>
      <c r="BA9" s="169"/>
      <c r="BB9" s="169"/>
      <c r="BC9" s="169"/>
      <c r="BD9" s="169"/>
      <c r="BE9" s="323" t="s">
        <v>799</v>
      </c>
      <c r="BF9" s="323">
        <v>1</v>
      </c>
      <c r="BG9" s="323">
        <v>0.37</v>
      </c>
      <c r="BH9" s="49" t="s">
        <v>1343</v>
      </c>
      <c r="BI9" s="169"/>
      <c r="BJ9" s="169"/>
      <c r="BK9" s="169"/>
      <c r="BL9" s="169"/>
      <c r="BM9" s="323" t="s">
        <v>799</v>
      </c>
      <c r="BN9" s="323">
        <v>1</v>
      </c>
      <c r="BO9" s="323">
        <v>0.37</v>
      </c>
      <c r="BP9" s="49" t="s">
        <v>1343</v>
      </c>
      <c r="BQ9" s="169"/>
      <c r="BR9" s="169"/>
      <c r="BS9" s="169"/>
      <c r="BT9" s="169"/>
      <c r="BU9" s="323" t="s">
        <v>799</v>
      </c>
      <c r="BV9" s="323">
        <v>0.37</v>
      </c>
      <c r="BW9" s="323">
        <v>0.37</v>
      </c>
      <c r="BX9" s="49" t="s">
        <v>1355</v>
      </c>
      <c r="BY9" s="169"/>
      <c r="BZ9" s="169"/>
      <c r="CA9" s="169"/>
      <c r="CB9" s="169"/>
      <c r="CC9" s="323">
        <v>0.37</v>
      </c>
      <c r="CD9" s="323">
        <v>1</v>
      </c>
      <c r="CE9" s="323">
        <v>0.37</v>
      </c>
      <c r="CF9" s="49" t="s">
        <v>1355</v>
      </c>
      <c r="CG9" s="169"/>
      <c r="CH9" s="169"/>
      <c r="CI9" s="169"/>
      <c r="CJ9" s="169"/>
      <c r="CK9" s="323">
        <f>+CM9-CE9</f>
        <v>0.16000000000000003</v>
      </c>
      <c r="CL9" s="323">
        <v>1</v>
      </c>
      <c r="CM9" s="323">
        <v>0.53</v>
      </c>
      <c r="CN9" s="49" t="s">
        <v>1355</v>
      </c>
      <c r="CO9" s="169"/>
      <c r="CP9" s="169"/>
      <c r="CQ9" s="169"/>
      <c r="CR9" s="169"/>
      <c r="CS9" s="350"/>
      <c r="CT9" s="350"/>
      <c r="CU9" s="350"/>
      <c r="CV9" s="350"/>
      <c r="CW9" s="350"/>
      <c r="CX9" s="350"/>
      <c r="CY9" s="350"/>
      <c r="CZ9" s="350"/>
      <c r="DA9" s="350"/>
      <c r="DB9" s="350"/>
      <c r="DC9" s="350"/>
      <c r="DD9" s="350"/>
      <c r="DE9" s="350"/>
      <c r="DF9" s="350"/>
      <c r="DG9" s="350"/>
      <c r="DH9" s="350"/>
      <c r="DI9" s="350"/>
      <c r="DJ9" s="350"/>
      <c r="DK9" s="350"/>
      <c r="DL9" s="350"/>
      <c r="DM9" s="350"/>
      <c r="DN9" s="350"/>
      <c r="DO9" s="350"/>
      <c r="DP9" s="350"/>
      <c r="DQ9" s="350"/>
      <c r="DR9" s="350"/>
      <c r="DS9" s="350"/>
      <c r="DT9" s="350"/>
      <c r="DU9" s="350"/>
      <c r="DV9" s="350"/>
      <c r="DW9" s="350"/>
      <c r="DX9" s="350"/>
      <c r="DY9" s="350"/>
      <c r="DZ9" s="350"/>
      <c r="EA9" s="350"/>
      <c r="EB9" s="350"/>
      <c r="EC9" s="350"/>
      <c r="ED9" s="350"/>
      <c r="EE9" s="350"/>
      <c r="EF9" s="350"/>
      <c r="EG9" s="350"/>
      <c r="EH9" s="350"/>
      <c r="EI9" s="350"/>
      <c r="EJ9" s="350"/>
      <c r="EK9" s="350"/>
      <c r="EL9" s="350"/>
      <c r="EM9" s="350"/>
      <c r="EN9" s="350"/>
      <c r="EO9" s="350"/>
    </row>
    <row r="10" spans="1:145" s="352" customFormat="1" ht="39" customHeight="1" x14ac:dyDescent="0.25">
      <c r="A10" s="339"/>
      <c r="B10" s="339"/>
      <c r="C10" s="339"/>
      <c r="D10" s="339"/>
      <c r="E10" s="339"/>
      <c r="F10" s="339"/>
      <c r="G10" s="339"/>
      <c r="H10" s="339"/>
      <c r="I10" s="339"/>
      <c r="J10" s="339"/>
      <c r="K10" s="339"/>
      <c r="L10" s="339"/>
      <c r="M10" s="339"/>
      <c r="N10" s="339"/>
      <c r="O10" s="339"/>
      <c r="P10" s="339"/>
      <c r="Q10" s="339"/>
      <c r="R10" s="339"/>
      <c r="S10" s="339"/>
      <c r="T10" s="339"/>
      <c r="U10" s="339"/>
      <c r="V10" s="351"/>
      <c r="W10" s="351"/>
      <c r="X10" s="339"/>
      <c r="Y10" s="382" t="s">
        <v>102</v>
      </c>
      <c r="Z10" s="382"/>
      <c r="AA10" s="357">
        <f>+AVERAGE(AA7:AA9)</f>
        <v>0.78333333333333333</v>
      </c>
      <c r="AB10" s="339"/>
      <c r="AC10" s="339"/>
      <c r="AD10" s="339"/>
      <c r="AE10" s="339"/>
      <c r="AF10" s="339"/>
      <c r="AG10" s="382" t="s">
        <v>1053</v>
      </c>
      <c r="AH10" s="382"/>
      <c r="AI10" s="357">
        <f>+AVERAGE(AI7:AI9)</f>
        <v>0.78333333333333333</v>
      </c>
      <c r="AJ10" s="339"/>
      <c r="AK10" s="339"/>
      <c r="AL10" s="339"/>
      <c r="AM10" s="339"/>
      <c r="AN10" s="339"/>
      <c r="AO10" s="382" t="s">
        <v>1053</v>
      </c>
      <c r="AP10" s="382"/>
      <c r="AQ10" s="357">
        <f>+AVERAGE(AQ7:AQ9)</f>
        <v>0.79</v>
      </c>
      <c r="AR10" s="339"/>
      <c r="AS10" s="339"/>
      <c r="AT10" s="339"/>
      <c r="AU10" s="339"/>
      <c r="AV10" s="339"/>
      <c r="AW10" s="382" t="s">
        <v>1053</v>
      </c>
      <c r="AX10" s="382"/>
      <c r="AY10" s="357">
        <f>+AVERAGE(AY7:AY9)</f>
        <v>0.79</v>
      </c>
      <c r="AZ10" s="339"/>
      <c r="BA10" s="339"/>
      <c r="BB10" s="339"/>
      <c r="BC10" s="339"/>
      <c r="BD10" s="339"/>
      <c r="BE10" s="382" t="s">
        <v>1053</v>
      </c>
      <c r="BF10" s="382"/>
      <c r="BG10" s="357">
        <f>+AVERAGE(BG7:BG9)</f>
        <v>0.79</v>
      </c>
      <c r="BH10" s="339"/>
      <c r="BI10" s="339"/>
      <c r="BJ10" s="339"/>
      <c r="BK10" s="339"/>
      <c r="BL10" s="339"/>
      <c r="BM10" s="382" t="s">
        <v>1053</v>
      </c>
      <c r="BN10" s="382"/>
      <c r="BO10" s="357">
        <f>+AVERAGE(BO7:BO9)</f>
        <v>0.79</v>
      </c>
      <c r="BP10" s="339"/>
      <c r="BQ10" s="339"/>
      <c r="BR10" s="339"/>
      <c r="BS10" s="339"/>
      <c r="BT10" s="339"/>
      <c r="BU10" s="382" t="s">
        <v>1053</v>
      </c>
      <c r="BV10" s="382"/>
      <c r="BW10" s="357">
        <f>+AVERAGE(BW7:BW9)</f>
        <v>0.79</v>
      </c>
      <c r="BX10" s="339"/>
      <c r="BY10" s="339"/>
      <c r="BZ10" s="339"/>
      <c r="CA10" s="339"/>
      <c r="CB10" s="339"/>
      <c r="CC10" s="382" t="s">
        <v>1053</v>
      </c>
      <c r="CD10" s="382"/>
      <c r="CE10" s="357">
        <f>+AVERAGE(CE7:CE9)</f>
        <v>0.79</v>
      </c>
      <c r="CF10" s="339"/>
      <c r="CG10" s="339"/>
      <c r="CH10" s="339"/>
      <c r="CI10" s="339"/>
      <c r="CJ10" s="339"/>
      <c r="CK10" s="382" t="s">
        <v>1053</v>
      </c>
      <c r="CL10" s="382"/>
      <c r="CM10" s="357">
        <f>+AVERAGE(CM7:CM9)</f>
        <v>0.84333333333333338</v>
      </c>
      <c r="CN10" s="339"/>
      <c r="CO10" s="339"/>
      <c r="CP10" s="339"/>
      <c r="CQ10" s="339"/>
      <c r="CR10" s="339"/>
      <c r="CS10" s="339"/>
      <c r="CT10" s="339"/>
      <c r="CU10" s="339"/>
      <c r="CV10" s="339"/>
      <c r="CW10" s="339"/>
      <c r="CX10" s="339"/>
      <c r="CY10" s="339"/>
      <c r="CZ10" s="339"/>
      <c r="DA10" s="339"/>
      <c r="DB10" s="339"/>
      <c r="DC10" s="339"/>
      <c r="DD10" s="339"/>
      <c r="DE10" s="339"/>
      <c r="DF10" s="339"/>
      <c r="DG10" s="339"/>
      <c r="DH10" s="339"/>
      <c r="DI10" s="339"/>
      <c r="DJ10" s="339"/>
      <c r="DK10" s="339"/>
      <c r="DL10" s="339"/>
      <c r="DM10" s="339"/>
      <c r="DN10" s="339"/>
      <c r="DO10" s="339"/>
      <c r="DP10" s="339"/>
      <c r="DQ10" s="339"/>
      <c r="DR10" s="339"/>
      <c r="DS10" s="339"/>
      <c r="DT10" s="339"/>
      <c r="DU10" s="339"/>
      <c r="DV10" s="339"/>
      <c r="DW10" s="339"/>
      <c r="DX10" s="339"/>
      <c r="DY10" s="339"/>
      <c r="DZ10" s="339"/>
      <c r="EA10" s="339"/>
      <c r="EB10" s="339"/>
      <c r="EC10" s="339"/>
      <c r="ED10" s="339"/>
      <c r="EE10" s="339"/>
      <c r="EF10" s="339"/>
      <c r="EG10" s="339"/>
      <c r="EH10" s="339"/>
      <c r="EI10" s="339"/>
      <c r="EJ10" s="339"/>
      <c r="EK10" s="339"/>
      <c r="EL10" s="339"/>
      <c r="EM10" s="339"/>
      <c r="EN10" s="339"/>
      <c r="EO10" s="339"/>
    </row>
    <row r="11" spans="1:145" x14ac:dyDescent="0.25">
      <c r="A11" s="348"/>
      <c r="B11" s="348"/>
      <c r="C11" s="348"/>
      <c r="D11" s="348"/>
      <c r="E11" s="348"/>
      <c r="F11" s="348"/>
      <c r="G11" s="348"/>
      <c r="H11" s="348"/>
      <c r="I11" s="348"/>
      <c r="J11" s="348"/>
      <c r="K11" s="348"/>
      <c r="L11" s="348"/>
      <c r="M11" s="348"/>
      <c r="N11" s="348"/>
      <c r="O11" s="348"/>
      <c r="P11" s="348"/>
      <c r="Q11" s="348"/>
      <c r="R11" s="348"/>
      <c r="S11" s="348"/>
      <c r="T11" s="348"/>
      <c r="U11" s="348"/>
      <c r="V11" s="353"/>
      <c r="W11" s="353"/>
      <c r="X11" s="348"/>
      <c r="Y11" s="348"/>
      <c r="Z11" s="348"/>
      <c r="AA11" s="348"/>
      <c r="AB11" s="348"/>
      <c r="AC11" s="348"/>
      <c r="AD11" s="348"/>
      <c r="AE11" s="348"/>
      <c r="AF11" s="348"/>
      <c r="AG11" s="348"/>
      <c r="AH11" s="348"/>
      <c r="AI11" s="348"/>
      <c r="AJ11" s="348"/>
      <c r="AK11" s="348"/>
      <c r="AL11" s="348"/>
      <c r="AM11" s="348"/>
      <c r="AN11" s="348"/>
      <c r="AO11" s="348"/>
      <c r="AP11" s="348"/>
      <c r="AQ11" s="348"/>
      <c r="AR11" s="348"/>
      <c r="AS11" s="348"/>
      <c r="AT11" s="348"/>
      <c r="AU11" s="348"/>
      <c r="AV11" s="348"/>
      <c r="AW11" s="348"/>
      <c r="AX11" s="348"/>
      <c r="AY11" s="348"/>
      <c r="AZ11" s="348"/>
      <c r="BA11" s="348"/>
      <c r="BB11" s="348"/>
      <c r="BC11" s="348"/>
      <c r="BD11" s="348"/>
      <c r="BE11" s="348"/>
      <c r="BF11" s="348"/>
      <c r="BG11" s="348"/>
      <c r="BH11" s="348"/>
      <c r="BI11" s="348"/>
      <c r="BJ11" s="348"/>
      <c r="BK11" s="348"/>
      <c r="BL11" s="348"/>
      <c r="BM11" s="348"/>
      <c r="BN11" s="348"/>
      <c r="BO11" s="348"/>
      <c r="BP11" s="348"/>
      <c r="BQ11" s="348"/>
      <c r="BR11" s="348"/>
      <c r="BS11" s="348"/>
      <c r="BT11" s="348"/>
      <c r="BU11" s="348"/>
      <c r="BV11" s="348"/>
      <c r="BW11" s="348"/>
      <c r="BX11" s="348"/>
      <c r="BY11" s="348"/>
      <c r="BZ11" s="348"/>
      <c r="CA11" s="348"/>
      <c r="CB11" s="348"/>
      <c r="CC11" s="348"/>
      <c r="CD11" s="348"/>
      <c r="CE11" s="348"/>
      <c r="CF11" s="348"/>
      <c r="CG11" s="348"/>
      <c r="CH11" s="348"/>
      <c r="CI11" s="348"/>
      <c r="CJ11" s="348"/>
      <c r="CK11" s="348"/>
      <c r="CL11" s="348"/>
      <c r="CM11" s="348"/>
      <c r="CN11" s="348"/>
      <c r="CO11" s="348"/>
      <c r="CP11" s="348"/>
      <c r="CQ11" s="348"/>
      <c r="CR11" s="348"/>
    </row>
    <row r="12" spans="1:145" x14ac:dyDescent="0.25">
      <c r="A12" s="348"/>
      <c r="B12" s="348"/>
      <c r="C12" s="348"/>
      <c r="D12" s="348"/>
      <c r="E12" s="348"/>
      <c r="F12" s="348"/>
      <c r="G12" s="348"/>
      <c r="H12" s="348"/>
      <c r="I12" s="348"/>
      <c r="J12" s="348"/>
      <c r="K12" s="348"/>
      <c r="L12" s="348"/>
      <c r="M12" s="348"/>
      <c r="N12" s="348"/>
      <c r="O12" s="348"/>
      <c r="P12" s="348"/>
      <c r="Q12" s="348"/>
      <c r="R12" s="348"/>
      <c r="S12" s="348"/>
      <c r="T12" s="348"/>
      <c r="U12" s="348"/>
      <c r="V12" s="353"/>
      <c r="W12" s="353"/>
      <c r="X12" s="348"/>
      <c r="Y12" s="348"/>
      <c r="Z12" s="348"/>
      <c r="AA12" s="348"/>
      <c r="AB12" s="348"/>
      <c r="AC12" s="348"/>
      <c r="AD12" s="348"/>
      <c r="AE12" s="348"/>
      <c r="AF12" s="348"/>
      <c r="AG12" s="348"/>
      <c r="AH12" s="348"/>
      <c r="AI12" s="348"/>
      <c r="AJ12" s="348"/>
      <c r="AK12" s="348"/>
      <c r="AL12" s="348"/>
      <c r="AM12" s="348"/>
      <c r="AN12" s="348"/>
      <c r="AO12" s="348"/>
      <c r="AP12" s="348"/>
      <c r="AQ12" s="348"/>
      <c r="AR12" s="348"/>
      <c r="AS12" s="348"/>
      <c r="AT12" s="348"/>
      <c r="AU12" s="348"/>
      <c r="AV12" s="348"/>
      <c r="AW12" s="348"/>
      <c r="AX12" s="348"/>
      <c r="AY12" s="348"/>
      <c r="AZ12" s="348"/>
      <c r="BA12" s="348"/>
      <c r="BB12" s="348"/>
      <c r="BC12" s="348"/>
      <c r="BD12" s="348"/>
      <c r="BE12" s="348"/>
      <c r="BF12" s="348"/>
      <c r="BG12" s="348"/>
      <c r="BH12" s="348"/>
      <c r="BI12" s="348"/>
      <c r="BJ12" s="348"/>
      <c r="BK12" s="348"/>
      <c r="BL12" s="348"/>
      <c r="BM12" s="348"/>
      <c r="BN12" s="348"/>
      <c r="BO12" s="348"/>
      <c r="BP12" s="348"/>
      <c r="BQ12" s="348"/>
      <c r="BR12" s="348"/>
      <c r="BS12" s="348"/>
      <c r="BT12" s="348"/>
      <c r="BU12" s="348"/>
      <c r="BV12" s="348"/>
      <c r="BW12" s="348"/>
      <c r="BX12" s="348"/>
      <c r="BY12" s="348"/>
      <c r="BZ12" s="348"/>
      <c r="CA12" s="348"/>
      <c r="CB12" s="348"/>
      <c r="CC12" s="348"/>
      <c r="CD12" s="348"/>
      <c r="CE12" s="348"/>
      <c r="CF12" s="348"/>
      <c r="CG12" s="348"/>
      <c r="CH12" s="348"/>
      <c r="CI12" s="348"/>
      <c r="CJ12" s="348"/>
      <c r="CK12" s="348"/>
      <c r="CL12" s="348"/>
      <c r="CM12" s="348"/>
      <c r="CN12" s="348"/>
      <c r="CO12" s="348"/>
      <c r="CP12" s="348"/>
      <c r="CQ12" s="348"/>
      <c r="CR12" s="348"/>
    </row>
    <row r="13" spans="1:145" x14ac:dyDescent="0.25">
      <c r="A13" s="348"/>
      <c r="B13" s="348"/>
      <c r="C13" s="348"/>
      <c r="D13" s="348"/>
      <c r="E13" s="348"/>
      <c r="F13" s="348"/>
      <c r="G13" s="348"/>
      <c r="H13" s="348"/>
      <c r="I13" s="348"/>
      <c r="J13" s="348"/>
      <c r="K13" s="348"/>
      <c r="L13" s="348"/>
      <c r="M13" s="348"/>
      <c r="N13" s="348"/>
      <c r="O13" s="348"/>
      <c r="P13" s="348"/>
      <c r="Q13" s="348"/>
      <c r="R13" s="348"/>
      <c r="S13" s="348"/>
      <c r="T13" s="348"/>
      <c r="U13" s="348"/>
      <c r="V13" s="353"/>
      <c r="W13" s="353"/>
      <c r="X13" s="348"/>
      <c r="Y13" s="348"/>
      <c r="Z13" s="348"/>
      <c r="AA13" s="348"/>
      <c r="AB13" s="348"/>
      <c r="AC13" s="348"/>
      <c r="AD13" s="348"/>
      <c r="AE13" s="348"/>
      <c r="AF13" s="348"/>
      <c r="AG13" s="348"/>
      <c r="AH13" s="348"/>
      <c r="AI13" s="348"/>
      <c r="AJ13" s="348"/>
      <c r="AK13" s="348"/>
      <c r="AL13" s="348"/>
      <c r="AM13" s="348"/>
      <c r="AN13" s="348"/>
      <c r="AO13" s="348"/>
      <c r="AP13" s="348"/>
      <c r="AQ13" s="348"/>
      <c r="AR13" s="348"/>
      <c r="AS13" s="348"/>
      <c r="AT13" s="348"/>
      <c r="AU13" s="348"/>
      <c r="AV13" s="348"/>
      <c r="AW13" s="348"/>
      <c r="AX13" s="348"/>
      <c r="AY13" s="348"/>
      <c r="AZ13" s="348"/>
      <c r="BA13" s="348"/>
      <c r="BB13" s="348"/>
      <c r="BC13" s="348"/>
      <c r="BD13" s="348"/>
      <c r="BE13" s="348"/>
      <c r="BF13" s="348"/>
      <c r="BG13" s="348"/>
      <c r="BH13" s="348"/>
      <c r="BI13" s="348"/>
      <c r="BJ13" s="348"/>
      <c r="BK13" s="348"/>
      <c r="BL13" s="348"/>
      <c r="BM13" s="348"/>
      <c r="BN13" s="348"/>
      <c r="BO13" s="348"/>
      <c r="BP13" s="348"/>
      <c r="BQ13" s="348"/>
      <c r="BR13" s="348"/>
      <c r="BS13" s="348"/>
      <c r="BT13" s="348"/>
      <c r="BU13" s="348"/>
      <c r="BV13" s="348"/>
      <c r="BW13" s="348"/>
      <c r="BX13" s="348"/>
      <c r="BY13" s="348"/>
      <c r="BZ13" s="348"/>
      <c r="CA13" s="348"/>
      <c r="CB13" s="348"/>
      <c r="CC13" s="348"/>
      <c r="CD13" s="348"/>
      <c r="CE13" s="348"/>
      <c r="CF13" s="348"/>
      <c r="CG13" s="348"/>
      <c r="CH13" s="348"/>
      <c r="CI13" s="348"/>
      <c r="CJ13" s="348"/>
      <c r="CK13" s="348"/>
      <c r="CL13" s="348"/>
      <c r="CM13" s="348"/>
      <c r="CN13" s="348"/>
      <c r="CO13" s="348"/>
      <c r="CP13" s="348"/>
      <c r="CQ13" s="348"/>
      <c r="CR13" s="348"/>
    </row>
    <row r="14" spans="1:145" x14ac:dyDescent="0.25">
      <c r="A14" s="348"/>
      <c r="B14" s="348"/>
      <c r="C14" s="348"/>
      <c r="D14" s="348"/>
      <c r="E14" s="348"/>
      <c r="F14" s="348"/>
      <c r="G14" s="348"/>
      <c r="H14" s="348"/>
      <c r="I14" s="348"/>
      <c r="J14" s="348"/>
      <c r="K14" s="348"/>
      <c r="L14" s="348"/>
      <c r="M14" s="348"/>
      <c r="N14" s="348"/>
      <c r="O14" s="348"/>
      <c r="P14" s="348"/>
      <c r="Q14" s="348"/>
      <c r="R14" s="348"/>
      <c r="S14" s="348"/>
      <c r="T14" s="348"/>
      <c r="U14" s="348"/>
      <c r="V14" s="353"/>
      <c r="W14" s="353"/>
      <c r="X14" s="348"/>
      <c r="Y14" s="348"/>
      <c r="Z14" s="348"/>
      <c r="AA14" s="348"/>
      <c r="AB14" s="348"/>
      <c r="AC14" s="348"/>
      <c r="AD14" s="348"/>
      <c r="AE14" s="348"/>
      <c r="AF14" s="348"/>
      <c r="AG14" s="348"/>
      <c r="AH14" s="348"/>
      <c r="AI14" s="348"/>
      <c r="AJ14" s="348"/>
      <c r="AK14" s="348"/>
      <c r="AL14" s="348"/>
      <c r="AM14" s="348"/>
      <c r="AN14" s="348"/>
      <c r="AO14" s="348"/>
      <c r="AP14" s="348"/>
      <c r="AQ14" s="348"/>
      <c r="AR14" s="348"/>
      <c r="AS14" s="348"/>
      <c r="AT14" s="348"/>
      <c r="AU14" s="348"/>
      <c r="AV14" s="348"/>
      <c r="AW14" s="348"/>
      <c r="AX14" s="348"/>
      <c r="AY14" s="348"/>
      <c r="AZ14" s="348"/>
      <c r="BA14" s="348"/>
      <c r="BB14" s="348"/>
      <c r="BC14" s="348"/>
      <c r="BD14" s="348"/>
      <c r="BE14" s="348"/>
      <c r="BF14" s="348"/>
      <c r="BG14" s="348"/>
      <c r="BH14" s="348"/>
      <c r="BI14" s="348"/>
      <c r="BJ14" s="348"/>
      <c r="BK14" s="348"/>
      <c r="BL14" s="348"/>
      <c r="BM14" s="348"/>
      <c r="BN14" s="348"/>
      <c r="BO14" s="348"/>
      <c r="BP14" s="348"/>
      <c r="BQ14" s="348"/>
      <c r="BR14" s="348"/>
      <c r="BS14" s="348"/>
      <c r="BT14" s="348"/>
      <c r="BU14" s="348"/>
      <c r="BV14" s="348"/>
      <c r="BW14" s="348"/>
      <c r="BX14" s="348"/>
      <c r="BY14" s="348"/>
      <c r="BZ14" s="348"/>
      <c r="CA14" s="348"/>
      <c r="CB14" s="348"/>
      <c r="CC14" s="348"/>
      <c r="CD14" s="348"/>
      <c r="CE14" s="348"/>
      <c r="CF14" s="348"/>
      <c r="CG14" s="348"/>
      <c r="CH14" s="348"/>
      <c r="CI14" s="348"/>
      <c r="CJ14" s="348"/>
      <c r="CK14" s="348"/>
      <c r="CL14" s="348"/>
      <c r="CM14" s="348"/>
      <c r="CN14" s="348"/>
      <c r="CO14" s="348"/>
      <c r="CP14" s="348"/>
      <c r="CQ14" s="348"/>
      <c r="CR14" s="348"/>
    </row>
    <row r="15" spans="1:145" x14ac:dyDescent="0.25">
      <c r="A15" s="348"/>
      <c r="B15" s="348"/>
      <c r="C15" s="348"/>
      <c r="D15" s="348"/>
      <c r="E15" s="348"/>
      <c r="F15" s="348"/>
      <c r="G15" s="348"/>
      <c r="H15" s="348"/>
      <c r="I15" s="348"/>
      <c r="J15" s="348"/>
      <c r="K15" s="348"/>
      <c r="L15" s="348"/>
      <c r="M15" s="348"/>
      <c r="N15" s="348"/>
      <c r="O15" s="348"/>
      <c r="P15" s="348"/>
      <c r="Q15" s="348"/>
      <c r="R15" s="348"/>
      <c r="S15" s="348"/>
      <c r="T15" s="348"/>
      <c r="U15" s="348"/>
      <c r="V15" s="353"/>
      <c r="W15" s="353"/>
      <c r="X15" s="348"/>
      <c r="Y15" s="348"/>
      <c r="Z15" s="348"/>
      <c r="AA15" s="348"/>
      <c r="AB15" s="348"/>
      <c r="AC15" s="348"/>
      <c r="AD15" s="348"/>
      <c r="AE15" s="348"/>
      <c r="AF15" s="348"/>
      <c r="AG15" s="348"/>
      <c r="AH15" s="348"/>
      <c r="AI15" s="348"/>
      <c r="AJ15" s="348"/>
      <c r="AK15" s="348"/>
      <c r="AL15" s="348"/>
      <c r="AM15" s="348"/>
      <c r="AN15" s="348"/>
      <c r="AO15" s="348"/>
      <c r="AP15" s="348"/>
      <c r="AQ15" s="348"/>
      <c r="AR15" s="348"/>
      <c r="AS15" s="348"/>
      <c r="AT15" s="348"/>
      <c r="AU15" s="348"/>
      <c r="AV15" s="348"/>
      <c r="AW15" s="348"/>
      <c r="AX15" s="348"/>
      <c r="AY15" s="348"/>
      <c r="AZ15" s="348"/>
      <c r="BA15" s="348"/>
      <c r="BB15" s="348"/>
      <c r="BC15" s="348"/>
      <c r="BD15" s="348"/>
      <c r="BE15" s="348"/>
      <c r="BF15" s="348"/>
      <c r="BG15" s="348"/>
      <c r="BH15" s="348"/>
      <c r="BI15" s="348"/>
      <c r="BJ15" s="348"/>
      <c r="BK15" s="348"/>
      <c r="BL15" s="348"/>
      <c r="BM15" s="348"/>
      <c r="BN15" s="348"/>
      <c r="BO15" s="348"/>
      <c r="BP15" s="348"/>
      <c r="BQ15" s="348"/>
      <c r="BR15" s="348"/>
      <c r="BS15" s="348"/>
      <c r="BT15" s="348"/>
      <c r="BU15" s="348"/>
      <c r="BV15" s="348"/>
      <c r="BW15" s="348"/>
      <c r="BX15" s="348"/>
      <c r="BY15" s="348"/>
      <c r="BZ15" s="348"/>
      <c r="CA15" s="348"/>
      <c r="CB15" s="348"/>
      <c r="CC15" s="348"/>
      <c r="CD15" s="348"/>
      <c r="CE15" s="348"/>
      <c r="CF15" s="348"/>
      <c r="CG15" s="348"/>
      <c r="CH15" s="348"/>
      <c r="CI15" s="348"/>
      <c r="CJ15" s="348"/>
      <c r="CK15" s="348"/>
      <c r="CL15" s="348"/>
      <c r="CM15" s="348"/>
      <c r="CN15" s="348"/>
      <c r="CO15" s="348"/>
      <c r="CP15" s="348"/>
      <c r="CQ15" s="348"/>
      <c r="CR15" s="348"/>
    </row>
    <row r="16" spans="1:145" x14ac:dyDescent="0.25">
      <c r="A16" s="348"/>
      <c r="B16" s="348"/>
      <c r="C16" s="348"/>
      <c r="D16" s="348"/>
      <c r="E16" s="348"/>
      <c r="F16" s="348"/>
      <c r="G16" s="348"/>
      <c r="H16" s="348"/>
      <c r="I16" s="348"/>
      <c r="J16" s="348"/>
      <c r="K16" s="348"/>
      <c r="L16" s="348"/>
      <c r="M16" s="348"/>
      <c r="N16" s="348"/>
      <c r="O16" s="348"/>
      <c r="P16" s="348"/>
      <c r="Q16" s="348"/>
      <c r="R16" s="348"/>
      <c r="S16" s="348"/>
      <c r="T16" s="348"/>
      <c r="U16" s="348"/>
      <c r="V16" s="353"/>
      <c r="W16" s="353"/>
      <c r="X16" s="348"/>
      <c r="Y16" s="348"/>
      <c r="Z16" s="348"/>
      <c r="AA16" s="348"/>
      <c r="AB16" s="348"/>
      <c r="AC16" s="348"/>
      <c r="AD16" s="348"/>
      <c r="AE16" s="348"/>
      <c r="AF16" s="348"/>
      <c r="AG16" s="348"/>
      <c r="AH16" s="348"/>
      <c r="AI16" s="348"/>
      <c r="AJ16" s="348"/>
      <c r="AK16" s="348"/>
      <c r="AL16" s="348"/>
      <c r="AM16" s="348"/>
      <c r="AN16" s="348"/>
      <c r="AO16" s="348"/>
      <c r="AP16" s="348"/>
      <c r="AQ16" s="348"/>
      <c r="AR16" s="348"/>
      <c r="AS16" s="348"/>
      <c r="AT16" s="348"/>
      <c r="AU16" s="348"/>
      <c r="AV16" s="348"/>
      <c r="AW16" s="348"/>
      <c r="AX16" s="348"/>
      <c r="AY16" s="348"/>
      <c r="AZ16" s="348"/>
      <c r="BA16" s="348"/>
      <c r="BB16" s="348"/>
      <c r="BC16" s="348"/>
      <c r="BD16" s="348"/>
      <c r="BE16" s="348"/>
      <c r="BF16" s="348"/>
      <c r="BG16" s="348"/>
      <c r="BH16" s="348"/>
      <c r="BI16" s="348"/>
      <c r="BJ16" s="348"/>
      <c r="BK16" s="348"/>
      <c r="BL16" s="348"/>
      <c r="BM16" s="348"/>
      <c r="BN16" s="348"/>
      <c r="BO16" s="348"/>
      <c r="BP16" s="348"/>
      <c r="BQ16" s="348"/>
      <c r="BR16" s="348"/>
      <c r="BS16" s="348"/>
      <c r="BT16" s="348"/>
      <c r="BU16" s="348"/>
      <c r="BV16" s="348"/>
      <c r="BW16" s="348"/>
      <c r="BX16" s="348"/>
      <c r="BY16" s="348"/>
      <c r="BZ16" s="348"/>
      <c r="CA16" s="348"/>
      <c r="CB16" s="348"/>
      <c r="CC16" s="348"/>
      <c r="CD16" s="348"/>
      <c r="CE16" s="348"/>
      <c r="CF16" s="348"/>
      <c r="CG16" s="348"/>
      <c r="CH16" s="348"/>
      <c r="CI16" s="348"/>
      <c r="CJ16" s="348"/>
      <c r="CK16" s="348"/>
      <c r="CL16" s="348"/>
      <c r="CM16" s="348"/>
      <c r="CN16" s="348"/>
      <c r="CO16" s="348"/>
      <c r="CP16" s="348"/>
      <c r="CQ16" s="348"/>
      <c r="CR16" s="348"/>
    </row>
    <row r="17" spans="1:96" x14ac:dyDescent="0.25">
      <c r="A17" s="348"/>
      <c r="B17" s="348"/>
      <c r="C17" s="348"/>
      <c r="D17" s="348"/>
      <c r="E17" s="348"/>
      <c r="F17" s="348"/>
      <c r="G17" s="348"/>
      <c r="H17" s="348"/>
      <c r="I17" s="348"/>
      <c r="J17" s="348"/>
      <c r="K17" s="348"/>
      <c r="L17" s="348"/>
      <c r="M17" s="348"/>
      <c r="N17" s="348"/>
      <c r="O17" s="348"/>
      <c r="P17" s="348"/>
      <c r="Q17" s="348"/>
      <c r="R17" s="348"/>
      <c r="S17" s="348"/>
      <c r="T17" s="348"/>
      <c r="U17" s="348"/>
      <c r="V17" s="353"/>
      <c r="W17" s="353"/>
      <c r="X17" s="348"/>
      <c r="Y17" s="348"/>
      <c r="Z17" s="348"/>
      <c r="AA17" s="348"/>
      <c r="AB17" s="348"/>
      <c r="AC17" s="348"/>
      <c r="AD17" s="348"/>
      <c r="AE17" s="348"/>
      <c r="AF17" s="348"/>
      <c r="AG17" s="348"/>
      <c r="AH17" s="348"/>
      <c r="AI17" s="348"/>
      <c r="AJ17" s="348"/>
      <c r="AK17" s="348"/>
      <c r="AL17" s="348"/>
      <c r="AM17" s="348"/>
      <c r="AN17" s="348"/>
      <c r="AO17" s="348"/>
      <c r="AP17" s="348"/>
      <c r="AQ17" s="348"/>
      <c r="AR17" s="348"/>
      <c r="AS17" s="348"/>
      <c r="AT17" s="348"/>
      <c r="AU17" s="348"/>
      <c r="AV17" s="348"/>
      <c r="AW17" s="348"/>
      <c r="AX17" s="348"/>
      <c r="AY17" s="348"/>
      <c r="AZ17" s="348"/>
      <c r="BA17" s="348"/>
      <c r="BB17" s="348"/>
      <c r="BC17" s="348"/>
      <c r="BD17" s="348"/>
      <c r="BE17" s="348"/>
      <c r="BF17" s="348"/>
      <c r="BG17" s="348"/>
      <c r="BH17" s="348"/>
      <c r="BI17" s="348"/>
      <c r="BJ17" s="348"/>
      <c r="BK17" s="348"/>
      <c r="BL17" s="348"/>
      <c r="BM17" s="348"/>
      <c r="BN17" s="348"/>
      <c r="BO17" s="348"/>
      <c r="BP17" s="348"/>
      <c r="BQ17" s="348"/>
      <c r="BR17" s="348"/>
      <c r="BS17" s="348"/>
      <c r="BT17" s="348"/>
      <c r="BU17" s="348"/>
      <c r="BV17" s="348"/>
      <c r="BW17" s="348"/>
      <c r="BX17" s="348"/>
      <c r="BY17" s="348"/>
      <c r="BZ17" s="348"/>
      <c r="CA17" s="348"/>
      <c r="CB17" s="348"/>
      <c r="CC17" s="348"/>
      <c r="CD17" s="348"/>
      <c r="CE17" s="348"/>
      <c r="CF17" s="348"/>
      <c r="CG17" s="348"/>
      <c r="CH17" s="348"/>
      <c r="CI17" s="348"/>
      <c r="CJ17" s="348"/>
      <c r="CK17" s="348"/>
      <c r="CL17" s="348"/>
      <c r="CM17" s="348"/>
      <c r="CN17" s="348"/>
      <c r="CO17" s="348"/>
      <c r="CP17" s="348"/>
      <c r="CQ17" s="348"/>
      <c r="CR17" s="348"/>
    </row>
    <row r="18" spans="1:96" x14ac:dyDescent="0.25">
      <c r="A18" s="348"/>
      <c r="B18" s="348"/>
      <c r="C18" s="348"/>
      <c r="D18" s="348"/>
      <c r="E18" s="348"/>
      <c r="F18" s="348"/>
      <c r="G18" s="348"/>
      <c r="H18" s="348"/>
      <c r="I18" s="348"/>
      <c r="J18" s="348"/>
      <c r="K18" s="348"/>
      <c r="L18" s="348"/>
      <c r="M18" s="348"/>
      <c r="N18" s="348"/>
      <c r="O18" s="348"/>
      <c r="P18" s="348"/>
      <c r="Q18" s="348"/>
      <c r="R18" s="348"/>
      <c r="S18" s="348"/>
      <c r="T18" s="348"/>
      <c r="U18" s="348"/>
      <c r="V18" s="353"/>
      <c r="W18" s="353"/>
      <c r="X18" s="348"/>
      <c r="Y18" s="348"/>
      <c r="Z18" s="348"/>
      <c r="AA18" s="348"/>
      <c r="AB18" s="348"/>
      <c r="AC18" s="348"/>
      <c r="AD18" s="348"/>
      <c r="AE18" s="348"/>
      <c r="AF18" s="348"/>
      <c r="AG18" s="348"/>
      <c r="AH18" s="348"/>
      <c r="AI18" s="348"/>
      <c r="AJ18" s="348"/>
      <c r="AK18" s="348"/>
      <c r="AL18" s="348"/>
      <c r="AM18" s="348"/>
      <c r="AN18" s="348"/>
      <c r="AO18" s="348"/>
      <c r="AP18" s="348"/>
      <c r="AQ18" s="348"/>
      <c r="AR18" s="348"/>
      <c r="AS18" s="348"/>
      <c r="AT18" s="348"/>
      <c r="AU18" s="348"/>
      <c r="AV18" s="348"/>
      <c r="AW18" s="348"/>
      <c r="AX18" s="348"/>
      <c r="AY18" s="348"/>
      <c r="AZ18" s="348"/>
      <c r="BA18" s="348"/>
      <c r="BB18" s="348"/>
      <c r="BC18" s="348"/>
      <c r="BD18" s="348"/>
      <c r="BE18" s="348"/>
      <c r="BF18" s="348"/>
      <c r="BG18" s="348"/>
      <c r="BH18" s="348"/>
      <c r="BI18" s="348"/>
      <c r="BJ18" s="348"/>
      <c r="BK18" s="348"/>
      <c r="BL18" s="348"/>
      <c r="BM18" s="348"/>
      <c r="BN18" s="348"/>
      <c r="BO18" s="348"/>
      <c r="BP18" s="348"/>
      <c r="BQ18" s="348"/>
      <c r="BR18" s="348"/>
      <c r="BS18" s="348"/>
      <c r="BT18" s="348"/>
      <c r="BU18" s="348"/>
      <c r="BV18" s="348"/>
      <c r="BW18" s="348"/>
      <c r="BX18" s="348"/>
      <c r="BY18" s="348"/>
      <c r="BZ18" s="348"/>
      <c r="CA18" s="348"/>
      <c r="CB18" s="348"/>
      <c r="CC18" s="348"/>
      <c r="CD18" s="348"/>
      <c r="CE18" s="348"/>
      <c r="CF18" s="348"/>
      <c r="CG18" s="348"/>
      <c r="CH18" s="348"/>
      <c r="CI18" s="348"/>
      <c r="CJ18" s="348"/>
      <c r="CK18" s="348"/>
      <c r="CL18" s="348"/>
      <c r="CM18" s="348"/>
      <c r="CN18" s="348"/>
      <c r="CO18" s="348"/>
      <c r="CP18" s="348"/>
      <c r="CQ18" s="348"/>
      <c r="CR18" s="348"/>
    </row>
    <row r="19" spans="1:96" x14ac:dyDescent="0.25">
      <c r="A19" s="348"/>
      <c r="B19" s="348"/>
      <c r="C19" s="348"/>
      <c r="D19" s="348"/>
      <c r="E19" s="348"/>
      <c r="F19" s="348"/>
      <c r="G19" s="348"/>
      <c r="H19" s="348"/>
      <c r="I19" s="348"/>
      <c r="J19" s="348"/>
      <c r="K19" s="348"/>
      <c r="L19" s="348"/>
      <c r="M19" s="348"/>
      <c r="N19" s="348"/>
      <c r="O19" s="348"/>
      <c r="P19" s="348"/>
      <c r="Q19" s="348"/>
      <c r="R19" s="348"/>
      <c r="S19" s="348"/>
      <c r="T19" s="348"/>
      <c r="U19" s="348"/>
      <c r="V19" s="353"/>
      <c r="W19" s="353"/>
      <c r="X19" s="348"/>
      <c r="Y19" s="348"/>
      <c r="Z19" s="348"/>
      <c r="AA19" s="348"/>
      <c r="AB19" s="348"/>
      <c r="AC19" s="348"/>
      <c r="AD19" s="348"/>
      <c r="AE19" s="348"/>
      <c r="AF19" s="348"/>
      <c r="AG19" s="348"/>
      <c r="AH19" s="348"/>
      <c r="AI19" s="348"/>
      <c r="AJ19" s="348"/>
      <c r="AK19" s="348"/>
      <c r="AL19" s="348"/>
      <c r="AM19" s="348"/>
      <c r="AN19" s="348"/>
      <c r="AO19" s="348"/>
      <c r="AP19" s="348"/>
      <c r="AQ19" s="348"/>
      <c r="AR19" s="348"/>
      <c r="AS19" s="348"/>
      <c r="AT19" s="348"/>
      <c r="AU19" s="348"/>
      <c r="AV19" s="348"/>
      <c r="AW19" s="348"/>
      <c r="AX19" s="348"/>
      <c r="AY19" s="348"/>
      <c r="AZ19" s="348"/>
      <c r="BA19" s="348"/>
      <c r="BB19" s="348"/>
      <c r="BC19" s="348"/>
      <c r="BD19" s="348"/>
      <c r="BE19" s="348"/>
      <c r="BF19" s="348"/>
      <c r="BG19" s="348"/>
      <c r="BH19" s="348"/>
      <c r="BI19" s="348"/>
      <c r="BJ19" s="348"/>
      <c r="BK19" s="348"/>
      <c r="BL19" s="348"/>
      <c r="BM19" s="348"/>
      <c r="BN19" s="348"/>
      <c r="BO19" s="348"/>
      <c r="BP19" s="348"/>
      <c r="BQ19" s="348"/>
      <c r="BR19" s="348"/>
      <c r="BS19" s="348"/>
      <c r="BT19" s="348"/>
      <c r="BU19" s="348"/>
      <c r="BV19" s="348"/>
      <c r="BW19" s="348"/>
      <c r="BX19" s="348"/>
      <c r="BY19" s="348"/>
      <c r="BZ19" s="348"/>
      <c r="CA19" s="348"/>
      <c r="CB19" s="348"/>
      <c r="CC19" s="348"/>
      <c r="CD19" s="348"/>
      <c r="CE19" s="348"/>
      <c r="CF19" s="348"/>
      <c r="CG19" s="348"/>
      <c r="CH19" s="348"/>
      <c r="CI19" s="348"/>
      <c r="CJ19" s="348"/>
      <c r="CK19" s="348"/>
      <c r="CL19" s="348"/>
      <c r="CM19" s="348"/>
      <c r="CN19" s="348"/>
      <c r="CO19" s="348"/>
      <c r="CP19" s="348"/>
      <c r="CQ19" s="348"/>
      <c r="CR19" s="348"/>
    </row>
    <row r="20" spans="1:96" x14ac:dyDescent="0.25">
      <c r="A20" s="348"/>
      <c r="B20" s="348"/>
      <c r="C20" s="348"/>
      <c r="D20" s="348"/>
      <c r="E20" s="348"/>
      <c r="F20" s="348"/>
      <c r="G20" s="348"/>
      <c r="H20" s="348"/>
      <c r="I20" s="348"/>
      <c r="J20" s="348"/>
      <c r="K20" s="348"/>
      <c r="L20" s="348"/>
      <c r="M20" s="348"/>
      <c r="N20" s="348"/>
      <c r="O20" s="348"/>
      <c r="P20" s="348"/>
      <c r="Q20" s="348"/>
      <c r="R20" s="348"/>
      <c r="S20" s="348"/>
      <c r="T20" s="348"/>
      <c r="U20" s="348"/>
      <c r="V20" s="353"/>
      <c r="W20" s="353"/>
      <c r="X20" s="348"/>
      <c r="Y20" s="348"/>
      <c r="Z20" s="348"/>
      <c r="AA20" s="348"/>
      <c r="AB20" s="348"/>
      <c r="AC20" s="348"/>
      <c r="AD20" s="348"/>
      <c r="AE20" s="348"/>
      <c r="AF20" s="348"/>
      <c r="AG20" s="348"/>
      <c r="AH20" s="348"/>
      <c r="AI20" s="348"/>
      <c r="AJ20" s="348"/>
      <c r="AK20" s="348"/>
      <c r="AL20" s="348"/>
      <c r="AM20" s="348"/>
      <c r="AN20" s="348"/>
      <c r="AO20" s="348"/>
      <c r="AP20" s="348"/>
      <c r="AQ20" s="348"/>
      <c r="AR20" s="348"/>
      <c r="AS20" s="348"/>
      <c r="AT20" s="348"/>
      <c r="AU20" s="348"/>
      <c r="AV20" s="348"/>
      <c r="AW20" s="348"/>
      <c r="AX20" s="348"/>
      <c r="AY20" s="348"/>
      <c r="AZ20" s="348"/>
      <c r="BA20" s="348"/>
      <c r="BB20" s="348"/>
      <c r="BC20" s="348"/>
      <c r="BD20" s="348"/>
      <c r="BE20" s="348"/>
      <c r="BF20" s="348"/>
      <c r="BG20" s="348"/>
      <c r="BH20" s="348"/>
      <c r="BI20" s="348"/>
      <c r="BJ20" s="348"/>
      <c r="BK20" s="348"/>
      <c r="BL20" s="348"/>
      <c r="BM20" s="348"/>
      <c r="BN20" s="348"/>
      <c r="BO20" s="348"/>
      <c r="BP20" s="348"/>
      <c r="BQ20" s="348"/>
      <c r="BR20" s="348"/>
      <c r="BS20" s="348"/>
      <c r="BT20" s="348"/>
      <c r="BU20" s="348"/>
      <c r="BV20" s="348"/>
      <c r="BW20" s="348"/>
      <c r="BX20" s="348"/>
      <c r="BY20" s="348"/>
      <c r="BZ20" s="348"/>
      <c r="CA20" s="348"/>
      <c r="CB20" s="348"/>
      <c r="CC20" s="348"/>
      <c r="CD20" s="348"/>
      <c r="CE20" s="348"/>
      <c r="CF20" s="348"/>
      <c r="CG20" s="348"/>
      <c r="CH20" s="348"/>
      <c r="CI20" s="348"/>
      <c r="CJ20" s="348"/>
      <c r="CK20" s="348"/>
      <c r="CL20" s="348"/>
      <c r="CM20" s="348"/>
      <c r="CN20" s="348"/>
      <c r="CO20" s="348"/>
      <c r="CP20" s="348"/>
      <c r="CQ20" s="348"/>
      <c r="CR20" s="348"/>
    </row>
    <row r="21" spans="1:96" x14ac:dyDescent="0.25">
      <c r="A21" s="348"/>
      <c r="B21" s="348"/>
      <c r="C21" s="348"/>
      <c r="D21" s="348"/>
      <c r="E21" s="348"/>
      <c r="F21" s="348"/>
      <c r="G21" s="348"/>
      <c r="H21" s="348"/>
      <c r="I21" s="348"/>
      <c r="J21" s="348"/>
      <c r="K21" s="348"/>
      <c r="L21" s="348"/>
      <c r="M21" s="348"/>
      <c r="N21" s="348"/>
      <c r="O21" s="348"/>
      <c r="P21" s="348"/>
      <c r="Q21" s="348"/>
      <c r="R21" s="348"/>
      <c r="S21" s="348"/>
      <c r="T21" s="348"/>
      <c r="U21" s="348"/>
      <c r="V21" s="353"/>
      <c r="W21" s="353"/>
      <c r="X21" s="348"/>
      <c r="Y21" s="348"/>
      <c r="Z21" s="348"/>
      <c r="AA21" s="348"/>
      <c r="AB21" s="348"/>
      <c r="AC21" s="348"/>
      <c r="AD21" s="348"/>
      <c r="AE21" s="348"/>
      <c r="AF21" s="348"/>
      <c r="AG21" s="348"/>
      <c r="AH21" s="348"/>
      <c r="AI21" s="348"/>
      <c r="AJ21" s="348"/>
      <c r="AK21" s="348"/>
      <c r="AL21" s="348"/>
      <c r="AM21" s="348"/>
      <c r="AN21" s="348"/>
      <c r="AO21" s="348"/>
      <c r="AP21" s="348"/>
      <c r="AQ21" s="348"/>
      <c r="AR21" s="348"/>
      <c r="AS21" s="348"/>
      <c r="AT21" s="348"/>
      <c r="AU21" s="348"/>
      <c r="AV21" s="348"/>
      <c r="AW21" s="348"/>
      <c r="AX21" s="348"/>
      <c r="AY21" s="348"/>
      <c r="AZ21" s="348"/>
      <c r="BA21" s="348"/>
      <c r="BB21" s="348"/>
      <c r="BC21" s="348"/>
      <c r="BD21" s="348"/>
      <c r="BE21" s="348"/>
      <c r="BF21" s="348"/>
      <c r="BG21" s="348"/>
      <c r="BH21" s="348"/>
      <c r="BI21" s="348"/>
      <c r="BJ21" s="348"/>
      <c r="BK21" s="348"/>
      <c r="BL21" s="348"/>
      <c r="BM21" s="348"/>
      <c r="BN21" s="348"/>
      <c r="BO21" s="348"/>
      <c r="BP21" s="348"/>
      <c r="BQ21" s="348"/>
      <c r="BR21" s="348"/>
      <c r="BS21" s="348"/>
      <c r="BT21" s="348"/>
      <c r="BU21" s="348"/>
      <c r="BV21" s="348"/>
      <c r="BW21" s="348"/>
      <c r="BX21" s="348"/>
      <c r="BY21" s="348"/>
      <c r="BZ21" s="348"/>
      <c r="CA21" s="348"/>
      <c r="CB21" s="348"/>
      <c r="CC21" s="348"/>
      <c r="CD21" s="348"/>
      <c r="CE21" s="348"/>
      <c r="CF21" s="348"/>
      <c r="CG21" s="348"/>
      <c r="CH21" s="348"/>
      <c r="CI21" s="348"/>
      <c r="CJ21" s="348"/>
      <c r="CK21" s="348"/>
      <c r="CL21" s="348"/>
      <c r="CM21" s="348"/>
      <c r="CN21" s="348"/>
      <c r="CO21" s="348"/>
      <c r="CP21" s="348"/>
      <c r="CQ21" s="348"/>
      <c r="CR21" s="348"/>
    </row>
    <row r="22" spans="1:96" x14ac:dyDescent="0.25">
      <c r="A22" s="348"/>
      <c r="B22" s="348"/>
      <c r="C22" s="348"/>
      <c r="D22" s="348"/>
      <c r="E22" s="348"/>
      <c r="F22" s="348"/>
      <c r="G22" s="348"/>
      <c r="H22" s="348"/>
      <c r="I22" s="348"/>
      <c r="J22" s="348"/>
      <c r="K22" s="348"/>
      <c r="L22" s="348"/>
      <c r="M22" s="348"/>
      <c r="N22" s="348"/>
      <c r="O22" s="348"/>
      <c r="P22" s="348"/>
      <c r="Q22" s="348"/>
      <c r="R22" s="348"/>
      <c r="S22" s="348"/>
      <c r="T22" s="348"/>
      <c r="U22" s="348"/>
      <c r="V22" s="353"/>
      <c r="W22" s="353"/>
      <c r="X22" s="348"/>
      <c r="Y22" s="348"/>
      <c r="Z22" s="348"/>
      <c r="AA22" s="348"/>
      <c r="AB22" s="348"/>
      <c r="AC22" s="348"/>
      <c r="AD22" s="348"/>
      <c r="AE22" s="348"/>
      <c r="AF22" s="348"/>
      <c r="AG22" s="348"/>
      <c r="AH22" s="348"/>
      <c r="AI22" s="348"/>
      <c r="AJ22" s="348"/>
      <c r="AK22" s="348"/>
      <c r="AL22" s="348"/>
      <c r="AM22" s="348"/>
      <c r="AN22" s="348"/>
      <c r="AO22" s="348"/>
      <c r="AP22" s="348"/>
      <c r="AQ22" s="348"/>
      <c r="AR22" s="348"/>
      <c r="AS22" s="348"/>
      <c r="AT22" s="348"/>
      <c r="AU22" s="348"/>
      <c r="AV22" s="348"/>
      <c r="AW22" s="348"/>
      <c r="AX22" s="348"/>
      <c r="AY22" s="348"/>
      <c r="AZ22" s="348"/>
      <c r="BA22" s="348"/>
      <c r="BB22" s="348"/>
      <c r="BC22" s="348"/>
      <c r="BD22" s="348"/>
      <c r="BE22" s="348"/>
      <c r="BF22" s="348"/>
      <c r="BG22" s="348"/>
      <c r="BH22" s="348"/>
      <c r="BI22" s="348"/>
      <c r="BJ22" s="348"/>
      <c r="BK22" s="348"/>
      <c r="BL22" s="348"/>
      <c r="BM22" s="348"/>
      <c r="BN22" s="348"/>
      <c r="BO22" s="348"/>
      <c r="BP22" s="348"/>
      <c r="BQ22" s="348"/>
      <c r="BR22" s="348"/>
      <c r="BS22" s="348"/>
      <c r="BT22" s="348"/>
      <c r="BU22" s="348"/>
      <c r="BV22" s="348"/>
      <c r="BW22" s="348"/>
      <c r="BX22" s="348"/>
      <c r="BY22" s="348"/>
      <c r="BZ22" s="348"/>
      <c r="CA22" s="348"/>
      <c r="CB22" s="348"/>
      <c r="CC22" s="348"/>
      <c r="CD22" s="348"/>
      <c r="CE22" s="348"/>
      <c r="CF22" s="348"/>
      <c r="CG22" s="348"/>
      <c r="CH22" s="348"/>
      <c r="CI22" s="348"/>
      <c r="CJ22" s="348"/>
      <c r="CK22" s="348"/>
      <c r="CL22" s="348"/>
      <c r="CM22" s="348"/>
      <c r="CN22" s="348"/>
      <c r="CO22" s="348"/>
      <c r="CP22" s="348"/>
      <c r="CQ22" s="348"/>
      <c r="CR22" s="348"/>
    </row>
    <row r="23" spans="1:96" x14ac:dyDescent="0.25">
      <c r="Y23" s="348"/>
      <c r="Z23" s="348"/>
      <c r="AA23" s="348"/>
      <c r="AB23" s="348"/>
      <c r="AC23" s="348"/>
      <c r="AD23" s="348"/>
      <c r="AE23" s="348"/>
      <c r="AF23" s="348"/>
      <c r="AG23" s="348"/>
      <c r="AH23" s="348"/>
      <c r="AI23" s="348"/>
      <c r="AJ23" s="348"/>
      <c r="AK23" s="348"/>
      <c r="AL23" s="348"/>
      <c r="AM23" s="348"/>
      <c r="AN23" s="348"/>
      <c r="AO23" s="348"/>
      <c r="AP23" s="348"/>
      <c r="AQ23" s="348"/>
      <c r="AR23" s="348"/>
      <c r="AS23" s="348"/>
      <c r="AT23" s="348"/>
      <c r="AU23" s="348"/>
      <c r="AV23" s="348"/>
      <c r="AW23" s="348"/>
      <c r="AX23" s="348"/>
      <c r="AY23" s="348"/>
      <c r="AZ23" s="348"/>
      <c r="BA23" s="348"/>
      <c r="BB23" s="348"/>
      <c r="BC23" s="348"/>
      <c r="BD23" s="348"/>
      <c r="BE23" s="348"/>
      <c r="BF23" s="348"/>
      <c r="BG23" s="348"/>
      <c r="BH23" s="348"/>
      <c r="BI23" s="348"/>
      <c r="BJ23" s="348"/>
      <c r="BK23" s="348"/>
      <c r="BL23" s="348"/>
      <c r="BM23" s="348"/>
      <c r="BN23" s="348"/>
      <c r="BO23" s="348"/>
      <c r="BP23" s="348"/>
      <c r="BQ23" s="348"/>
      <c r="BR23" s="348"/>
      <c r="BS23" s="348"/>
      <c r="BT23" s="348"/>
      <c r="BU23" s="348"/>
      <c r="BV23" s="348"/>
      <c r="BW23" s="348"/>
      <c r="BX23" s="348"/>
      <c r="BY23" s="348"/>
      <c r="BZ23" s="348"/>
      <c r="CA23" s="348"/>
      <c r="CB23" s="348"/>
      <c r="CC23" s="348"/>
      <c r="CD23" s="348"/>
      <c r="CE23" s="348"/>
      <c r="CF23" s="348"/>
      <c r="CG23" s="348"/>
      <c r="CH23" s="348"/>
      <c r="CI23" s="348"/>
      <c r="CJ23" s="348"/>
      <c r="CK23" s="348"/>
      <c r="CL23" s="348"/>
      <c r="CM23" s="348"/>
      <c r="CN23" s="348"/>
      <c r="CO23" s="348"/>
      <c r="CP23" s="348"/>
      <c r="CQ23" s="348"/>
      <c r="CR23" s="348"/>
    </row>
    <row r="24" spans="1:96" x14ac:dyDescent="0.25">
      <c r="Y24" s="348"/>
      <c r="Z24" s="348"/>
      <c r="AA24" s="348"/>
      <c r="AB24" s="348"/>
      <c r="AC24" s="348"/>
      <c r="AD24" s="348"/>
      <c r="AE24" s="348"/>
      <c r="AF24" s="348"/>
      <c r="AG24" s="348"/>
      <c r="AH24" s="348"/>
      <c r="AI24" s="348"/>
      <c r="AJ24" s="348"/>
      <c r="AK24" s="348"/>
      <c r="AL24" s="348"/>
      <c r="AM24" s="348"/>
      <c r="AN24" s="348"/>
      <c r="AO24" s="348"/>
      <c r="AP24" s="348"/>
      <c r="AQ24" s="348"/>
      <c r="AR24" s="348"/>
      <c r="AS24" s="348"/>
      <c r="AT24" s="348"/>
      <c r="AU24" s="348"/>
      <c r="AV24" s="348"/>
      <c r="AW24" s="348"/>
      <c r="AX24" s="348"/>
      <c r="AY24" s="348"/>
      <c r="AZ24" s="348"/>
      <c r="BA24" s="348"/>
      <c r="BB24" s="348"/>
      <c r="BC24" s="348"/>
      <c r="BD24" s="348"/>
      <c r="BE24" s="348"/>
      <c r="BF24" s="348"/>
      <c r="BG24" s="348"/>
      <c r="BH24" s="348"/>
      <c r="BI24" s="348"/>
      <c r="BJ24" s="348"/>
      <c r="BK24" s="348"/>
      <c r="BL24" s="348"/>
      <c r="BM24" s="348"/>
      <c r="BN24" s="348"/>
      <c r="BO24" s="348"/>
      <c r="BP24" s="348"/>
      <c r="BQ24" s="348"/>
      <c r="BR24" s="348"/>
      <c r="BS24" s="348"/>
      <c r="BT24" s="348"/>
      <c r="BU24" s="348"/>
      <c r="BV24" s="348"/>
      <c r="BW24" s="348"/>
      <c r="BX24" s="348"/>
      <c r="BY24" s="348"/>
      <c r="BZ24" s="348"/>
      <c r="CA24" s="348"/>
      <c r="CB24" s="348"/>
      <c r="CC24" s="348"/>
      <c r="CD24" s="348"/>
      <c r="CE24" s="348"/>
      <c r="CF24" s="348"/>
      <c r="CG24" s="348"/>
      <c r="CH24" s="348"/>
      <c r="CI24" s="348"/>
      <c r="CJ24" s="348"/>
      <c r="CK24" s="348"/>
      <c r="CL24" s="348"/>
      <c r="CM24" s="348"/>
      <c r="CN24" s="348"/>
      <c r="CO24" s="348"/>
      <c r="CP24" s="348"/>
      <c r="CQ24" s="348"/>
      <c r="CR24" s="348"/>
    </row>
    <row r="25" spans="1:96" x14ac:dyDescent="0.25">
      <c r="Y25" s="348"/>
      <c r="Z25" s="348"/>
      <c r="AA25" s="348"/>
      <c r="AB25" s="348"/>
      <c r="AC25" s="348"/>
      <c r="AD25" s="348"/>
      <c r="AE25" s="348"/>
      <c r="AF25" s="348"/>
      <c r="AG25" s="348"/>
      <c r="AH25" s="348"/>
      <c r="AI25" s="348"/>
      <c r="AJ25" s="348"/>
      <c r="AK25" s="348"/>
      <c r="AL25" s="348"/>
      <c r="AM25" s="348"/>
      <c r="AN25" s="348"/>
      <c r="AO25" s="348"/>
      <c r="AP25" s="348"/>
      <c r="AQ25" s="348"/>
      <c r="AR25" s="348"/>
      <c r="AS25" s="348"/>
      <c r="AT25" s="348"/>
      <c r="AU25" s="348"/>
      <c r="AV25" s="348"/>
      <c r="AW25" s="348"/>
      <c r="AX25" s="348"/>
      <c r="AY25" s="348"/>
      <c r="AZ25" s="348"/>
      <c r="BA25" s="348"/>
      <c r="BB25" s="348"/>
      <c r="BC25" s="348"/>
      <c r="BD25" s="348"/>
      <c r="BE25" s="348"/>
      <c r="BF25" s="348"/>
      <c r="BG25" s="348"/>
      <c r="BH25" s="348"/>
      <c r="BI25" s="348"/>
      <c r="BJ25" s="348"/>
      <c r="BK25" s="348"/>
      <c r="BL25" s="348"/>
      <c r="BM25" s="348"/>
      <c r="BN25" s="348"/>
      <c r="BO25" s="348"/>
      <c r="BP25" s="348"/>
      <c r="BQ25" s="348"/>
      <c r="BR25" s="348"/>
      <c r="BS25" s="348"/>
      <c r="BT25" s="348"/>
      <c r="BU25" s="348"/>
      <c r="BV25" s="348"/>
      <c r="BW25" s="348"/>
      <c r="BX25" s="348"/>
      <c r="BY25" s="348"/>
      <c r="BZ25" s="348"/>
      <c r="CA25" s="348"/>
      <c r="CB25" s="348"/>
      <c r="CC25" s="348"/>
      <c r="CD25" s="348"/>
      <c r="CE25" s="348"/>
      <c r="CF25" s="348"/>
      <c r="CG25" s="348"/>
      <c r="CH25" s="348"/>
      <c r="CI25" s="348"/>
      <c r="CJ25" s="348"/>
      <c r="CK25" s="348"/>
      <c r="CL25" s="348"/>
      <c r="CM25" s="348"/>
      <c r="CN25" s="348"/>
      <c r="CO25" s="348"/>
      <c r="CP25" s="348"/>
      <c r="CQ25" s="348"/>
      <c r="CR25" s="348"/>
    </row>
    <row r="26" spans="1:96" x14ac:dyDescent="0.25">
      <c r="Y26" s="348"/>
      <c r="Z26" s="348"/>
      <c r="AA26" s="348"/>
      <c r="AB26" s="348"/>
      <c r="AC26" s="348"/>
      <c r="AD26" s="348"/>
      <c r="AE26" s="348"/>
      <c r="AF26" s="348"/>
      <c r="AG26" s="348"/>
      <c r="AH26" s="348"/>
      <c r="AI26" s="348"/>
      <c r="AJ26" s="348"/>
      <c r="AK26" s="348"/>
      <c r="AL26" s="348"/>
      <c r="AM26" s="348"/>
      <c r="AN26" s="348"/>
      <c r="AO26" s="348"/>
      <c r="AP26" s="348"/>
      <c r="AQ26" s="348"/>
      <c r="AR26" s="348"/>
      <c r="AS26" s="348"/>
      <c r="AT26" s="348"/>
      <c r="AU26" s="348"/>
      <c r="AV26" s="348"/>
      <c r="AW26" s="348"/>
      <c r="AX26" s="348"/>
      <c r="AY26" s="348"/>
      <c r="AZ26" s="348"/>
      <c r="BA26" s="348"/>
      <c r="BB26" s="348"/>
      <c r="BC26" s="348"/>
      <c r="BD26" s="348"/>
      <c r="BE26" s="348"/>
      <c r="BF26" s="348"/>
      <c r="BG26" s="348"/>
      <c r="BH26" s="348"/>
      <c r="BI26" s="348"/>
      <c r="BJ26" s="348"/>
      <c r="BK26" s="348"/>
      <c r="BL26" s="348"/>
      <c r="BM26" s="348"/>
      <c r="BN26" s="348"/>
      <c r="BO26" s="348"/>
      <c r="BP26" s="348"/>
      <c r="BQ26" s="348"/>
      <c r="BR26" s="348"/>
      <c r="BS26" s="348"/>
      <c r="BT26" s="348"/>
      <c r="BU26" s="348"/>
      <c r="BV26" s="348"/>
      <c r="BW26" s="348"/>
      <c r="BX26" s="348"/>
      <c r="BY26" s="348"/>
      <c r="BZ26" s="348"/>
      <c r="CA26" s="348"/>
      <c r="CB26" s="348"/>
      <c r="CC26" s="348"/>
      <c r="CD26" s="348"/>
      <c r="CE26" s="348"/>
      <c r="CF26" s="348"/>
      <c r="CG26" s="348"/>
      <c r="CH26" s="348"/>
      <c r="CI26" s="348"/>
      <c r="CJ26" s="348"/>
      <c r="CK26" s="348"/>
      <c r="CL26" s="348"/>
      <c r="CM26" s="348"/>
      <c r="CN26" s="348"/>
      <c r="CO26" s="348"/>
      <c r="CP26" s="348"/>
      <c r="CQ26" s="348"/>
      <c r="CR26" s="348"/>
    </row>
    <row r="27" spans="1:96" x14ac:dyDescent="0.25">
      <c r="Y27" s="348"/>
      <c r="Z27" s="348"/>
      <c r="AA27" s="348"/>
      <c r="AB27" s="348"/>
      <c r="AC27" s="348"/>
      <c r="AD27" s="348"/>
      <c r="AE27" s="348"/>
      <c r="AF27" s="348"/>
      <c r="AG27" s="348"/>
      <c r="AH27" s="348"/>
      <c r="AI27" s="348"/>
      <c r="AJ27" s="348"/>
      <c r="AK27" s="348"/>
      <c r="AL27" s="348"/>
      <c r="AM27" s="348"/>
      <c r="AN27" s="348"/>
      <c r="AO27" s="348"/>
      <c r="AP27" s="348"/>
      <c r="AQ27" s="348"/>
      <c r="AR27" s="348"/>
      <c r="AS27" s="348"/>
      <c r="AT27" s="348"/>
      <c r="AU27" s="348"/>
      <c r="AV27" s="348"/>
      <c r="AW27" s="348"/>
      <c r="AX27" s="348"/>
      <c r="AY27" s="348"/>
      <c r="AZ27" s="348"/>
      <c r="BA27" s="348"/>
      <c r="BB27" s="348"/>
      <c r="BC27" s="348"/>
      <c r="BD27" s="348"/>
      <c r="BE27" s="348"/>
      <c r="BF27" s="348"/>
      <c r="BG27" s="348"/>
      <c r="BH27" s="348"/>
      <c r="BI27" s="348"/>
      <c r="BJ27" s="348"/>
      <c r="BK27" s="348"/>
      <c r="BL27" s="348"/>
      <c r="BM27" s="348"/>
      <c r="BN27" s="348"/>
      <c r="BO27" s="348"/>
      <c r="BP27" s="348"/>
      <c r="BQ27" s="348"/>
      <c r="BR27" s="348"/>
      <c r="BS27" s="348"/>
      <c r="BT27" s="348"/>
      <c r="BU27" s="348"/>
      <c r="BV27" s="348"/>
      <c r="BW27" s="348"/>
      <c r="BX27" s="348"/>
      <c r="BY27" s="348"/>
      <c r="BZ27" s="348"/>
      <c r="CA27" s="348"/>
      <c r="CB27" s="348"/>
      <c r="CC27" s="348"/>
      <c r="CD27" s="348"/>
      <c r="CE27" s="348"/>
      <c r="CF27" s="348"/>
      <c r="CG27" s="348"/>
      <c r="CH27" s="348"/>
      <c r="CI27" s="348"/>
      <c r="CJ27" s="348"/>
      <c r="CK27" s="348"/>
      <c r="CL27" s="348"/>
      <c r="CM27" s="348"/>
      <c r="CN27" s="348"/>
      <c r="CO27" s="348"/>
      <c r="CP27" s="348"/>
      <c r="CQ27" s="348"/>
      <c r="CR27" s="348"/>
    </row>
    <row r="28" spans="1:96" x14ac:dyDescent="0.25">
      <c r="Y28" s="348"/>
      <c r="Z28" s="348"/>
      <c r="AA28" s="348"/>
      <c r="AB28" s="348"/>
      <c r="AC28" s="348"/>
      <c r="AD28" s="348"/>
      <c r="AE28" s="348"/>
      <c r="AF28" s="348"/>
      <c r="AG28" s="348"/>
      <c r="AH28" s="348"/>
      <c r="AI28" s="348"/>
      <c r="AJ28" s="348"/>
      <c r="AK28" s="348"/>
      <c r="AL28" s="348"/>
      <c r="AM28" s="348"/>
      <c r="AN28" s="348"/>
      <c r="AO28" s="348"/>
      <c r="AP28" s="348"/>
      <c r="AQ28" s="348"/>
      <c r="AR28" s="348"/>
      <c r="AS28" s="348"/>
      <c r="AT28" s="348"/>
      <c r="AU28" s="348"/>
      <c r="AV28" s="348"/>
      <c r="AW28" s="348"/>
      <c r="AX28" s="348"/>
      <c r="AY28" s="348"/>
      <c r="AZ28" s="348"/>
      <c r="BA28" s="348"/>
      <c r="BB28" s="348"/>
      <c r="BC28" s="348"/>
      <c r="BD28" s="348"/>
      <c r="BE28" s="348"/>
      <c r="BF28" s="348"/>
      <c r="BG28" s="348"/>
      <c r="BH28" s="348"/>
      <c r="BI28" s="348"/>
      <c r="BJ28" s="348"/>
      <c r="BK28" s="348"/>
      <c r="BL28" s="348"/>
      <c r="BM28" s="348"/>
      <c r="BN28" s="348"/>
      <c r="BO28" s="348"/>
      <c r="BP28" s="348"/>
      <c r="BQ28" s="348"/>
      <c r="BR28" s="348"/>
      <c r="BS28" s="348"/>
      <c r="BT28" s="348"/>
      <c r="BU28" s="348"/>
      <c r="BV28" s="348"/>
      <c r="BW28" s="348"/>
      <c r="BX28" s="348"/>
      <c r="BY28" s="348"/>
      <c r="BZ28" s="348"/>
      <c r="CA28" s="348"/>
      <c r="CB28" s="348"/>
      <c r="CC28" s="348"/>
      <c r="CD28" s="348"/>
      <c r="CE28" s="348"/>
      <c r="CF28" s="348"/>
      <c r="CG28" s="348"/>
      <c r="CH28" s="348"/>
      <c r="CI28" s="348"/>
      <c r="CJ28" s="348"/>
      <c r="CK28" s="348"/>
      <c r="CL28" s="348"/>
      <c r="CM28" s="348"/>
      <c r="CN28" s="348"/>
      <c r="CO28" s="348"/>
      <c r="CP28" s="348"/>
      <c r="CQ28" s="348"/>
      <c r="CR28" s="348"/>
    </row>
    <row r="29" spans="1:96" x14ac:dyDescent="0.25">
      <c r="Y29" s="348"/>
      <c r="Z29" s="348"/>
      <c r="AA29" s="348"/>
      <c r="AB29" s="348"/>
      <c r="AC29" s="348"/>
      <c r="AD29" s="348"/>
      <c r="AE29" s="348"/>
      <c r="AF29" s="348"/>
      <c r="AG29" s="348"/>
      <c r="AH29" s="348"/>
      <c r="AI29" s="348"/>
      <c r="AJ29" s="348"/>
      <c r="AK29" s="348"/>
      <c r="AL29" s="348"/>
      <c r="AM29" s="348"/>
      <c r="AN29" s="348"/>
      <c r="AO29" s="348"/>
      <c r="AP29" s="348"/>
      <c r="AQ29" s="348"/>
      <c r="AR29" s="348"/>
      <c r="AS29" s="348"/>
      <c r="AT29" s="348"/>
      <c r="AU29" s="348"/>
      <c r="AV29" s="348"/>
      <c r="AW29" s="348"/>
      <c r="AX29" s="348"/>
      <c r="AY29" s="348"/>
      <c r="AZ29" s="348"/>
      <c r="BA29" s="348"/>
      <c r="BB29" s="348"/>
      <c r="BC29" s="348"/>
      <c r="BD29" s="348"/>
      <c r="BE29" s="348"/>
      <c r="BF29" s="348"/>
      <c r="BG29" s="348"/>
      <c r="BH29" s="348"/>
      <c r="BI29" s="348"/>
      <c r="BJ29" s="348"/>
      <c r="BK29" s="348"/>
      <c r="BL29" s="348"/>
      <c r="BM29" s="348"/>
      <c r="BN29" s="348"/>
      <c r="BO29" s="348"/>
      <c r="BP29" s="348"/>
      <c r="BQ29" s="348"/>
      <c r="BR29" s="348"/>
      <c r="BS29" s="348"/>
      <c r="BT29" s="348"/>
      <c r="BU29" s="348"/>
      <c r="BV29" s="348"/>
      <c r="BW29" s="348"/>
      <c r="BX29" s="348"/>
      <c r="BY29" s="348"/>
      <c r="BZ29" s="348"/>
      <c r="CA29" s="348"/>
      <c r="CB29" s="348"/>
      <c r="CC29" s="348"/>
      <c r="CD29" s="348"/>
      <c r="CE29" s="348"/>
      <c r="CF29" s="348"/>
      <c r="CG29" s="348"/>
      <c r="CH29" s="348"/>
      <c r="CI29" s="348"/>
      <c r="CJ29" s="348"/>
      <c r="CK29" s="348"/>
      <c r="CL29" s="348"/>
      <c r="CM29" s="348"/>
      <c r="CN29" s="348"/>
      <c r="CO29" s="348"/>
      <c r="CP29" s="348"/>
      <c r="CQ29" s="348"/>
      <c r="CR29" s="348"/>
    </row>
    <row r="30" spans="1:96" x14ac:dyDescent="0.25">
      <c r="Y30" s="348"/>
      <c r="Z30" s="348"/>
      <c r="AA30" s="348"/>
      <c r="AB30" s="348"/>
      <c r="AC30" s="348"/>
      <c r="AD30" s="348"/>
      <c r="AE30" s="348"/>
      <c r="AF30" s="348"/>
      <c r="AG30" s="348"/>
      <c r="AH30" s="348"/>
      <c r="AI30" s="348"/>
      <c r="AJ30" s="348"/>
      <c r="AK30" s="348"/>
      <c r="AL30" s="348"/>
      <c r="AM30" s="348"/>
      <c r="AN30" s="348"/>
      <c r="AO30" s="348"/>
      <c r="AP30" s="348"/>
      <c r="AQ30" s="348"/>
      <c r="AR30" s="348"/>
      <c r="AS30" s="348"/>
      <c r="AT30" s="348"/>
      <c r="AU30" s="348"/>
      <c r="AV30" s="348"/>
      <c r="AW30" s="348"/>
      <c r="AX30" s="348"/>
      <c r="AY30" s="348"/>
      <c r="AZ30" s="348"/>
      <c r="BA30" s="348"/>
      <c r="BB30" s="348"/>
      <c r="BC30" s="348"/>
      <c r="BD30" s="348"/>
      <c r="BE30" s="348"/>
      <c r="BF30" s="348"/>
      <c r="BG30" s="348"/>
      <c r="BH30" s="348"/>
      <c r="BI30" s="348"/>
      <c r="BJ30" s="348"/>
      <c r="BK30" s="348"/>
      <c r="BL30" s="348"/>
      <c r="BM30" s="348"/>
      <c r="BN30" s="348"/>
      <c r="BO30" s="348"/>
      <c r="BP30" s="348"/>
      <c r="BQ30" s="348"/>
      <c r="BR30" s="348"/>
      <c r="BS30" s="348"/>
      <c r="BT30" s="348"/>
      <c r="BU30" s="348"/>
      <c r="BV30" s="348"/>
      <c r="BW30" s="348"/>
      <c r="BX30" s="348"/>
      <c r="BY30" s="348"/>
      <c r="BZ30" s="348"/>
      <c r="CA30" s="348"/>
      <c r="CB30" s="348"/>
      <c r="CC30" s="348"/>
      <c r="CD30" s="348"/>
      <c r="CE30" s="348"/>
      <c r="CF30" s="348"/>
      <c r="CG30" s="348"/>
      <c r="CH30" s="348"/>
      <c r="CI30" s="348"/>
      <c r="CJ30" s="348"/>
      <c r="CK30" s="348"/>
      <c r="CL30" s="348"/>
      <c r="CM30" s="348"/>
      <c r="CN30" s="348"/>
      <c r="CO30" s="348"/>
      <c r="CP30" s="348"/>
      <c r="CQ30" s="348"/>
      <c r="CR30" s="348"/>
    </row>
    <row r="31" spans="1:96" x14ac:dyDescent="0.25">
      <c r="Y31" s="348"/>
      <c r="Z31" s="348"/>
      <c r="AA31" s="348"/>
      <c r="AB31" s="348"/>
      <c r="AC31" s="348"/>
      <c r="AD31" s="348"/>
      <c r="AE31" s="348"/>
      <c r="AF31" s="348"/>
      <c r="AG31" s="348"/>
      <c r="AH31" s="348"/>
      <c r="AI31" s="348"/>
      <c r="AJ31" s="348"/>
      <c r="AK31" s="348"/>
      <c r="AL31" s="348"/>
      <c r="AM31" s="348"/>
      <c r="AN31" s="348"/>
      <c r="AO31" s="348"/>
      <c r="AP31" s="348"/>
      <c r="AQ31" s="348"/>
      <c r="AR31" s="348"/>
      <c r="AS31" s="348"/>
      <c r="AT31" s="348"/>
      <c r="AU31" s="348"/>
      <c r="AV31" s="348"/>
      <c r="AW31" s="348"/>
      <c r="AX31" s="348"/>
      <c r="AY31" s="348"/>
      <c r="AZ31" s="348"/>
      <c r="BA31" s="348"/>
      <c r="BB31" s="348"/>
      <c r="BC31" s="348"/>
      <c r="BD31" s="348"/>
      <c r="BE31" s="348"/>
      <c r="BF31" s="348"/>
      <c r="BG31" s="348"/>
      <c r="BH31" s="348"/>
      <c r="BI31" s="348"/>
      <c r="BJ31" s="348"/>
      <c r="BK31" s="348"/>
      <c r="BL31" s="348"/>
      <c r="BM31" s="348"/>
      <c r="BN31" s="348"/>
      <c r="BO31" s="348"/>
      <c r="BP31" s="348"/>
      <c r="BQ31" s="348"/>
      <c r="BR31" s="348"/>
      <c r="BS31" s="348"/>
      <c r="BT31" s="348"/>
      <c r="BU31" s="348"/>
      <c r="BV31" s="348"/>
      <c r="BW31" s="348"/>
      <c r="BX31" s="348"/>
      <c r="BY31" s="348"/>
      <c r="BZ31" s="348"/>
      <c r="CA31" s="348"/>
      <c r="CB31" s="348"/>
      <c r="CC31" s="348"/>
      <c r="CD31" s="348"/>
      <c r="CE31" s="348"/>
      <c r="CF31" s="348"/>
      <c r="CG31" s="348"/>
      <c r="CH31" s="348"/>
      <c r="CI31" s="348"/>
      <c r="CJ31" s="348"/>
      <c r="CK31" s="348"/>
      <c r="CL31" s="348"/>
      <c r="CM31" s="348"/>
      <c r="CN31" s="348"/>
      <c r="CO31" s="348"/>
      <c r="CP31" s="348"/>
      <c r="CQ31" s="348"/>
      <c r="CR31" s="348"/>
    </row>
    <row r="32" spans="1:96" x14ac:dyDescent="0.25">
      <c r="Y32" s="348"/>
      <c r="Z32" s="348"/>
      <c r="AA32" s="348"/>
      <c r="AB32" s="348"/>
      <c r="AC32" s="348"/>
      <c r="AD32" s="348"/>
      <c r="AE32" s="348"/>
      <c r="AF32" s="348"/>
      <c r="AG32" s="348"/>
      <c r="AH32" s="348"/>
      <c r="AI32" s="348"/>
      <c r="AJ32" s="348"/>
      <c r="AK32" s="348"/>
      <c r="AL32" s="348"/>
      <c r="AM32" s="348"/>
      <c r="AN32" s="348"/>
      <c r="AO32" s="348"/>
      <c r="AP32" s="348"/>
      <c r="AQ32" s="348"/>
      <c r="AR32" s="348"/>
      <c r="AS32" s="348"/>
      <c r="AT32" s="348"/>
      <c r="AU32" s="348"/>
      <c r="AV32" s="348"/>
      <c r="AW32" s="348"/>
      <c r="AX32" s="348"/>
      <c r="AY32" s="348"/>
      <c r="AZ32" s="348"/>
      <c r="BA32" s="348"/>
      <c r="BB32" s="348"/>
      <c r="BC32" s="348"/>
      <c r="BD32" s="348"/>
      <c r="BE32" s="348"/>
      <c r="BF32" s="348"/>
      <c r="BG32" s="348"/>
      <c r="BH32" s="348"/>
      <c r="BI32" s="348"/>
      <c r="BJ32" s="348"/>
      <c r="BK32" s="348"/>
      <c r="BL32" s="348"/>
      <c r="BM32" s="348"/>
      <c r="BN32" s="348"/>
      <c r="BO32" s="348"/>
      <c r="BP32" s="348"/>
      <c r="BQ32" s="348"/>
      <c r="BR32" s="348"/>
      <c r="BS32" s="348"/>
      <c r="BT32" s="348"/>
      <c r="BU32" s="348"/>
      <c r="BV32" s="348"/>
      <c r="BW32" s="348"/>
      <c r="BX32" s="348"/>
      <c r="BY32" s="348"/>
      <c r="BZ32" s="348"/>
      <c r="CA32" s="348"/>
      <c r="CB32" s="348"/>
      <c r="CC32" s="348"/>
      <c r="CD32" s="348"/>
      <c r="CE32" s="348"/>
      <c r="CF32" s="348"/>
      <c r="CG32" s="348"/>
      <c r="CH32" s="348"/>
      <c r="CI32" s="348"/>
      <c r="CJ32" s="348"/>
      <c r="CK32" s="348"/>
      <c r="CL32" s="348"/>
      <c r="CM32" s="348"/>
      <c r="CN32" s="348"/>
      <c r="CO32" s="348"/>
      <c r="CP32" s="348"/>
      <c r="CQ32" s="348"/>
      <c r="CR32" s="348"/>
    </row>
    <row r="33" spans="25:96" x14ac:dyDescent="0.25">
      <c r="Y33" s="348"/>
      <c r="Z33" s="348"/>
      <c r="AA33" s="348"/>
      <c r="AB33" s="348"/>
      <c r="AC33" s="348"/>
      <c r="AD33" s="348"/>
      <c r="AE33" s="348"/>
      <c r="AF33" s="348"/>
      <c r="AG33" s="348"/>
      <c r="AH33" s="348"/>
      <c r="AI33" s="348"/>
      <c r="AJ33" s="348"/>
      <c r="AK33" s="348"/>
      <c r="AL33" s="348"/>
      <c r="AM33" s="348"/>
      <c r="AN33" s="348"/>
      <c r="AO33" s="348"/>
      <c r="AP33" s="348"/>
      <c r="AQ33" s="348"/>
      <c r="AR33" s="348"/>
      <c r="AS33" s="348"/>
      <c r="AT33" s="348"/>
      <c r="AU33" s="348"/>
      <c r="AV33" s="348"/>
      <c r="AW33" s="348"/>
      <c r="AX33" s="348"/>
      <c r="AY33" s="348"/>
      <c r="AZ33" s="348"/>
      <c r="BA33" s="348"/>
      <c r="BB33" s="348"/>
      <c r="BC33" s="348"/>
      <c r="BD33" s="348"/>
      <c r="BE33" s="348"/>
      <c r="BF33" s="348"/>
      <c r="BG33" s="348"/>
      <c r="BH33" s="348"/>
      <c r="BI33" s="348"/>
      <c r="BJ33" s="348"/>
      <c r="BK33" s="348"/>
      <c r="BL33" s="348"/>
      <c r="BM33" s="348"/>
      <c r="BN33" s="348"/>
      <c r="BO33" s="348"/>
      <c r="BP33" s="348"/>
      <c r="BQ33" s="348"/>
      <c r="BR33" s="348"/>
      <c r="BS33" s="348"/>
      <c r="BT33" s="348"/>
      <c r="BU33" s="348"/>
      <c r="BV33" s="348"/>
      <c r="BW33" s="348"/>
      <c r="BX33" s="348"/>
      <c r="BY33" s="348"/>
      <c r="BZ33" s="348"/>
      <c r="CA33" s="348"/>
      <c r="CB33" s="348"/>
      <c r="CC33" s="348"/>
      <c r="CD33" s="348"/>
      <c r="CE33" s="348"/>
      <c r="CF33" s="348"/>
      <c r="CG33" s="348"/>
      <c r="CH33" s="348"/>
      <c r="CI33" s="348"/>
      <c r="CJ33" s="348"/>
      <c r="CK33" s="348"/>
      <c r="CL33" s="348"/>
      <c r="CM33" s="348"/>
      <c r="CN33" s="348"/>
      <c r="CO33" s="348"/>
      <c r="CP33" s="348"/>
      <c r="CQ33" s="348"/>
      <c r="CR33" s="348"/>
    </row>
  </sheetData>
  <sheetProtection algorithmName="SHA-512" hashValue="aeCCQtThFWBO/N+E9Zmn/ipvxZa1MHpq30sAUdofz8+FLlZkTD/a7wLPZ9YibP712G1UHu7VFMf+gtYAx9MaaA==" saltValue="kdBURq013VA4r8I17I5MXg==" spinCount="100000" sheet="1" objects="1" scenarios="1" selectLockedCells="1"/>
  <mergeCells count="60">
    <mergeCell ref="A4:K4"/>
    <mergeCell ref="L4:P5"/>
    <mergeCell ref="Q4:U5"/>
    <mergeCell ref="V4:W5"/>
    <mergeCell ref="X4:X5"/>
    <mergeCell ref="A5:C5"/>
    <mergeCell ref="E5:F5"/>
    <mergeCell ref="G5:I5"/>
    <mergeCell ref="J5:J6"/>
    <mergeCell ref="K5:K6"/>
    <mergeCell ref="C1:CP3"/>
    <mergeCell ref="Y4:AF4"/>
    <mergeCell ref="AG4:AN4"/>
    <mergeCell ref="AO4:AV4"/>
    <mergeCell ref="AW4:BD4"/>
    <mergeCell ref="BE4:BL4"/>
    <mergeCell ref="F7:F9"/>
    <mergeCell ref="G7:G9"/>
    <mergeCell ref="H7:H9"/>
    <mergeCell ref="I7:I9"/>
    <mergeCell ref="AS5:AV5"/>
    <mergeCell ref="J7:J9"/>
    <mergeCell ref="Y5:AB5"/>
    <mergeCell ref="AC5:AF5"/>
    <mergeCell ref="AG5:AJ5"/>
    <mergeCell ref="AK5:AN5"/>
    <mergeCell ref="A7:A9"/>
    <mergeCell ref="B7:B9"/>
    <mergeCell ref="C7:C9"/>
    <mergeCell ref="D7:D9"/>
    <mergeCell ref="E7:E9"/>
    <mergeCell ref="BU10:BV10"/>
    <mergeCell ref="BM5:BP5"/>
    <mergeCell ref="K7:K9"/>
    <mergeCell ref="W7:W9"/>
    <mergeCell ref="X7:X9"/>
    <mergeCell ref="Y10:Z10"/>
    <mergeCell ref="AO10:AP10"/>
    <mergeCell ref="BQ5:BT5"/>
    <mergeCell ref="AW5:AZ5"/>
    <mergeCell ref="BA5:BD5"/>
    <mergeCell ref="BE5:BH5"/>
    <mergeCell ref="BI5:BL5"/>
    <mergeCell ref="AG10:AH10"/>
    <mergeCell ref="AO5:AR5"/>
    <mergeCell ref="BM4:BT4"/>
    <mergeCell ref="CK10:CL10"/>
    <mergeCell ref="CK4:CR4"/>
    <mergeCell ref="BU5:BX5"/>
    <mergeCell ref="BY5:CB5"/>
    <mergeCell ref="CC5:CF5"/>
    <mergeCell ref="CG5:CJ5"/>
    <mergeCell ref="CK5:CN5"/>
    <mergeCell ref="CO5:CR5"/>
    <mergeCell ref="CC4:CJ4"/>
    <mergeCell ref="CC10:CD10"/>
    <mergeCell ref="AW10:AX10"/>
    <mergeCell ref="BE10:BF10"/>
    <mergeCell ref="BM10:BN10"/>
    <mergeCell ref="BU4:CB4"/>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C818F-480B-473B-A3C4-16B93150EC89}">
  <sheetPr>
    <tabColor theme="4"/>
  </sheetPr>
  <dimension ref="A1:DJ117"/>
  <sheetViews>
    <sheetView topLeftCell="CK1" zoomScale="98" zoomScaleNormal="98" workbookViewId="0">
      <selection activeCell="CK4" sqref="CK4:CR4"/>
    </sheetView>
  </sheetViews>
  <sheetFormatPr baseColWidth="10" defaultRowHeight="15" x14ac:dyDescent="0.25"/>
  <cols>
    <col min="1" max="1" width="21.140625" style="250" customWidth="1"/>
    <col min="2" max="2" width="17.85546875" style="250" customWidth="1"/>
    <col min="3" max="3" width="24.140625" style="250" customWidth="1"/>
    <col min="4" max="4" width="26.42578125" style="250" customWidth="1"/>
    <col min="5" max="5" width="18.140625" style="250" customWidth="1"/>
    <col min="6" max="6" width="20.5703125" style="250" customWidth="1"/>
    <col min="7" max="7" width="14" style="250" customWidth="1"/>
    <col min="8" max="8" width="16.5703125" style="250" customWidth="1"/>
    <col min="9" max="9" width="15.140625" style="250" customWidth="1"/>
    <col min="10" max="10" width="15.85546875" style="250" customWidth="1"/>
    <col min="11" max="11" width="16.42578125" style="250" customWidth="1"/>
    <col min="12" max="12" width="21.85546875" style="250" customWidth="1"/>
    <col min="13" max="13" width="23" style="250" customWidth="1"/>
    <col min="14" max="14" width="11.42578125" style="250"/>
    <col min="15" max="15" width="13.5703125" style="250" customWidth="1"/>
    <col min="16" max="16" width="11.42578125" style="250"/>
    <col min="17" max="17" width="20.28515625" style="250" customWidth="1"/>
    <col min="18" max="18" width="20.140625" style="250" customWidth="1"/>
    <col min="19" max="19" width="12.28515625" style="250" customWidth="1"/>
    <col min="20" max="20" width="11.42578125" style="250"/>
    <col min="21" max="21" width="11.5703125" style="250" customWidth="1"/>
    <col min="22" max="22" width="14.140625" style="251" bestFit="1" customWidth="1"/>
    <col min="23" max="23" width="16.7109375" style="251" customWidth="1"/>
    <col min="24" max="24" width="16.7109375" style="250" customWidth="1"/>
    <col min="25" max="25" width="18.140625" style="250" bestFit="1" customWidth="1"/>
    <col min="26" max="26" width="11.42578125" style="250"/>
    <col min="27" max="27" width="16" style="250" customWidth="1"/>
    <col min="28" max="28" width="40.5703125" style="250" customWidth="1"/>
    <col min="29" max="29" width="17.140625" style="250" bestFit="1" customWidth="1"/>
    <col min="30" max="30" width="11.42578125" style="250"/>
    <col min="31" max="31" width="13" style="250" customWidth="1"/>
    <col min="32" max="32" width="32.85546875" style="250" customWidth="1"/>
    <col min="33" max="33" width="18.140625" style="250" bestFit="1" customWidth="1"/>
    <col min="34" max="34" width="11.42578125" style="250"/>
    <col min="35" max="35" width="16" style="250" customWidth="1"/>
    <col min="36" max="36" width="40.5703125" style="250" customWidth="1"/>
    <col min="37" max="37" width="17.140625" style="250" bestFit="1" customWidth="1"/>
    <col min="38" max="38" width="11.42578125" style="250"/>
    <col min="39" max="39" width="13" style="250" customWidth="1"/>
    <col min="40" max="40" width="32.85546875" style="250" customWidth="1"/>
    <col min="41" max="41" width="18.140625" style="250" bestFit="1" customWidth="1"/>
    <col min="42" max="42" width="11.42578125" style="250"/>
    <col min="43" max="43" width="16" style="250" customWidth="1"/>
    <col min="44" max="44" width="40.5703125" style="250" customWidth="1"/>
    <col min="45" max="45" width="17.140625" style="250" bestFit="1" customWidth="1"/>
    <col min="46" max="46" width="11.42578125" style="250"/>
    <col min="47" max="47" width="13" style="250" customWidth="1"/>
    <col min="48" max="48" width="32.85546875" style="250" customWidth="1"/>
    <col min="49" max="49" width="18.140625" style="250" bestFit="1" customWidth="1"/>
    <col min="50" max="50" width="11.42578125" style="250"/>
    <col min="51" max="51" width="16" style="250" customWidth="1"/>
    <col min="52" max="52" width="40.5703125" style="250" customWidth="1"/>
    <col min="53" max="53" width="17.140625" style="250" bestFit="1" customWidth="1"/>
    <col min="54" max="54" width="11.42578125" style="250"/>
    <col min="55" max="55" width="13" style="250" customWidth="1"/>
    <col min="56" max="56" width="32.85546875" style="250" customWidth="1"/>
    <col min="57" max="57" width="18.140625" style="250" bestFit="1" customWidth="1"/>
    <col min="58" max="58" width="11.42578125" style="250"/>
    <col min="59" max="59" width="16" style="250" customWidth="1"/>
    <col min="60" max="60" width="40.5703125" style="250" customWidth="1"/>
    <col min="61" max="61" width="17.140625" style="250" bestFit="1" customWidth="1"/>
    <col min="62" max="62" width="11.42578125" style="250"/>
    <col min="63" max="63" width="13" style="250" customWidth="1"/>
    <col min="64" max="64" width="32.85546875" style="250" customWidth="1"/>
    <col min="65" max="65" width="18.140625" style="250" bestFit="1" customWidth="1"/>
    <col min="66" max="66" width="11.42578125" style="250"/>
    <col min="67" max="67" width="16" style="250" customWidth="1"/>
    <col min="68" max="68" width="40.5703125" style="250" customWidth="1"/>
    <col min="69" max="69" width="17.140625" style="250" bestFit="1" customWidth="1"/>
    <col min="70" max="70" width="11.42578125" style="250"/>
    <col min="71" max="71" width="13" style="250" customWidth="1"/>
    <col min="72" max="72" width="32.85546875" style="250" customWidth="1"/>
    <col min="73" max="73" width="18.140625" style="250" bestFit="1" customWidth="1"/>
    <col min="74" max="74" width="11.42578125" style="250"/>
    <col min="75" max="75" width="16" style="250" customWidth="1"/>
    <col min="76" max="76" width="40.5703125" style="250" customWidth="1"/>
    <col min="77" max="77" width="17.140625" style="250" bestFit="1" customWidth="1"/>
    <col min="78" max="78" width="11.42578125" style="250"/>
    <col min="79" max="79" width="13" style="250" customWidth="1"/>
    <col min="80" max="80" width="32.85546875" style="250" customWidth="1"/>
    <col min="81" max="81" width="18.140625" style="250" bestFit="1" customWidth="1"/>
    <col min="82" max="82" width="11.42578125" style="250"/>
    <col min="83" max="83" width="16" style="250" customWidth="1"/>
    <col min="84" max="84" width="40.5703125" style="250" customWidth="1"/>
    <col min="85" max="85" width="17.140625" style="250" bestFit="1" customWidth="1"/>
    <col min="86" max="86" width="11.42578125" style="250"/>
    <col min="87" max="87" width="13" style="250" customWidth="1"/>
    <col min="88" max="88" width="32.85546875" style="250" customWidth="1"/>
    <col min="89" max="89" width="18.140625" style="250" bestFit="1" customWidth="1"/>
    <col min="90" max="90" width="11.42578125" style="250"/>
    <col min="91" max="91" width="16" style="250" customWidth="1"/>
    <col min="92" max="92" width="55.28515625" style="250" bestFit="1" customWidth="1"/>
    <col min="93" max="93" width="17.140625" style="250" bestFit="1" customWidth="1"/>
    <col min="94" max="94" width="11.42578125" style="250"/>
    <col min="95" max="95" width="13" style="250" customWidth="1"/>
    <col min="96" max="96" width="32.85546875" style="250" customWidth="1"/>
    <col min="97" max="114" width="11.42578125" style="348"/>
    <col min="115" max="16384" width="11.42578125" style="250"/>
  </cols>
  <sheetData>
    <row r="1" spans="1:114" s="201" customFormat="1" ht="15.75" customHeight="1" x14ac:dyDescent="0.25">
      <c r="A1" s="40"/>
      <c r="B1" s="40"/>
      <c r="C1" s="556" t="s">
        <v>0</v>
      </c>
      <c r="D1" s="556"/>
      <c r="E1" s="556"/>
      <c r="F1" s="556"/>
      <c r="G1" s="556"/>
      <c r="H1" s="556"/>
      <c r="I1" s="556"/>
      <c r="J1" s="556"/>
      <c r="K1" s="556"/>
      <c r="L1" s="556"/>
      <c r="M1" s="556"/>
      <c r="N1" s="556"/>
      <c r="O1" s="556"/>
      <c r="P1" s="556"/>
      <c r="Q1" s="556"/>
      <c r="R1" s="556"/>
      <c r="S1" s="556"/>
      <c r="T1" s="556"/>
      <c r="U1" s="556"/>
      <c r="V1" s="556"/>
      <c r="W1" s="556"/>
      <c r="X1" s="556"/>
      <c r="Y1" s="556"/>
      <c r="Z1" s="556"/>
      <c r="AA1" s="556"/>
      <c r="AB1" s="556"/>
      <c r="AC1" s="556"/>
      <c r="AD1" s="556"/>
      <c r="AE1" s="556"/>
      <c r="AF1" s="556"/>
      <c r="AG1" s="556"/>
      <c r="AH1" s="556"/>
      <c r="AI1" s="556"/>
      <c r="AJ1" s="556"/>
      <c r="AK1" s="556"/>
      <c r="AL1" s="556"/>
      <c r="AM1" s="556"/>
      <c r="AN1" s="556"/>
      <c r="AO1" s="556"/>
      <c r="AP1" s="556"/>
      <c r="AQ1" s="556"/>
      <c r="AR1" s="556"/>
      <c r="AS1" s="556"/>
      <c r="AT1" s="556"/>
      <c r="AU1" s="556"/>
      <c r="AV1" s="556"/>
      <c r="AW1" s="556"/>
      <c r="AX1" s="556"/>
      <c r="AY1" s="556"/>
      <c r="AZ1" s="556"/>
      <c r="BA1" s="556"/>
      <c r="BB1" s="556"/>
      <c r="BC1" s="556"/>
      <c r="BD1" s="556"/>
      <c r="BE1" s="556"/>
      <c r="BF1" s="556"/>
      <c r="BG1" s="556"/>
      <c r="BH1" s="556"/>
      <c r="BI1" s="556"/>
      <c r="BJ1" s="556"/>
      <c r="BK1" s="556"/>
      <c r="BL1" s="556"/>
      <c r="BM1" s="556"/>
      <c r="BN1" s="556"/>
      <c r="BO1" s="556"/>
      <c r="BP1" s="556"/>
      <c r="BQ1" s="556"/>
      <c r="BR1" s="556"/>
      <c r="BS1" s="556"/>
      <c r="BT1" s="556"/>
      <c r="BU1" s="556"/>
      <c r="BV1" s="556"/>
      <c r="BW1" s="556"/>
      <c r="BX1" s="556"/>
      <c r="BY1" s="556"/>
      <c r="BZ1" s="556"/>
      <c r="CA1" s="556"/>
      <c r="CB1" s="556"/>
      <c r="CC1" s="556"/>
      <c r="CD1" s="556"/>
      <c r="CE1" s="556"/>
      <c r="CF1" s="556"/>
      <c r="CG1" s="556"/>
      <c r="CH1" s="556"/>
      <c r="CI1" s="556"/>
      <c r="CJ1" s="556"/>
      <c r="CK1" s="556"/>
      <c r="CL1" s="556"/>
      <c r="CM1" s="556"/>
      <c r="CN1" s="556"/>
      <c r="CO1" s="556"/>
      <c r="CP1" s="662"/>
      <c r="CQ1" s="2" t="s">
        <v>1</v>
      </c>
      <c r="CR1" s="3">
        <v>43458</v>
      </c>
      <c r="CS1" s="40"/>
      <c r="CT1" s="40"/>
      <c r="CU1" s="40"/>
      <c r="CV1" s="40"/>
      <c r="CW1" s="40"/>
      <c r="CX1" s="40"/>
      <c r="CY1" s="40"/>
      <c r="CZ1" s="40"/>
      <c r="DA1" s="40"/>
      <c r="DB1" s="40"/>
      <c r="DC1" s="40"/>
      <c r="DD1" s="40"/>
      <c r="DE1" s="40"/>
      <c r="DF1" s="40"/>
      <c r="DG1" s="40"/>
      <c r="DH1" s="40"/>
      <c r="DI1" s="40"/>
      <c r="DJ1" s="40"/>
    </row>
    <row r="2" spans="1:114" s="201" customFormat="1" ht="19.5" customHeight="1" x14ac:dyDescent="0.25">
      <c r="A2" s="40"/>
      <c r="B2" s="40"/>
      <c r="C2" s="556"/>
      <c r="D2" s="556"/>
      <c r="E2" s="556"/>
      <c r="F2" s="556"/>
      <c r="G2" s="556"/>
      <c r="H2" s="556"/>
      <c r="I2" s="556"/>
      <c r="J2" s="556"/>
      <c r="K2" s="556"/>
      <c r="L2" s="556"/>
      <c r="M2" s="556"/>
      <c r="N2" s="556"/>
      <c r="O2" s="556"/>
      <c r="P2" s="556"/>
      <c r="Q2" s="556"/>
      <c r="R2" s="556"/>
      <c r="S2" s="556"/>
      <c r="T2" s="556"/>
      <c r="U2" s="556"/>
      <c r="V2" s="556"/>
      <c r="W2" s="556"/>
      <c r="X2" s="556"/>
      <c r="Y2" s="556"/>
      <c r="Z2" s="556"/>
      <c r="AA2" s="556"/>
      <c r="AB2" s="556"/>
      <c r="AC2" s="556"/>
      <c r="AD2" s="556"/>
      <c r="AE2" s="556"/>
      <c r="AF2" s="556"/>
      <c r="AG2" s="556"/>
      <c r="AH2" s="556"/>
      <c r="AI2" s="556"/>
      <c r="AJ2" s="556"/>
      <c r="AK2" s="556"/>
      <c r="AL2" s="556"/>
      <c r="AM2" s="556"/>
      <c r="AN2" s="556"/>
      <c r="AO2" s="556"/>
      <c r="AP2" s="556"/>
      <c r="AQ2" s="556"/>
      <c r="AR2" s="556"/>
      <c r="AS2" s="556"/>
      <c r="AT2" s="556"/>
      <c r="AU2" s="556"/>
      <c r="AV2" s="556"/>
      <c r="AW2" s="556"/>
      <c r="AX2" s="556"/>
      <c r="AY2" s="556"/>
      <c r="AZ2" s="556"/>
      <c r="BA2" s="556"/>
      <c r="BB2" s="556"/>
      <c r="BC2" s="556"/>
      <c r="BD2" s="556"/>
      <c r="BE2" s="556"/>
      <c r="BF2" s="556"/>
      <c r="BG2" s="556"/>
      <c r="BH2" s="556"/>
      <c r="BI2" s="556"/>
      <c r="BJ2" s="556"/>
      <c r="BK2" s="556"/>
      <c r="BL2" s="556"/>
      <c r="BM2" s="556"/>
      <c r="BN2" s="556"/>
      <c r="BO2" s="556"/>
      <c r="BP2" s="556"/>
      <c r="BQ2" s="556"/>
      <c r="BR2" s="556"/>
      <c r="BS2" s="556"/>
      <c r="BT2" s="556"/>
      <c r="BU2" s="556"/>
      <c r="BV2" s="556"/>
      <c r="BW2" s="556"/>
      <c r="BX2" s="556"/>
      <c r="BY2" s="556"/>
      <c r="BZ2" s="556"/>
      <c r="CA2" s="556"/>
      <c r="CB2" s="556"/>
      <c r="CC2" s="556"/>
      <c r="CD2" s="556"/>
      <c r="CE2" s="556"/>
      <c r="CF2" s="556"/>
      <c r="CG2" s="556"/>
      <c r="CH2" s="556"/>
      <c r="CI2" s="556"/>
      <c r="CJ2" s="556"/>
      <c r="CK2" s="556"/>
      <c r="CL2" s="556"/>
      <c r="CM2" s="556"/>
      <c r="CN2" s="556"/>
      <c r="CO2" s="556"/>
      <c r="CP2" s="662"/>
      <c r="CQ2" s="2" t="s">
        <v>2</v>
      </c>
      <c r="CR2" s="2">
        <v>5</v>
      </c>
      <c r="CS2" s="40"/>
      <c r="CT2" s="40"/>
      <c r="CU2" s="40"/>
      <c r="CV2" s="40"/>
      <c r="CW2" s="40"/>
      <c r="CX2" s="40"/>
      <c r="CY2" s="40"/>
      <c r="CZ2" s="40"/>
      <c r="DA2" s="40"/>
      <c r="DB2" s="40"/>
      <c r="DC2" s="40"/>
      <c r="DD2" s="40"/>
      <c r="DE2" s="40"/>
      <c r="DF2" s="40"/>
      <c r="DG2" s="40"/>
      <c r="DH2" s="40"/>
      <c r="DI2" s="40"/>
      <c r="DJ2" s="40"/>
    </row>
    <row r="3" spans="1:114" s="201" customFormat="1" ht="15.75" customHeight="1" x14ac:dyDescent="0.25">
      <c r="A3" s="40"/>
      <c r="B3" s="40"/>
      <c r="C3" s="556"/>
      <c r="D3" s="556"/>
      <c r="E3" s="556"/>
      <c r="F3" s="556"/>
      <c r="G3" s="556"/>
      <c r="H3" s="556"/>
      <c r="I3" s="556"/>
      <c r="J3" s="556"/>
      <c r="K3" s="556"/>
      <c r="L3" s="556"/>
      <c r="M3" s="556"/>
      <c r="N3" s="556"/>
      <c r="O3" s="556"/>
      <c r="P3" s="556"/>
      <c r="Q3" s="556"/>
      <c r="R3" s="556"/>
      <c r="S3" s="556"/>
      <c r="T3" s="556"/>
      <c r="U3" s="556"/>
      <c r="V3" s="556"/>
      <c r="W3" s="556"/>
      <c r="X3" s="556"/>
      <c r="Y3" s="556"/>
      <c r="Z3" s="556"/>
      <c r="AA3" s="556"/>
      <c r="AB3" s="556"/>
      <c r="AC3" s="556"/>
      <c r="AD3" s="556"/>
      <c r="AE3" s="556"/>
      <c r="AF3" s="556"/>
      <c r="AG3" s="556"/>
      <c r="AH3" s="556"/>
      <c r="AI3" s="556"/>
      <c r="AJ3" s="556"/>
      <c r="AK3" s="556"/>
      <c r="AL3" s="556"/>
      <c r="AM3" s="556"/>
      <c r="AN3" s="556"/>
      <c r="AO3" s="556"/>
      <c r="AP3" s="556"/>
      <c r="AQ3" s="556"/>
      <c r="AR3" s="556"/>
      <c r="AS3" s="556"/>
      <c r="AT3" s="556"/>
      <c r="AU3" s="556"/>
      <c r="AV3" s="556"/>
      <c r="AW3" s="556"/>
      <c r="AX3" s="556"/>
      <c r="AY3" s="556"/>
      <c r="AZ3" s="556"/>
      <c r="BA3" s="556"/>
      <c r="BB3" s="556"/>
      <c r="BC3" s="556"/>
      <c r="BD3" s="556"/>
      <c r="BE3" s="556"/>
      <c r="BF3" s="556"/>
      <c r="BG3" s="556"/>
      <c r="BH3" s="556"/>
      <c r="BI3" s="556"/>
      <c r="BJ3" s="556"/>
      <c r="BK3" s="556"/>
      <c r="BL3" s="556"/>
      <c r="BM3" s="556"/>
      <c r="BN3" s="556"/>
      <c r="BO3" s="556"/>
      <c r="BP3" s="556"/>
      <c r="BQ3" s="556"/>
      <c r="BR3" s="556"/>
      <c r="BS3" s="556"/>
      <c r="BT3" s="556"/>
      <c r="BU3" s="556"/>
      <c r="BV3" s="556"/>
      <c r="BW3" s="556"/>
      <c r="BX3" s="556"/>
      <c r="BY3" s="556"/>
      <c r="BZ3" s="556"/>
      <c r="CA3" s="556"/>
      <c r="CB3" s="556"/>
      <c r="CC3" s="556"/>
      <c r="CD3" s="556"/>
      <c r="CE3" s="556"/>
      <c r="CF3" s="556"/>
      <c r="CG3" s="556"/>
      <c r="CH3" s="556"/>
      <c r="CI3" s="556"/>
      <c r="CJ3" s="556"/>
      <c r="CK3" s="556"/>
      <c r="CL3" s="556"/>
      <c r="CM3" s="556"/>
      <c r="CN3" s="556"/>
      <c r="CO3" s="556"/>
      <c r="CP3" s="662"/>
      <c r="CQ3" s="2" t="s">
        <v>3</v>
      </c>
      <c r="CR3" s="2" t="s">
        <v>4</v>
      </c>
      <c r="CS3" s="40"/>
      <c r="CT3" s="40"/>
      <c r="CU3" s="40"/>
      <c r="CV3" s="40"/>
      <c r="CW3" s="40"/>
      <c r="CX3" s="40"/>
      <c r="CY3" s="40"/>
      <c r="CZ3" s="40"/>
      <c r="DA3" s="40"/>
      <c r="DB3" s="40"/>
      <c r="DC3" s="40"/>
      <c r="DD3" s="40"/>
      <c r="DE3" s="40"/>
      <c r="DF3" s="40"/>
      <c r="DG3" s="40"/>
      <c r="DH3" s="40"/>
      <c r="DI3" s="40"/>
      <c r="DJ3" s="40"/>
    </row>
    <row r="4" spans="1:114" s="202" customFormat="1" ht="15" customHeight="1" x14ac:dyDescent="0.25">
      <c r="A4" s="557" t="s">
        <v>5</v>
      </c>
      <c r="B4" s="558"/>
      <c r="C4" s="558"/>
      <c r="D4" s="558"/>
      <c r="E4" s="558"/>
      <c r="F4" s="558"/>
      <c r="G4" s="558"/>
      <c r="H4" s="558"/>
      <c r="I4" s="558"/>
      <c r="J4" s="558"/>
      <c r="K4" s="559"/>
      <c r="L4" s="560" t="s">
        <v>6</v>
      </c>
      <c r="M4" s="561"/>
      <c r="N4" s="561"/>
      <c r="O4" s="561"/>
      <c r="P4" s="562"/>
      <c r="Q4" s="560" t="s">
        <v>7</v>
      </c>
      <c r="R4" s="561"/>
      <c r="S4" s="561"/>
      <c r="T4" s="561"/>
      <c r="U4" s="562"/>
      <c r="V4" s="563" t="s">
        <v>8</v>
      </c>
      <c r="W4" s="564"/>
      <c r="X4" s="567" t="s">
        <v>9</v>
      </c>
      <c r="Y4" s="549" t="s">
        <v>10</v>
      </c>
      <c r="Z4" s="550"/>
      <c r="AA4" s="550"/>
      <c r="AB4" s="550"/>
      <c r="AC4" s="550"/>
      <c r="AD4" s="550"/>
      <c r="AE4" s="550"/>
      <c r="AF4" s="551"/>
      <c r="AG4" s="549" t="s">
        <v>11</v>
      </c>
      <c r="AH4" s="550"/>
      <c r="AI4" s="550"/>
      <c r="AJ4" s="550"/>
      <c r="AK4" s="550"/>
      <c r="AL4" s="550"/>
      <c r="AM4" s="550"/>
      <c r="AN4" s="551"/>
      <c r="AO4" s="549" t="s">
        <v>12</v>
      </c>
      <c r="AP4" s="550"/>
      <c r="AQ4" s="550"/>
      <c r="AR4" s="550"/>
      <c r="AS4" s="550"/>
      <c r="AT4" s="550"/>
      <c r="AU4" s="550"/>
      <c r="AV4" s="551"/>
      <c r="AW4" s="549" t="s">
        <v>13</v>
      </c>
      <c r="AX4" s="550"/>
      <c r="AY4" s="550"/>
      <c r="AZ4" s="550"/>
      <c r="BA4" s="550"/>
      <c r="BB4" s="550"/>
      <c r="BC4" s="550"/>
      <c r="BD4" s="551"/>
      <c r="BE4" s="549" t="s">
        <v>14</v>
      </c>
      <c r="BF4" s="550"/>
      <c r="BG4" s="550"/>
      <c r="BH4" s="550"/>
      <c r="BI4" s="550"/>
      <c r="BJ4" s="550"/>
      <c r="BK4" s="550"/>
      <c r="BL4" s="551"/>
      <c r="BM4" s="549" t="s">
        <v>15</v>
      </c>
      <c r="BN4" s="550"/>
      <c r="BO4" s="550"/>
      <c r="BP4" s="550"/>
      <c r="BQ4" s="550"/>
      <c r="BR4" s="550"/>
      <c r="BS4" s="550"/>
      <c r="BT4" s="551"/>
      <c r="BU4" s="549" t="s">
        <v>16</v>
      </c>
      <c r="BV4" s="550"/>
      <c r="BW4" s="550"/>
      <c r="BX4" s="550"/>
      <c r="BY4" s="550"/>
      <c r="BZ4" s="550"/>
      <c r="CA4" s="550"/>
      <c r="CB4" s="551"/>
      <c r="CC4" s="549" t="s">
        <v>382</v>
      </c>
      <c r="CD4" s="550"/>
      <c r="CE4" s="550"/>
      <c r="CF4" s="550"/>
      <c r="CG4" s="550"/>
      <c r="CH4" s="550"/>
      <c r="CI4" s="550"/>
      <c r="CJ4" s="551"/>
      <c r="CK4" s="549" t="s">
        <v>595</v>
      </c>
      <c r="CL4" s="550"/>
      <c r="CM4" s="550"/>
      <c r="CN4" s="550"/>
      <c r="CO4" s="550"/>
      <c r="CP4" s="550"/>
      <c r="CQ4" s="550"/>
      <c r="CR4" s="551"/>
      <c r="CS4" s="349"/>
      <c r="CT4" s="349"/>
      <c r="CU4" s="349"/>
      <c r="CV4" s="349"/>
      <c r="CW4" s="349"/>
      <c r="CX4" s="349"/>
      <c r="CY4" s="349"/>
      <c r="CZ4" s="349"/>
      <c r="DA4" s="349"/>
      <c r="DB4" s="349"/>
      <c r="DC4" s="349"/>
      <c r="DD4" s="349"/>
      <c r="DE4" s="349"/>
      <c r="DF4" s="349"/>
      <c r="DG4" s="349"/>
      <c r="DH4" s="349"/>
      <c r="DI4" s="349"/>
      <c r="DJ4" s="349"/>
    </row>
    <row r="5" spans="1:114" s="202" customFormat="1" ht="30" x14ac:dyDescent="0.25">
      <c r="A5" s="538" t="s">
        <v>17</v>
      </c>
      <c r="B5" s="539"/>
      <c r="C5" s="542"/>
      <c r="D5" s="333" t="s">
        <v>18</v>
      </c>
      <c r="E5" s="538" t="s">
        <v>19</v>
      </c>
      <c r="F5" s="542"/>
      <c r="G5" s="538" t="s">
        <v>20</v>
      </c>
      <c r="H5" s="539"/>
      <c r="I5" s="542"/>
      <c r="J5" s="506" t="s">
        <v>21</v>
      </c>
      <c r="K5" s="506" t="s">
        <v>22</v>
      </c>
      <c r="L5" s="549"/>
      <c r="M5" s="550"/>
      <c r="N5" s="550"/>
      <c r="O5" s="550"/>
      <c r="P5" s="551"/>
      <c r="Q5" s="549"/>
      <c r="R5" s="550"/>
      <c r="S5" s="550"/>
      <c r="T5" s="550"/>
      <c r="U5" s="551"/>
      <c r="V5" s="565"/>
      <c r="W5" s="566"/>
      <c r="X5" s="568"/>
      <c r="Y5" s="538" t="s">
        <v>23</v>
      </c>
      <c r="Z5" s="539"/>
      <c r="AA5" s="539"/>
      <c r="AB5" s="540"/>
      <c r="AC5" s="541" t="s">
        <v>24</v>
      </c>
      <c r="AD5" s="539"/>
      <c r="AE5" s="539"/>
      <c r="AF5" s="542"/>
      <c r="AG5" s="538" t="s">
        <v>23</v>
      </c>
      <c r="AH5" s="539"/>
      <c r="AI5" s="539"/>
      <c r="AJ5" s="540"/>
      <c r="AK5" s="541" t="s">
        <v>24</v>
      </c>
      <c r="AL5" s="539"/>
      <c r="AM5" s="539"/>
      <c r="AN5" s="542"/>
      <c r="AO5" s="538" t="s">
        <v>23</v>
      </c>
      <c r="AP5" s="539"/>
      <c r="AQ5" s="539"/>
      <c r="AR5" s="540"/>
      <c r="AS5" s="541" t="s">
        <v>24</v>
      </c>
      <c r="AT5" s="539"/>
      <c r="AU5" s="539"/>
      <c r="AV5" s="542"/>
      <c r="AW5" s="538" t="s">
        <v>23</v>
      </c>
      <c r="AX5" s="539"/>
      <c r="AY5" s="539"/>
      <c r="AZ5" s="540"/>
      <c r="BA5" s="541" t="s">
        <v>24</v>
      </c>
      <c r="BB5" s="539"/>
      <c r="BC5" s="539"/>
      <c r="BD5" s="542"/>
      <c r="BE5" s="538" t="s">
        <v>23</v>
      </c>
      <c r="BF5" s="539"/>
      <c r="BG5" s="539"/>
      <c r="BH5" s="540"/>
      <c r="BI5" s="541" t="s">
        <v>24</v>
      </c>
      <c r="BJ5" s="539"/>
      <c r="BK5" s="539"/>
      <c r="BL5" s="542"/>
      <c r="BM5" s="538" t="s">
        <v>23</v>
      </c>
      <c r="BN5" s="539"/>
      <c r="BO5" s="539"/>
      <c r="BP5" s="540"/>
      <c r="BQ5" s="541" t="s">
        <v>24</v>
      </c>
      <c r="BR5" s="539"/>
      <c r="BS5" s="539"/>
      <c r="BT5" s="542"/>
      <c r="BU5" s="538" t="s">
        <v>23</v>
      </c>
      <c r="BV5" s="539"/>
      <c r="BW5" s="539"/>
      <c r="BX5" s="540"/>
      <c r="BY5" s="541" t="s">
        <v>24</v>
      </c>
      <c r="BZ5" s="539"/>
      <c r="CA5" s="539"/>
      <c r="CB5" s="542"/>
      <c r="CC5" s="538" t="s">
        <v>23</v>
      </c>
      <c r="CD5" s="539"/>
      <c r="CE5" s="539"/>
      <c r="CF5" s="540"/>
      <c r="CG5" s="541" t="s">
        <v>24</v>
      </c>
      <c r="CH5" s="539"/>
      <c r="CI5" s="539"/>
      <c r="CJ5" s="542"/>
      <c r="CK5" s="538" t="s">
        <v>23</v>
      </c>
      <c r="CL5" s="539"/>
      <c r="CM5" s="539"/>
      <c r="CN5" s="540"/>
      <c r="CO5" s="541" t="s">
        <v>24</v>
      </c>
      <c r="CP5" s="539"/>
      <c r="CQ5" s="539"/>
      <c r="CR5" s="542"/>
      <c r="CS5" s="349"/>
      <c r="CT5" s="349"/>
      <c r="CU5" s="349"/>
      <c r="CV5" s="349"/>
      <c r="CW5" s="349"/>
      <c r="CX5" s="349"/>
      <c r="CY5" s="349"/>
      <c r="CZ5" s="349"/>
      <c r="DA5" s="349"/>
      <c r="DB5" s="349"/>
      <c r="DC5" s="349"/>
      <c r="DD5" s="349"/>
      <c r="DE5" s="349"/>
      <c r="DF5" s="349"/>
      <c r="DG5" s="349"/>
      <c r="DH5" s="349"/>
      <c r="DI5" s="349"/>
      <c r="DJ5" s="349"/>
    </row>
    <row r="6" spans="1:114" s="202" customFormat="1" ht="45" x14ac:dyDescent="0.25">
      <c r="A6" s="150" t="s">
        <v>25</v>
      </c>
      <c r="B6" s="150" t="s">
        <v>26</v>
      </c>
      <c r="C6" s="150" t="s">
        <v>27</v>
      </c>
      <c r="D6" s="150" t="s">
        <v>28</v>
      </c>
      <c r="E6" s="150" t="s">
        <v>29</v>
      </c>
      <c r="F6" s="150" t="s">
        <v>30</v>
      </c>
      <c r="G6" s="150" t="s">
        <v>31</v>
      </c>
      <c r="H6" s="150" t="s">
        <v>32</v>
      </c>
      <c r="I6" s="150" t="s">
        <v>33</v>
      </c>
      <c r="J6" s="552"/>
      <c r="K6" s="552"/>
      <c r="L6" s="150" t="s">
        <v>6</v>
      </c>
      <c r="M6" s="150" t="s">
        <v>34</v>
      </c>
      <c r="N6" s="150" t="s">
        <v>35</v>
      </c>
      <c r="O6" s="150" t="s">
        <v>36</v>
      </c>
      <c r="P6" s="150" t="s">
        <v>37</v>
      </c>
      <c r="Q6" s="150" t="s">
        <v>7</v>
      </c>
      <c r="R6" s="150" t="s">
        <v>38</v>
      </c>
      <c r="S6" s="150" t="s">
        <v>35</v>
      </c>
      <c r="T6" s="150" t="s">
        <v>36</v>
      </c>
      <c r="U6" s="150" t="s">
        <v>39</v>
      </c>
      <c r="V6" s="203" t="s">
        <v>40</v>
      </c>
      <c r="W6" s="203" t="s">
        <v>41</v>
      </c>
      <c r="X6" s="150" t="s">
        <v>42</v>
      </c>
      <c r="Y6" s="150" t="s">
        <v>43</v>
      </c>
      <c r="Z6" s="150" t="s">
        <v>44</v>
      </c>
      <c r="AA6" s="150" t="s">
        <v>45</v>
      </c>
      <c r="AB6" s="150" t="s">
        <v>46</v>
      </c>
      <c r="AC6" s="150" t="s">
        <v>43</v>
      </c>
      <c r="AD6" s="150" t="s">
        <v>44</v>
      </c>
      <c r="AE6" s="150" t="s">
        <v>45</v>
      </c>
      <c r="AF6" s="150" t="s">
        <v>46</v>
      </c>
      <c r="AG6" s="150" t="s">
        <v>43</v>
      </c>
      <c r="AH6" s="150" t="s">
        <v>44</v>
      </c>
      <c r="AI6" s="150" t="s">
        <v>45</v>
      </c>
      <c r="AJ6" s="150" t="s">
        <v>46</v>
      </c>
      <c r="AK6" s="150" t="s">
        <v>43</v>
      </c>
      <c r="AL6" s="150" t="s">
        <v>44</v>
      </c>
      <c r="AM6" s="150" t="s">
        <v>45</v>
      </c>
      <c r="AN6" s="150" t="s">
        <v>46</v>
      </c>
      <c r="AO6" s="150" t="s">
        <v>43</v>
      </c>
      <c r="AP6" s="150" t="s">
        <v>44</v>
      </c>
      <c r="AQ6" s="150" t="s">
        <v>45</v>
      </c>
      <c r="AR6" s="150" t="s">
        <v>46</v>
      </c>
      <c r="AS6" s="150" t="s">
        <v>43</v>
      </c>
      <c r="AT6" s="150" t="s">
        <v>44</v>
      </c>
      <c r="AU6" s="150" t="s">
        <v>45</v>
      </c>
      <c r="AV6" s="150" t="s">
        <v>46</v>
      </c>
      <c r="AW6" s="150" t="s">
        <v>43</v>
      </c>
      <c r="AX6" s="150" t="s">
        <v>44</v>
      </c>
      <c r="AY6" s="150" t="s">
        <v>45</v>
      </c>
      <c r="AZ6" s="150" t="s">
        <v>46</v>
      </c>
      <c r="BA6" s="150" t="s">
        <v>43</v>
      </c>
      <c r="BB6" s="150" t="s">
        <v>44</v>
      </c>
      <c r="BC6" s="150" t="s">
        <v>45</v>
      </c>
      <c r="BD6" s="150" t="s">
        <v>46</v>
      </c>
      <c r="BE6" s="150" t="s">
        <v>43</v>
      </c>
      <c r="BF6" s="150" t="s">
        <v>44</v>
      </c>
      <c r="BG6" s="150" t="s">
        <v>45</v>
      </c>
      <c r="BH6" s="150" t="s">
        <v>46</v>
      </c>
      <c r="BI6" s="150" t="s">
        <v>43</v>
      </c>
      <c r="BJ6" s="150" t="s">
        <v>44</v>
      </c>
      <c r="BK6" s="150" t="s">
        <v>45</v>
      </c>
      <c r="BL6" s="150" t="s">
        <v>46</v>
      </c>
      <c r="BM6" s="150" t="s">
        <v>43</v>
      </c>
      <c r="BN6" s="150" t="s">
        <v>44</v>
      </c>
      <c r="BO6" s="150" t="s">
        <v>45</v>
      </c>
      <c r="BP6" s="150" t="s">
        <v>46</v>
      </c>
      <c r="BQ6" s="150" t="s">
        <v>43</v>
      </c>
      <c r="BR6" s="150" t="s">
        <v>44</v>
      </c>
      <c r="BS6" s="150" t="s">
        <v>45</v>
      </c>
      <c r="BT6" s="150" t="s">
        <v>46</v>
      </c>
      <c r="BU6" s="150" t="s">
        <v>43</v>
      </c>
      <c r="BV6" s="150" t="s">
        <v>44</v>
      </c>
      <c r="BW6" s="150" t="s">
        <v>45</v>
      </c>
      <c r="BX6" s="150" t="s">
        <v>46</v>
      </c>
      <c r="BY6" s="150" t="s">
        <v>43</v>
      </c>
      <c r="BZ6" s="150" t="s">
        <v>44</v>
      </c>
      <c r="CA6" s="150" t="s">
        <v>45</v>
      </c>
      <c r="CB6" s="150" t="s">
        <v>46</v>
      </c>
      <c r="CC6" s="150" t="s">
        <v>43</v>
      </c>
      <c r="CD6" s="150" t="s">
        <v>44</v>
      </c>
      <c r="CE6" s="150" t="s">
        <v>45</v>
      </c>
      <c r="CF6" s="150" t="s">
        <v>46</v>
      </c>
      <c r="CG6" s="150" t="s">
        <v>43</v>
      </c>
      <c r="CH6" s="150" t="s">
        <v>44</v>
      </c>
      <c r="CI6" s="150" t="s">
        <v>45</v>
      </c>
      <c r="CJ6" s="150" t="s">
        <v>46</v>
      </c>
      <c r="CK6" s="150" t="s">
        <v>43</v>
      </c>
      <c r="CL6" s="150" t="s">
        <v>44</v>
      </c>
      <c r="CM6" s="150" t="s">
        <v>45</v>
      </c>
      <c r="CN6" s="150" t="s">
        <v>46</v>
      </c>
      <c r="CO6" s="150" t="s">
        <v>43</v>
      </c>
      <c r="CP6" s="150" t="s">
        <v>44</v>
      </c>
      <c r="CQ6" s="150" t="s">
        <v>45</v>
      </c>
      <c r="CR6" s="150" t="s">
        <v>46</v>
      </c>
      <c r="CS6" s="349"/>
      <c r="CT6" s="349"/>
      <c r="CU6" s="349"/>
      <c r="CV6" s="349"/>
      <c r="CW6" s="349"/>
      <c r="CX6" s="349"/>
      <c r="CY6" s="349"/>
      <c r="CZ6" s="349"/>
      <c r="DA6" s="349"/>
      <c r="DB6" s="349"/>
      <c r="DC6" s="349"/>
      <c r="DD6" s="349"/>
      <c r="DE6" s="349"/>
      <c r="DF6" s="349"/>
      <c r="DG6" s="349"/>
      <c r="DH6" s="349"/>
      <c r="DI6" s="349"/>
      <c r="DJ6" s="349"/>
    </row>
    <row r="7" spans="1:114" s="210" customFormat="1" ht="147" customHeight="1" x14ac:dyDescent="0.25">
      <c r="A7" s="543"/>
      <c r="B7" s="547" t="s">
        <v>48</v>
      </c>
      <c r="C7" s="543" t="s">
        <v>49</v>
      </c>
      <c r="D7" s="547" t="s">
        <v>790</v>
      </c>
      <c r="E7" s="543" t="s">
        <v>51</v>
      </c>
      <c r="F7" s="547" t="s">
        <v>791</v>
      </c>
      <c r="G7" s="543" t="s">
        <v>719</v>
      </c>
      <c r="H7" s="547" t="s">
        <v>792</v>
      </c>
      <c r="I7" s="547" t="s">
        <v>669</v>
      </c>
      <c r="J7" s="543" t="s">
        <v>793</v>
      </c>
      <c r="K7" s="543" t="s">
        <v>792</v>
      </c>
      <c r="L7" s="207" t="s">
        <v>794</v>
      </c>
      <c r="M7" s="330" t="s">
        <v>795</v>
      </c>
      <c r="N7" s="330" t="s">
        <v>60</v>
      </c>
      <c r="O7" s="330"/>
      <c r="P7" s="330">
        <v>1</v>
      </c>
      <c r="Q7" s="169"/>
      <c r="R7" s="169"/>
      <c r="S7" s="169"/>
      <c r="T7" s="169"/>
      <c r="U7" s="169"/>
      <c r="V7" s="331">
        <v>973954634</v>
      </c>
      <c r="W7" s="544">
        <v>45317466258</v>
      </c>
      <c r="X7" s="543" t="s">
        <v>796</v>
      </c>
      <c r="Y7" s="336">
        <v>0</v>
      </c>
      <c r="Z7" s="336">
        <v>1</v>
      </c>
      <c r="AA7" s="328">
        <v>0</v>
      </c>
      <c r="AB7" s="336" t="s">
        <v>797</v>
      </c>
      <c r="AC7" s="169"/>
      <c r="AD7" s="169"/>
      <c r="AE7" s="169"/>
      <c r="AF7" s="169"/>
      <c r="AG7" s="336">
        <v>0</v>
      </c>
      <c r="AH7" s="336">
        <v>1</v>
      </c>
      <c r="AI7" s="328">
        <v>0</v>
      </c>
      <c r="AJ7" s="336" t="s">
        <v>797</v>
      </c>
      <c r="AK7" s="169"/>
      <c r="AL7" s="169"/>
      <c r="AM7" s="169"/>
      <c r="AN7" s="169"/>
      <c r="AO7" s="336">
        <v>0</v>
      </c>
      <c r="AP7" s="336">
        <v>1</v>
      </c>
      <c r="AQ7" s="328">
        <v>0</v>
      </c>
      <c r="AR7" s="336" t="s">
        <v>798</v>
      </c>
      <c r="AS7" s="169"/>
      <c r="AT7" s="169"/>
      <c r="AU7" s="169"/>
      <c r="AV7" s="169"/>
      <c r="AW7" s="336"/>
      <c r="AX7" s="336"/>
      <c r="AY7" s="328"/>
      <c r="AZ7" s="336"/>
      <c r="BA7" s="169"/>
      <c r="BB7" s="169"/>
      <c r="BC7" s="169"/>
      <c r="BD7" s="169"/>
      <c r="BE7" s="336"/>
      <c r="BF7" s="336"/>
      <c r="BG7" s="328"/>
      <c r="BH7" s="336"/>
      <c r="BI7" s="169"/>
      <c r="BJ7" s="169"/>
      <c r="BK7" s="169"/>
      <c r="BL7" s="169"/>
      <c r="BM7" s="336"/>
      <c r="BN7" s="336"/>
      <c r="BO7" s="328"/>
      <c r="BP7" s="336"/>
      <c r="BQ7" s="169"/>
      <c r="BR7" s="169"/>
      <c r="BS7" s="169"/>
      <c r="BT7" s="169"/>
      <c r="BU7" s="336"/>
      <c r="BV7" s="336"/>
      <c r="BW7" s="328"/>
      <c r="BX7" s="336"/>
      <c r="BY7" s="169"/>
      <c r="BZ7" s="169"/>
      <c r="CA7" s="169"/>
      <c r="CB7" s="169"/>
      <c r="CC7" s="336"/>
      <c r="CD7" s="336"/>
      <c r="CE7" s="328"/>
      <c r="CF7" s="336"/>
      <c r="CG7" s="169"/>
      <c r="CH7" s="169"/>
      <c r="CI7" s="169"/>
      <c r="CJ7" s="169"/>
      <c r="CK7" s="336"/>
      <c r="CL7" s="336"/>
      <c r="CM7" s="328"/>
      <c r="CN7" s="336"/>
      <c r="CO7" s="169"/>
      <c r="CP7" s="169"/>
      <c r="CQ7" s="169"/>
      <c r="CR7" s="169"/>
      <c r="CS7" s="350"/>
      <c r="CT7" s="350"/>
      <c r="CU7" s="350"/>
      <c r="CV7" s="350"/>
      <c r="CW7" s="350"/>
      <c r="CX7" s="350"/>
      <c r="CY7" s="350"/>
      <c r="CZ7" s="350"/>
      <c r="DA7" s="350"/>
      <c r="DB7" s="350"/>
      <c r="DC7" s="350"/>
      <c r="DD7" s="350"/>
      <c r="DE7" s="350"/>
      <c r="DF7" s="350"/>
      <c r="DG7" s="350"/>
      <c r="DH7" s="350"/>
      <c r="DI7" s="350"/>
      <c r="DJ7" s="350"/>
    </row>
    <row r="8" spans="1:114" s="210" customFormat="1" ht="129" customHeight="1" x14ac:dyDescent="0.25">
      <c r="A8" s="532"/>
      <c r="B8" s="548"/>
      <c r="C8" s="532"/>
      <c r="D8" s="548"/>
      <c r="E8" s="532"/>
      <c r="F8" s="548"/>
      <c r="G8" s="532"/>
      <c r="H8" s="548"/>
      <c r="I8" s="548"/>
      <c r="J8" s="532"/>
      <c r="K8" s="532"/>
      <c r="L8" s="332" t="s">
        <v>805</v>
      </c>
      <c r="M8" s="332" t="s">
        <v>806</v>
      </c>
      <c r="N8" s="332" t="s">
        <v>93</v>
      </c>
      <c r="O8" s="332"/>
      <c r="P8" s="332">
        <v>1</v>
      </c>
      <c r="Q8" s="169"/>
      <c r="R8" s="169"/>
      <c r="S8" s="169"/>
      <c r="T8" s="169"/>
      <c r="U8" s="169"/>
      <c r="V8" s="329">
        <v>174099510</v>
      </c>
      <c r="W8" s="581"/>
      <c r="X8" s="532"/>
      <c r="Y8" s="323">
        <v>0.25</v>
      </c>
      <c r="Z8" s="323">
        <v>1</v>
      </c>
      <c r="AA8" s="323">
        <v>0.25</v>
      </c>
      <c r="AB8" s="323" t="s">
        <v>807</v>
      </c>
      <c r="AC8" s="169"/>
      <c r="AD8" s="169"/>
      <c r="AE8" s="169"/>
      <c r="AF8" s="169"/>
      <c r="AG8" s="323">
        <v>0.25</v>
      </c>
      <c r="AH8" s="323">
        <v>1</v>
      </c>
      <c r="AI8" s="323">
        <v>0.25</v>
      </c>
      <c r="AJ8" s="323" t="s">
        <v>807</v>
      </c>
      <c r="AK8" s="169"/>
      <c r="AL8" s="169"/>
      <c r="AM8" s="169"/>
      <c r="AN8" s="169"/>
      <c r="AO8" s="323">
        <v>0</v>
      </c>
      <c r="AP8" s="323">
        <v>1</v>
      </c>
      <c r="AQ8" s="323">
        <v>0.25</v>
      </c>
      <c r="AR8" s="323" t="s">
        <v>807</v>
      </c>
      <c r="AS8" s="169"/>
      <c r="AT8" s="169"/>
      <c r="AU8" s="169"/>
      <c r="AV8" s="169"/>
      <c r="AW8" s="323"/>
      <c r="AX8" s="323"/>
      <c r="AY8" s="323"/>
      <c r="AZ8" s="323"/>
      <c r="BA8" s="169"/>
      <c r="BB8" s="169"/>
      <c r="BC8" s="169"/>
      <c r="BD8" s="169"/>
      <c r="BE8" s="323"/>
      <c r="BF8" s="323"/>
      <c r="BG8" s="323"/>
      <c r="BH8" s="323"/>
      <c r="BI8" s="169"/>
      <c r="BJ8" s="169"/>
      <c r="BK8" s="169"/>
      <c r="BL8" s="169"/>
      <c r="BM8" s="323"/>
      <c r="BN8" s="323"/>
      <c r="BO8" s="323"/>
      <c r="BP8" s="323"/>
      <c r="BQ8" s="169"/>
      <c r="BR8" s="169"/>
      <c r="BS8" s="169"/>
      <c r="BT8" s="169"/>
      <c r="BU8" s="323"/>
      <c r="BV8" s="323"/>
      <c r="BW8" s="323"/>
      <c r="BX8" s="323"/>
      <c r="BY8" s="169"/>
      <c r="BZ8" s="169"/>
      <c r="CA8" s="169"/>
      <c r="CB8" s="169"/>
      <c r="CC8" s="323"/>
      <c r="CD8" s="323"/>
      <c r="CE8" s="323"/>
      <c r="CF8" s="323"/>
      <c r="CG8" s="169"/>
      <c r="CH8" s="169"/>
      <c r="CI8" s="169"/>
      <c r="CJ8" s="169"/>
      <c r="CK8" s="323"/>
      <c r="CL8" s="323"/>
      <c r="CM8" s="323"/>
      <c r="CN8" s="323"/>
      <c r="CO8" s="169"/>
      <c r="CP8" s="169"/>
      <c r="CQ8" s="169"/>
      <c r="CR8" s="169"/>
      <c r="CS8" s="350"/>
      <c r="CT8" s="350"/>
      <c r="CU8" s="350"/>
      <c r="CV8" s="350"/>
      <c r="CW8" s="350"/>
      <c r="CX8" s="350"/>
      <c r="CY8" s="350"/>
      <c r="CZ8" s="350"/>
      <c r="DA8" s="350"/>
      <c r="DB8" s="350"/>
      <c r="DC8" s="350"/>
      <c r="DD8" s="350"/>
      <c r="DE8" s="350"/>
      <c r="DF8" s="350"/>
      <c r="DG8" s="350"/>
      <c r="DH8" s="350"/>
      <c r="DI8" s="350"/>
      <c r="DJ8" s="350"/>
    </row>
    <row r="9" spans="1:114" s="210" customFormat="1" ht="51" x14ac:dyDescent="0.25">
      <c r="A9" s="532"/>
      <c r="B9" s="548"/>
      <c r="C9" s="532"/>
      <c r="D9" s="548"/>
      <c r="E9" s="532"/>
      <c r="F9" s="548"/>
      <c r="G9" s="532"/>
      <c r="H9" s="548"/>
      <c r="I9" s="548"/>
      <c r="J9" s="532"/>
      <c r="K9" s="532"/>
      <c r="L9" s="532" t="s">
        <v>814</v>
      </c>
      <c r="M9" s="532" t="s">
        <v>815</v>
      </c>
      <c r="N9" s="532" t="s">
        <v>93</v>
      </c>
      <c r="O9" s="532" t="s">
        <v>816</v>
      </c>
      <c r="P9" s="546">
        <v>0.75</v>
      </c>
      <c r="Q9" s="330" t="s">
        <v>817</v>
      </c>
      <c r="R9" s="330" t="s">
        <v>818</v>
      </c>
      <c r="S9" s="330" t="s">
        <v>60</v>
      </c>
      <c r="T9" s="330"/>
      <c r="U9" s="330">
        <v>3</v>
      </c>
      <c r="V9" s="545">
        <v>823917875</v>
      </c>
      <c r="W9" s="581"/>
      <c r="X9" s="532"/>
      <c r="Y9" s="575">
        <v>0</v>
      </c>
      <c r="Z9" s="575">
        <v>0.75</v>
      </c>
      <c r="AA9" s="575" t="s">
        <v>799</v>
      </c>
      <c r="AB9" s="578" t="s">
        <v>819</v>
      </c>
      <c r="AC9" s="336">
        <v>2</v>
      </c>
      <c r="AD9" s="336">
        <v>3</v>
      </c>
      <c r="AE9" s="328">
        <v>0.66666666666666663</v>
      </c>
      <c r="AF9" s="327" t="s">
        <v>820</v>
      </c>
      <c r="AG9" s="575">
        <v>0</v>
      </c>
      <c r="AH9" s="575">
        <v>0.75</v>
      </c>
      <c r="AI9" s="575"/>
      <c r="AJ9" s="578" t="s">
        <v>819</v>
      </c>
      <c r="AK9" s="336">
        <v>2</v>
      </c>
      <c r="AL9" s="336">
        <v>3</v>
      </c>
      <c r="AM9" s="328">
        <v>0.66666666666666663</v>
      </c>
      <c r="AN9" s="327" t="s">
        <v>820</v>
      </c>
      <c r="AO9" s="575"/>
      <c r="AP9" s="575"/>
      <c r="AQ9" s="575"/>
      <c r="AR9" s="578"/>
      <c r="AS9" s="336">
        <v>2</v>
      </c>
      <c r="AT9" s="336">
        <v>3</v>
      </c>
      <c r="AU9" s="328">
        <v>0.66666666666666663</v>
      </c>
      <c r="AV9" s="327" t="s">
        <v>820</v>
      </c>
      <c r="AW9" s="575"/>
      <c r="AX9" s="575"/>
      <c r="AY9" s="575"/>
      <c r="AZ9" s="578"/>
      <c r="BA9" s="336"/>
      <c r="BB9" s="336"/>
      <c r="BC9" s="328"/>
      <c r="BD9" s="327"/>
      <c r="BE9" s="575"/>
      <c r="BF9" s="575"/>
      <c r="BG9" s="575"/>
      <c r="BH9" s="578"/>
      <c r="BI9" s="336"/>
      <c r="BJ9" s="336"/>
      <c r="BK9" s="328"/>
      <c r="BL9" s="327"/>
      <c r="BM9" s="575"/>
      <c r="BN9" s="575"/>
      <c r="BO9" s="575"/>
      <c r="BP9" s="578"/>
      <c r="BQ9" s="336"/>
      <c r="BR9" s="336"/>
      <c r="BS9" s="328"/>
      <c r="BT9" s="327"/>
      <c r="BU9" s="575"/>
      <c r="BV9" s="575"/>
      <c r="BW9" s="575"/>
      <c r="BX9" s="578"/>
      <c r="BY9" s="336"/>
      <c r="BZ9" s="336"/>
      <c r="CA9" s="328"/>
      <c r="CB9" s="327"/>
      <c r="CC9" s="575"/>
      <c r="CD9" s="575"/>
      <c r="CE9" s="575"/>
      <c r="CF9" s="578"/>
      <c r="CG9" s="336"/>
      <c r="CH9" s="336"/>
      <c r="CI9" s="328"/>
      <c r="CJ9" s="327"/>
      <c r="CK9" s="575"/>
      <c r="CL9" s="575"/>
      <c r="CM9" s="575"/>
      <c r="CN9" s="578"/>
      <c r="CO9" s="336"/>
      <c r="CP9" s="336"/>
      <c r="CQ9" s="328"/>
      <c r="CR9" s="327"/>
      <c r="CS9" s="350"/>
      <c r="CT9" s="350"/>
      <c r="CU9" s="350"/>
      <c r="CV9" s="350"/>
      <c r="CW9" s="350"/>
      <c r="CX9" s="350"/>
      <c r="CY9" s="350"/>
      <c r="CZ9" s="350"/>
      <c r="DA9" s="350"/>
      <c r="DB9" s="350"/>
      <c r="DC9" s="350"/>
      <c r="DD9" s="350"/>
      <c r="DE9" s="350"/>
      <c r="DF9" s="350"/>
      <c r="DG9" s="350"/>
      <c r="DH9" s="350"/>
      <c r="DI9" s="350"/>
      <c r="DJ9" s="350"/>
    </row>
    <row r="10" spans="1:114" s="210" customFormat="1" ht="165.75" x14ac:dyDescent="0.25">
      <c r="A10" s="532"/>
      <c r="B10" s="548"/>
      <c r="C10" s="532"/>
      <c r="D10" s="548"/>
      <c r="E10" s="532"/>
      <c r="F10" s="548"/>
      <c r="G10" s="532"/>
      <c r="H10" s="548"/>
      <c r="I10" s="548"/>
      <c r="J10" s="532"/>
      <c r="K10" s="532"/>
      <c r="L10" s="532"/>
      <c r="M10" s="532"/>
      <c r="N10" s="532"/>
      <c r="O10" s="532"/>
      <c r="P10" s="546"/>
      <c r="Q10" s="332" t="s">
        <v>1038</v>
      </c>
      <c r="R10" s="332" t="s">
        <v>1039</v>
      </c>
      <c r="S10" s="332" t="s">
        <v>93</v>
      </c>
      <c r="T10" s="332"/>
      <c r="U10" s="221">
        <v>0.9</v>
      </c>
      <c r="V10" s="545"/>
      <c r="W10" s="581"/>
      <c r="X10" s="532"/>
      <c r="Y10" s="576"/>
      <c r="Z10" s="576"/>
      <c r="AA10" s="576"/>
      <c r="AB10" s="579"/>
      <c r="AC10" s="337">
        <v>0.74199999999999999</v>
      </c>
      <c r="AD10" s="337">
        <v>0.9</v>
      </c>
      <c r="AE10" s="337">
        <f>+AC10/AD10</f>
        <v>0.82444444444444442</v>
      </c>
      <c r="AF10" s="338" t="s">
        <v>1040</v>
      </c>
      <c r="AG10" s="576"/>
      <c r="AH10" s="576"/>
      <c r="AI10" s="576"/>
      <c r="AJ10" s="579"/>
      <c r="AK10" s="337">
        <v>0.75600000000000001</v>
      </c>
      <c r="AL10" s="337">
        <v>0.9</v>
      </c>
      <c r="AM10" s="337">
        <f>75%/AL10</f>
        <v>0.83333333333333326</v>
      </c>
      <c r="AN10" s="338" t="s">
        <v>1041</v>
      </c>
      <c r="AO10" s="576"/>
      <c r="AP10" s="576"/>
      <c r="AQ10" s="576"/>
      <c r="AR10" s="579"/>
      <c r="AS10" s="337">
        <v>0.82399999999999995</v>
      </c>
      <c r="AT10" s="337">
        <v>0.9</v>
      </c>
      <c r="AU10" s="337">
        <f>77.4%/AT10</f>
        <v>0.86</v>
      </c>
      <c r="AV10" s="338" t="s">
        <v>1042</v>
      </c>
      <c r="AW10" s="576"/>
      <c r="AX10" s="576"/>
      <c r="AY10" s="576"/>
      <c r="AZ10" s="579"/>
      <c r="BA10" s="337">
        <v>0.998</v>
      </c>
      <c r="BB10" s="337">
        <v>0.9</v>
      </c>
      <c r="BC10" s="337">
        <f>83.3%/BB10</f>
        <v>0.92555555555555546</v>
      </c>
      <c r="BD10" s="338" t="s">
        <v>1043</v>
      </c>
      <c r="BE10" s="576"/>
      <c r="BF10" s="576"/>
      <c r="BG10" s="576"/>
      <c r="BH10" s="579"/>
      <c r="BI10" s="337">
        <v>1</v>
      </c>
      <c r="BJ10" s="337">
        <v>0.9</v>
      </c>
      <c r="BK10" s="337">
        <f>86.9%/BJ10</f>
        <v>0.96555555555555561</v>
      </c>
      <c r="BL10" s="338" t="s">
        <v>1044</v>
      </c>
      <c r="BM10" s="576"/>
      <c r="BN10" s="576"/>
      <c r="BO10" s="576"/>
      <c r="BP10" s="579"/>
      <c r="BQ10" s="337">
        <v>1</v>
      </c>
      <c r="BR10" s="337">
        <v>0.9</v>
      </c>
      <c r="BS10" s="337">
        <f>89.2%/BR10</f>
        <v>0.99111111111111105</v>
      </c>
      <c r="BT10" s="338" t="s">
        <v>1045</v>
      </c>
      <c r="BU10" s="576"/>
      <c r="BV10" s="576"/>
      <c r="BW10" s="576"/>
      <c r="BX10" s="579"/>
      <c r="BY10" s="337">
        <v>0.91100000000000003</v>
      </c>
      <c r="BZ10" s="337">
        <v>0.9</v>
      </c>
      <c r="CA10" s="337">
        <f>+BY10/BZ10</f>
        <v>1.0122222222222221</v>
      </c>
      <c r="CB10" s="338" t="s">
        <v>1046</v>
      </c>
      <c r="CC10" s="576"/>
      <c r="CD10" s="576"/>
      <c r="CE10" s="576"/>
      <c r="CF10" s="579"/>
      <c r="CG10" s="337">
        <v>0.91200000000000003</v>
      </c>
      <c r="CH10" s="337">
        <v>0.9</v>
      </c>
      <c r="CI10" s="337">
        <f>+CG10/CH10</f>
        <v>1.0133333333333334</v>
      </c>
      <c r="CJ10" s="338" t="s">
        <v>1047</v>
      </c>
      <c r="CK10" s="576"/>
      <c r="CL10" s="576"/>
      <c r="CM10" s="576"/>
      <c r="CN10" s="579"/>
      <c r="CO10" s="337">
        <v>0.93</v>
      </c>
      <c r="CP10" s="337">
        <v>0.9</v>
      </c>
      <c r="CQ10" s="337">
        <f>+CO10/CP10</f>
        <v>1.0333333333333334</v>
      </c>
      <c r="CR10" s="338" t="s">
        <v>1048</v>
      </c>
      <c r="CS10" s="350"/>
      <c r="CT10" s="350"/>
      <c r="CU10" s="350"/>
      <c r="CV10" s="350"/>
      <c r="CW10" s="350"/>
      <c r="CX10" s="350"/>
      <c r="CY10" s="350"/>
      <c r="CZ10" s="350"/>
      <c r="DA10" s="350"/>
      <c r="DB10" s="350"/>
      <c r="DC10" s="350"/>
      <c r="DD10" s="350"/>
      <c r="DE10" s="350"/>
      <c r="DF10" s="350"/>
      <c r="DG10" s="350"/>
      <c r="DH10" s="350"/>
      <c r="DI10" s="350"/>
      <c r="DJ10" s="350"/>
    </row>
    <row r="11" spans="1:114" s="210" customFormat="1" ht="108" x14ac:dyDescent="0.25">
      <c r="A11" s="532"/>
      <c r="B11" s="548"/>
      <c r="C11" s="532"/>
      <c r="D11" s="548"/>
      <c r="E11" s="532"/>
      <c r="F11" s="548"/>
      <c r="G11" s="532"/>
      <c r="H11" s="548"/>
      <c r="I11" s="548"/>
      <c r="J11" s="532"/>
      <c r="K11" s="532"/>
      <c r="L11" s="532"/>
      <c r="M11" s="532"/>
      <c r="N11" s="532"/>
      <c r="O11" s="532"/>
      <c r="P11" s="546"/>
      <c r="Q11" s="330" t="s">
        <v>825</v>
      </c>
      <c r="R11" s="330" t="s">
        <v>826</v>
      </c>
      <c r="S11" s="330" t="s">
        <v>93</v>
      </c>
      <c r="T11" s="330"/>
      <c r="U11" s="334">
        <v>1</v>
      </c>
      <c r="V11" s="545"/>
      <c r="W11" s="581"/>
      <c r="X11" s="532"/>
      <c r="Y11" s="577"/>
      <c r="Z11" s="577"/>
      <c r="AA11" s="577"/>
      <c r="AB11" s="580"/>
      <c r="AC11" s="336"/>
      <c r="AD11" s="328">
        <v>1</v>
      </c>
      <c r="AE11" s="328"/>
      <c r="AF11" s="327" t="s">
        <v>819</v>
      </c>
      <c r="AG11" s="577"/>
      <c r="AH11" s="577"/>
      <c r="AI11" s="577"/>
      <c r="AJ11" s="580"/>
      <c r="AK11" s="336"/>
      <c r="AL11" s="328"/>
      <c r="AM11" s="328"/>
      <c r="AN11" s="327"/>
      <c r="AO11" s="577"/>
      <c r="AP11" s="577"/>
      <c r="AQ11" s="577"/>
      <c r="AR11" s="580"/>
      <c r="AS11" s="336">
        <v>0.25</v>
      </c>
      <c r="AT11" s="328">
        <v>1</v>
      </c>
      <c r="AU11" s="328">
        <v>0.25</v>
      </c>
      <c r="AV11" s="327" t="s">
        <v>828</v>
      </c>
      <c r="AW11" s="577"/>
      <c r="AX11" s="577"/>
      <c r="AY11" s="577"/>
      <c r="AZ11" s="580"/>
      <c r="BA11" s="336"/>
      <c r="BB11" s="328"/>
      <c r="BC11" s="328"/>
      <c r="BD11" s="327"/>
      <c r="BE11" s="577"/>
      <c r="BF11" s="577"/>
      <c r="BG11" s="577"/>
      <c r="BH11" s="580"/>
      <c r="BI11" s="336"/>
      <c r="BJ11" s="328"/>
      <c r="BK11" s="328"/>
      <c r="BL11" s="327"/>
      <c r="BM11" s="577"/>
      <c r="BN11" s="577"/>
      <c r="BO11" s="577"/>
      <c r="BP11" s="580"/>
      <c r="BQ11" s="336"/>
      <c r="BR11" s="328"/>
      <c r="BS11" s="328"/>
      <c r="BT11" s="327"/>
      <c r="BU11" s="577"/>
      <c r="BV11" s="577"/>
      <c r="BW11" s="577"/>
      <c r="BX11" s="580"/>
      <c r="BY11" s="336"/>
      <c r="BZ11" s="328"/>
      <c r="CA11" s="328"/>
      <c r="CB11" s="327"/>
      <c r="CC11" s="577"/>
      <c r="CD11" s="577"/>
      <c r="CE11" s="577"/>
      <c r="CF11" s="580"/>
      <c r="CG11" s="336"/>
      <c r="CH11" s="328"/>
      <c r="CI11" s="328"/>
      <c r="CJ11" s="327"/>
      <c r="CK11" s="577"/>
      <c r="CL11" s="577"/>
      <c r="CM11" s="577"/>
      <c r="CN11" s="580"/>
      <c r="CO11" s="336"/>
      <c r="CP11" s="328"/>
      <c r="CQ11" s="328"/>
      <c r="CR11" s="327"/>
      <c r="CS11" s="350"/>
      <c r="CT11" s="350"/>
      <c r="CU11" s="350"/>
      <c r="CV11" s="350"/>
      <c r="CW11" s="350"/>
      <c r="CX11" s="350"/>
      <c r="CY11" s="350"/>
      <c r="CZ11" s="350"/>
      <c r="DA11" s="350"/>
      <c r="DB11" s="350"/>
      <c r="DC11" s="350"/>
      <c r="DD11" s="350"/>
      <c r="DE11" s="350"/>
      <c r="DF11" s="350"/>
      <c r="DG11" s="350"/>
      <c r="DH11" s="350"/>
      <c r="DI11" s="350"/>
      <c r="DJ11" s="350"/>
    </row>
    <row r="12" spans="1:114" s="210" customFormat="1" ht="113.25" customHeight="1" x14ac:dyDescent="0.25">
      <c r="A12" s="532"/>
      <c r="B12" s="548"/>
      <c r="C12" s="532"/>
      <c r="D12" s="548"/>
      <c r="E12" s="532"/>
      <c r="F12" s="548"/>
      <c r="G12" s="532"/>
      <c r="H12" s="548"/>
      <c r="I12" s="548"/>
      <c r="J12" s="532"/>
      <c r="K12" s="532"/>
      <c r="L12" s="234" t="s">
        <v>831</v>
      </c>
      <c r="M12" s="332" t="s">
        <v>1049</v>
      </c>
      <c r="N12" s="332" t="s">
        <v>93</v>
      </c>
      <c r="O12" s="332" t="s">
        <v>833</v>
      </c>
      <c r="P12" s="221">
        <v>1</v>
      </c>
      <c r="Q12" s="169"/>
      <c r="R12" s="169"/>
      <c r="S12" s="169"/>
      <c r="T12" s="169"/>
      <c r="U12" s="169"/>
      <c r="V12" s="329">
        <v>501086229</v>
      </c>
      <c r="W12" s="581"/>
      <c r="X12" s="532"/>
      <c r="Y12" s="323">
        <v>1</v>
      </c>
      <c r="Z12" s="323">
        <v>1</v>
      </c>
      <c r="AA12" s="323">
        <v>1</v>
      </c>
      <c r="AB12" s="322" t="s">
        <v>834</v>
      </c>
      <c r="AC12" s="169"/>
      <c r="AD12" s="169"/>
      <c r="AE12" s="169"/>
      <c r="AF12" s="169"/>
      <c r="AG12" s="323">
        <v>0.99171270718232041</v>
      </c>
      <c r="AH12" s="323">
        <v>1</v>
      </c>
      <c r="AI12" s="323">
        <f>+AG12/AH12</f>
        <v>0.99171270718232041</v>
      </c>
      <c r="AJ12" s="322" t="s">
        <v>1050</v>
      </c>
      <c r="AK12" s="169"/>
      <c r="AL12" s="169"/>
      <c r="AM12" s="169"/>
      <c r="AN12" s="169"/>
      <c r="AO12" s="323">
        <v>0.99259807549962986</v>
      </c>
      <c r="AP12" s="323">
        <v>1</v>
      </c>
      <c r="AQ12" s="323">
        <v>0.25</v>
      </c>
      <c r="AR12" s="322" t="s">
        <v>1051</v>
      </c>
      <c r="AS12" s="169"/>
      <c r="AT12" s="169"/>
      <c r="AU12" s="169"/>
      <c r="AV12" s="169"/>
      <c r="AW12" s="323"/>
      <c r="AX12" s="323"/>
      <c r="AY12" s="323"/>
      <c r="AZ12" s="322"/>
      <c r="BA12" s="169"/>
      <c r="BB12" s="169"/>
      <c r="BC12" s="169"/>
      <c r="BD12" s="169"/>
      <c r="BE12" s="323"/>
      <c r="BF12" s="323"/>
      <c r="BG12" s="323"/>
      <c r="BH12" s="322"/>
      <c r="BI12" s="169"/>
      <c r="BJ12" s="169"/>
      <c r="BK12" s="169"/>
      <c r="BL12" s="169"/>
      <c r="BM12" s="323"/>
      <c r="BN12" s="323"/>
      <c r="BO12" s="323"/>
      <c r="BP12" s="322"/>
      <c r="BQ12" s="169"/>
      <c r="BR12" s="169"/>
      <c r="BS12" s="169"/>
      <c r="BT12" s="169"/>
      <c r="BU12" s="323"/>
      <c r="BV12" s="323"/>
      <c r="BW12" s="323"/>
      <c r="BX12" s="322"/>
      <c r="BY12" s="169"/>
      <c r="BZ12" s="169"/>
      <c r="CA12" s="169"/>
      <c r="CB12" s="169"/>
      <c r="CC12" s="323"/>
      <c r="CD12" s="323"/>
      <c r="CE12" s="323"/>
      <c r="CF12" s="322"/>
      <c r="CG12" s="169"/>
      <c r="CH12" s="169"/>
      <c r="CI12" s="169"/>
      <c r="CJ12" s="169"/>
      <c r="CK12" s="323"/>
      <c r="CL12" s="323"/>
      <c r="CM12" s="323"/>
      <c r="CN12" s="322"/>
      <c r="CO12" s="169"/>
      <c r="CP12" s="169"/>
      <c r="CQ12" s="169"/>
      <c r="CR12" s="169"/>
      <c r="CS12" s="350"/>
      <c r="CT12" s="350"/>
      <c r="CU12" s="350"/>
      <c r="CV12" s="350"/>
      <c r="CW12" s="350"/>
      <c r="CX12" s="350"/>
      <c r="CY12" s="350"/>
      <c r="CZ12" s="350"/>
      <c r="DA12" s="350"/>
      <c r="DB12" s="350"/>
      <c r="DC12" s="350"/>
      <c r="DD12" s="350"/>
      <c r="DE12" s="350"/>
      <c r="DF12" s="350"/>
      <c r="DG12" s="350"/>
      <c r="DH12" s="350"/>
      <c r="DI12" s="350"/>
      <c r="DJ12" s="350"/>
    </row>
    <row r="13" spans="1:114" s="210" customFormat="1" ht="39.75" customHeight="1" x14ac:dyDescent="0.25">
      <c r="A13" s="532"/>
      <c r="B13" s="548"/>
      <c r="C13" s="532"/>
      <c r="D13" s="332"/>
      <c r="E13" s="330"/>
      <c r="F13" s="332"/>
      <c r="G13" s="532"/>
      <c r="H13" s="332"/>
      <c r="I13" s="332"/>
      <c r="J13" s="532"/>
      <c r="K13" s="330"/>
      <c r="L13" s="234"/>
      <c r="M13" s="332"/>
      <c r="N13" s="332"/>
      <c r="O13" s="332"/>
      <c r="P13" s="221"/>
      <c r="Q13" s="169"/>
      <c r="R13" s="169"/>
      <c r="S13" s="169"/>
      <c r="T13" s="169"/>
      <c r="U13" s="169"/>
      <c r="V13" s="329"/>
      <c r="W13" s="581"/>
      <c r="X13" s="330"/>
      <c r="Y13" s="382" t="s">
        <v>102</v>
      </c>
      <c r="Z13" s="382"/>
      <c r="AA13" s="42">
        <f>+AVERAGE(AA7:AA12)</f>
        <v>0.41666666666666669</v>
      </c>
      <c r="AB13" s="339"/>
      <c r="AC13" s="382" t="s">
        <v>1052</v>
      </c>
      <c r="AD13" s="382"/>
      <c r="AE13" s="42">
        <f>+AVERAGE(AE9:AE11)</f>
        <v>0.74555555555555553</v>
      </c>
      <c r="AF13" s="339"/>
      <c r="AG13" s="382" t="s">
        <v>1053</v>
      </c>
      <c r="AH13" s="382"/>
      <c r="AI13" s="42">
        <f>+AVERAGE(AI8:AI12)</f>
        <v>0.6208563535911602</v>
      </c>
      <c r="AJ13" s="339"/>
      <c r="AK13" s="382" t="s">
        <v>1052</v>
      </c>
      <c r="AL13" s="382"/>
      <c r="AM13" s="42">
        <f>+AVERAGE(AM9:AM11)</f>
        <v>0.75</v>
      </c>
      <c r="AN13" s="339"/>
      <c r="AO13" s="382" t="s">
        <v>1053</v>
      </c>
      <c r="AP13" s="382"/>
      <c r="AQ13" s="42">
        <f>+AVERAGE(AQ8:AQ12)</f>
        <v>0.25</v>
      </c>
      <c r="AR13" s="339"/>
      <c r="AS13" s="382" t="s">
        <v>1052</v>
      </c>
      <c r="AT13" s="382"/>
      <c r="AU13" s="42">
        <f>+AVERAGE(AU9:AU11)</f>
        <v>0.59222222222222221</v>
      </c>
      <c r="AV13" s="339"/>
      <c r="AW13" s="382" t="s">
        <v>1053</v>
      </c>
      <c r="AX13" s="382"/>
      <c r="AY13" s="42"/>
      <c r="AZ13" s="339"/>
      <c r="BA13" s="382" t="s">
        <v>1052</v>
      </c>
      <c r="BB13" s="382"/>
      <c r="BC13" s="42">
        <f>+AVERAGE(BC9:BC11)</f>
        <v>0.92555555555555546</v>
      </c>
      <c r="BD13" s="339"/>
      <c r="BE13" s="382" t="s">
        <v>1053</v>
      </c>
      <c r="BF13" s="382"/>
      <c r="BG13" s="42"/>
      <c r="BH13" s="339"/>
      <c r="BI13" s="382" t="s">
        <v>1052</v>
      </c>
      <c r="BJ13" s="382"/>
      <c r="BK13" s="42">
        <f>+AVERAGE(BK9:BK11)</f>
        <v>0.96555555555555561</v>
      </c>
      <c r="BL13" s="339"/>
      <c r="BM13" s="382" t="s">
        <v>1053</v>
      </c>
      <c r="BN13" s="382"/>
      <c r="BO13" s="42"/>
      <c r="BP13" s="339"/>
      <c r="BQ13" s="382" t="s">
        <v>1052</v>
      </c>
      <c r="BR13" s="382"/>
      <c r="BS13" s="42">
        <f>+AVERAGE(BS9:BS11)</f>
        <v>0.99111111111111105</v>
      </c>
      <c r="BT13" s="339"/>
      <c r="BU13" s="382" t="s">
        <v>1053</v>
      </c>
      <c r="BV13" s="382"/>
      <c r="BW13" s="42"/>
      <c r="BX13" s="339"/>
      <c r="BY13" s="382" t="s">
        <v>1052</v>
      </c>
      <c r="BZ13" s="382"/>
      <c r="CA13" s="42">
        <f>+AVERAGE(CA9:CA11)</f>
        <v>1.0122222222222221</v>
      </c>
      <c r="CB13" s="339"/>
      <c r="CC13" s="382" t="s">
        <v>1053</v>
      </c>
      <c r="CD13" s="382"/>
      <c r="CE13" s="42"/>
      <c r="CF13" s="339"/>
      <c r="CG13" s="382" t="s">
        <v>1052</v>
      </c>
      <c r="CH13" s="382"/>
      <c r="CI13" s="42">
        <f>+AVERAGE(CI9:CI11)</f>
        <v>1.0133333333333334</v>
      </c>
      <c r="CJ13" s="339"/>
      <c r="CK13" s="382" t="s">
        <v>1053</v>
      </c>
      <c r="CL13" s="382"/>
      <c r="CM13" s="42"/>
      <c r="CN13" s="339"/>
      <c r="CO13" s="382" t="s">
        <v>1052</v>
      </c>
      <c r="CP13" s="382"/>
      <c r="CQ13" s="42">
        <f>+AVERAGE(CQ9:CQ11)</f>
        <v>1.0333333333333334</v>
      </c>
      <c r="CR13" s="339"/>
      <c r="CS13" s="350"/>
      <c r="CT13" s="350"/>
      <c r="CU13" s="350"/>
      <c r="CV13" s="350"/>
      <c r="CW13" s="350"/>
      <c r="CX13" s="350"/>
      <c r="CY13" s="350"/>
      <c r="CZ13" s="350"/>
      <c r="DA13" s="350"/>
      <c r="DB13" s="350"/>
      <c r="DC13" s="350"/>
      <c r="DD13" s="350"/>
      <c r="DE13" s="350"/>
      <c r="DF13" s="350"/>
      <c r="DG13" s="350"/>
      <c r="DH13" s="350"/>
      <c r="DI13" s="350"/>
      <c r="DJ13" s="350"/>
    </row>
    <row r="14" spans="1:114" s="210" customFormat="1" ht="89.25" x14ac:dyDescent="0.25">
      <c r="A14" s="532"/>
      <c r="B14" s="548"/>
      <c r="C14" s="532"/>
      <c r="D14" s="532" t="s">
        <v>717</v>
      </c>
      <c r="E14" s="532" t="s">
        <v>51</v>
      </c>
      <c r="F14" s="532" t="s">
        <v>851</v>
      </c>
      <c r="G14" s="532"/>
      <c r="H14" s="532" t="s">
        <v>1054</v>
      </c>
      <c r="I14" s="532" t="s">
        <v>1055</v>
      </c>
      <c r="J14" s="532"/>
      <c r="K14" s="548" t="s">
        <v>1056</v>
      </c>
      <c r="L14" s="330" t="s">
        <v>1057</v>
      </c>
      <c r="M14" s="330" t="s">
        <v>1058</v>
      </c>
      <c r="N14" s="330" t="s">
        <v>93</v>
      </c>
      <c r="O14" s="330">
        <v>0</v>
      </c>
      <c r="P14" s="335">
        <v>0.8</v>
      </c>
      <c r="Q14" s="169"/>
      <c r="R14" s="169"/>
      <c r="S14" s="169"/>
      <c r="T14" s="169"/>
      <c r="U14" s="169"/>
      <c r="V14" s="331">
        <v>110676323</v>
      </c>
      <c r="W14" s="581"/>
      <c r="X14" s="532" t="s">
        <v>1059</v>
      </c>
      <c r="Y14" s="328"/>
      <c r="Z14" s="328"/>
      <c r="AA14" s="328"/>
      <c r="AB14" s="328" t="s">
        <v>1060</v>
      </c>
      <c r="AC14" s="169"/>
      <c r="AD14" s="169"/>
      <c r="AE14" s="169"/>
      <c r="AF14" s="169"/>
      <c r="AG14" s="328" t="s">
        <v>669</v>
      </c>
      <c r="AH14" s="328">
        <v>0.8</v>
      </c>
      <c r="AI14" s="328" t="s">
        <v>669</v>
      </c>
      <c r="AJ14" s="328" t="s">
        <v>1061</v>
      </c>
      <c r="AK14" s="169"/>
      <c r="AL14" s="169"/>
      <c r="AM14" s="169"/>
      <c r="AN14" s="169"/>
      <c r="AO14" s="328">
        <v>0.61399999999999999</v>
      </c>
      <c r="AP14" s="328">
        <v>0.8</v>
      </c>
      <c r="AQ14" s="328">
        <v>0.76749999999999996</v>
      </c>
      <c r="AR14" s="328" t="s">
        <v>1062</v>
      </c>
      <c r="AS14" s="169"/>
      <c r="AT14" s="169"/>
      <c r="AU14" s="169"/>
      <c r="AV14" s="169"/>
      <c r="AW14" s="328"/>
      <c r="AX14" s="328">
        <v>0.8</v>
      </c>
      <c r="AY14" s="328"/>
      <c r="AZ14" s="328" t="s">
        <v>1063</v>
      </c>
      <c r="BA14" s="169"/>
      <c r="BB14" s="169"/>
      <c r="BC14" s="169"/>
      <c r="BD14" s="169"/>
      <c r="BE14" s="328"/>
      <c r="BF14" s="328">
        <v>0.8</v>
      </c>
      <c r="BG14" s="328"/>
      <c r="BH14" s="328" t="s">
        <v>1064</v>
      </c>
      <c r="BI14" s="169"/>
      <c r="BJ14" s="169"/>
      <c r="BK14" s="169"/>
      <c r="BL14" s="169"/>
      <c r="BM14" s="328">
        <v>0.80500000000000005</v>
      </c>
      <c r="BN14" s="328">
        <v>0.8</v>
      </c>
      <c r="BO14" s="328">
        <f>(1824/2265)/BN14</f>
        <v>1.0066225165562914</v>
      </c>
      <c r="BP14" s="328" t="s">
        <v>1065</v>
      </c>
      <c r="BQ14" s="169"/>
      <c r="BR14" s="169"/>
      <c r="BS14" s="169"/>
      <c r="BT14" s="169"/>
      <c r="BU14" s="328" t="s">
        <v>799</v>
      </c>
      <c r="BV14" s="328">
        <v>0.8</v>
      </c>
      <c r="BW14" s="328" t="s">
        <v>799</v>
      </c>
      <c r="BX14" s="328" t="s">
        <v>1066</v>
      </c>
      <c r="BY14" s="169"/>
      <c r="BZ14" s="169"/>
      <c r="CA14" s="169"/>
      <c r="CB14" s="169"/>
      <c r="CC14" s="328" t="s">
        <v>799</v>
      </c>
      <c r="CD14" s="328">
        <v>0.8</v>
      </c>
      <c r="CE14" s="328" t="s">
        <v>799</v>
      </c>
      <c r="CF14" s="328" t="s">
        <v>1066</v>
      </c>
      <c r="CG14" s="169"/>
      <c r="CH14" s="169"/>
      <c r="CI14" s="169"/>
      <c r="CJ14" s="169"/>
      <c r="CK14" s="328">
        <v>0.878</v>
      </c>
      <c r="CL14" s="328">
        <v>0.8</v>
      </c>
      <c r="CM14" s="328">
        <f>+CK14/CL14</f>
        <v>1.0974999999999999</v>
      </c>
      <c r="CN14" s="328" t="s">
        <v>1067</v>
      </c>
      <c r="CO14" s="169"/>
      <c r="CP14" s="169"/>
      <c r="CQ14" s="169"/>
      <c r="CR14" s="169"/>
      <c r="CS14" s="350"/>
      <c r="CT14" s="350"/>
      <c r="CU14" s="350"/>
      <c r="CV14" s="350"/>
      <c r="CW14" s="350"/>
      <c r="CX14" s="350"/>
      <c r="CY14" s="350"/>
      <c r="CZ14" s="350"/>
      <c r="DA14" s="350"/>
      <c r="DB14" s="350"/>
      <c r="DC14" s="350"/>
      <c r="DD14" s="350"/>
      <c r="DE14" s="350"/>
      <c r="DF14" s="350"/>
      <c r="DG14" s="350"/>
      <c r="DH14" s="350"/>
      <c r="DI14" s="350"/>
      <c r="DJ14" s="350"/>
    </row>
    <row r="15" spans="1:114" s="210" customFormat="1" ht="153" x14ac:dyDescent="0.25">
      <c r="A15" s="532"/>
      <c r="B15" s="548"/>
      <c r="C15" s="532"/>
      <c r="D15" s="532"/>
      <c r="E15" s="532"/>
      <c r="F15" s="532"/>
      <c r="G15" s="532"/>
      <c r="H15" s="532"/>
      <c r="I15" s="532"/>
      <c r="J15" s="532"/>
      <c r="K15" s="548"/>
      <c r="L15" s="234" t="s">
        <v>1068</v>
      </c>
      <c r="M15" s="332" t="s">
        <v>1069</v>
      </c>
      <c r="N15" s="332" t="s">
        <v>93</v>
      </c>
      <c r="O15" s="332">
        <v>0</v>
      </c>
      <c r="P15" s="340">
        <v>1</v>
      </c>
      <c r="Q15" s="169"/>
      <c r="R15" s="169"/>
      <c r="S15" s="169"/>
      <c r="T15" s="169"/>
      <c r="U15" s="169"/>
      <c r="V15" s="329">
        <v>845679065</v>
      </c>
      <c r="W15" s="581"/>
      <c r="X15" s="532"/>
      <c r="Y15" s="323">
        <v>1</v>
      </c>
      <c r="Z15" s="323">
        <v>1</v>
      </c>
      <c r="AA15" s="323">
        <v>1</v>
      </c>
      <c r="AB15" s="323" t="s">
        <v>1070</v>
      </c>
      <c r="AC15" s="169"/>
      <c r="AD15" s="169"/>
      <c r="AE15" s="169"/>
      <c r="AF15" s="169"/>
      <c r="AG15" s="323">
        <v>1</v>
      </c>
      <c r="AH15" s="323">
        <v>1</v>
      </c>
      <c r="AI15" s="323">
        <v>1</v>
      </c>
      <c r="AJ15" s="323" t="s">
        <v>1071</v>
      </c>
      <c r="AK15" s="169"/>
      <c r="AL15" s="169"/>
      <c r="AM15" s="169"/>
      <c r="AN15" s="169"/>
      <c r="AO15" s="323">
        <v>1</v>
      </c>
      <c r="AP15" s="323">
        <v>1</v>
      </c>
      <c r="AQ15" s="323">
        <v>1</v>
      </c>
      <c r="AR15" s="323" t="s">
        <v>1072</v>
      </c>
      <c r="AS15" s="169"/>
      <c r="AT15" s="169"/>
      <c r="AU15" s="169"/>
      <c r="AV15" s="169"/>
      <c r="AW15" s="323">
        <v>1</v>
      </c>
      <c r="AX15" s="323">
        <v>1</v>
      </c>
      <c r="AY15" s="323">
        <v>1</v>
      </c>
      <c r="AZ15" s="323" t="s">
        <v>1073</v>
      </c>
      <c r="BA15" s="169"/>
      <c r="BB15" s="169"/>
      <c r="BC15" s="169"/>
      <c r="BD15" s="169"/>
      <c r="BE15" s="323">
        <v>1</v>
      </c>
      <c r="BF15" s="323">
        <v>1</v>
      </c>
      <c r="BG15" s="323">
        <v>0.41666599999999998</v>
      </c>
      <c r="BH15" s="323" t="s">
        <v>1074</v>
      </c>
      <c r="BI15" s="169"/>
      <c r="BJ15" s="169"/>
      <c r="BK15" s="169"/>
      <c r="BL15" s="169"/>
      <c r="BM15" s="323">
        <v>1</v>
      </c>
      <c r="BN15" s="323">
        <v>1</v>
      </c>
      <c r="BO15" s="323">
        <f>100%*50%</f>
        <v>0.5</v>
      </c>
      <c r="BP15" s="323" t="s">
        <v>1075</v>
      </c>
      <c r="BQ15" s="169"/>
      <c r="BR15" s="169"/>
      <c r="BS15" s="169"/>
      <c r="BT15" s="169"/>
      <c r="BU15" s="323">
        <v>1</v>
      </c>
      <c r="BV15" s="323">
        <v>1</v>
      </c>
      <c r="BW15" s="323">
        <v>1</v>
      </c>
      <c r="BX15" s="323" t="s">
        <v>1076</v>
      </c>
      <c r="BY15" s="169"/>
      <c r="BZ15" s="169"/>
      <c r="CA15" s="169"/>
      <c r="CB15" s="169"/>
      <c r="CC15" s="323">
        <v>1</v>
      </c>
      <c r="CD15" s="323">
        <v>1</v>
      </c>
      <c r="CE15" s="323">
        <v>1</v>
      </c>
      <c r="CF15" s="323" t="s">
        <v>1077</v>
      </c>
      <c r="CG15" s="169"/>
      <c r="CH15" s="169"/>
      <c r="CI15" s="169"/>
      <c r="CJ15" s="169"/>
      <c r="CK15" s="323">
        <v>1</v>
      </c>
      <c r="CL15" s="323">
        <v>1</v>
      </c>
      <c r="CM15" s="323">
        <v>1</v>
      </c>
      <c r="CN15" s="323" t="s">
        <v>1078</v>
      </c>
      <c r="CO15" s="169"/>
      <c r="CP15" s="169"/>
      <c r="CQ15" s="169"/>
      <c r="CR15" s="169"/>
      <c r="CS15" s="350"/>
      <c r="CT15" s="350"/>
      <c r="CU15" s="350"/>
      <c r="CV15" s="350"/>
      <c r="CW15" s="350"/>
      <c r="CX15" s="350"/>
      <c r="CY15" s="350"/>
      <c r="CZ15" s="350"/>
      <c r="DA15" s="350"/>
      <c r="DB15" s="350"/>
      <c r="DC15" s="350"/>
      <c r="DD15" s="350"/>
      <c r="DE15" s="350"/>
      <c r="DF15" s="350"/>
      <c r="DG15" s="350"/>
      <c r="DH15" s="350"/>
      <c r="DI15" s="350"/>
      <c r="DJ15" s="350"/>
    </row>
    <row r="16" spans="1:114" s="210" customFormat="1" ht="76.5" customHeight="1" x14ac:dyDescent="0.25">
      <c r="A16" s="532"/>
      <c r="B16" s="548"/>
      <c r="C16" s="532"/>
      <c r="D16" s="532"/>
      <c r="E16" s="532"/>
      <c r="F16" s="532"/>
      <c r="G16" s="532"/>
      <c r="H16" s="532"/>
      <c r="I16" s="532"/>
      <c r="J16" s="532"/>
      <c r="K16" s="548"/>
      <c r="L16" s="330" t="s">
        <v>1079</v>
      </c>
      <c r="M16" s="330" t="s">
        <v>1080</v>
      </c>
      <c r="N16" s="330" t="s">
        <v>93</v>
      </c>
      <c r="O16" s="330">
        <v>0</v>
      </c>
      <c r="P16" s="335">
        <v>1</v>
      </c>
      <c r="Q16" s="169"/>
      <c r="R16" s="169"/>
      <c r="S16" s="169"/>
      <c r="T16" s="169"/>
      <c r="U16" s="169"/>
      <c r="V16" s="331">
        <v>209203498</v>
      </c>
      <c r="W16" s="581"/>
      <c r="X16" s="532"/>
      <c r="Y16" s="328"/>
      <c r="Z16" s="328"/>
      <c r="AA16" s="328"/>
      <c r="AB16" s="328" t="s">
        <v>1060</v>
      </c>
      <c r="AC16" s="169"/>
      <c r="AD16" s="169"/>
      <c r="AE16" s="169"/>
      <c r="AF16" s="169"/>
      <c r="AG16" s="328" t="s">
        <v>669</v>
      </c>
      <c r="AH16" s="328">
        <v>1</v>
      </c>
      <c r="AI16" s="328" t="s">
        <v>669</v>
      </c>
      <c r="AJ16" s="328" t="s">
        <v>1061</v>
      </c>
      <c r="AK16" s="169"/>
      <c r="AL16" s="169"/>
      <c r="AM16" s="169"/>
      <c r="AN16" s="169"/>
      <c r="AO16" s="328">
        <v>0.52600000000000002</v>
      </c>
      <c r="AP16" s="328">
        <v>1</v>
      </c>
      <c r="AQ16" s="328">
        <f>+AO16/AP16</f>
        <v>0.52600000000000002</v>
      </c>
      <c r="AR16" s="328" t="s">
        <v>1081</v>
      </c>
      <c r="AS16" s="169"/>
      <c r="AT16" s="169"/>
      <c r="AU16" s="169"/>
      <c r="AV16" s="169"/>
      <c r="AW16" s="328"/>
      <c r="AX16" s="328">
        <v>1</v>
      </c>
      <c r="AY16" s="328"/>
      <c r="AZ16" s="328" t="s">
        <v>1063</v>
      </c>
      <c r="BA16" s="169"/>
      <c r="BB16" s="169"/>
      <c r="BC16" s="169"/>
      <c r="BD16" s="169"/>
      <c r="BE16" s="328"/>
      <c r="BF16" s="328"/>
      <c r="BG16" s="328"/>
      <c r="BH16" s="328" t="s">
        <v>1064</v>
      </c>
      <c r="BI16" s="169"/>
      <c r="BJ16" s="169"/>
      <c r="BK16" s="169"/>
      <c r="BL16" s="169"/>
      <c r="BM16" s="328">
        <v>1</v>
      </c>
      <c r="BN16" s="328">
        <v>1</v>
      </c>
      <c r="BO16" s="328">
        <f>+AVERAGE(AO16,BM16)*50%</f>
        <v>0.38150000000000001</v>
      </c>
      <c r="BP16" s="328" t="s">
        <v>1082</v>
      </c>
      <c r="BQ16" s="169"/>
      <c r="BR16" s="169"/>
      <c r="BS16" s="169"/>
      <c r="BT16" s="169"/>
      <c r="BU16" s="328" t="s">
        <v>799</v>
      </c>
      <c r="BV16" s="328">
        <v>1</v>
      </c>
      <c r="BW16" s="328" t="s">
        <v>799</v>
      </c>
      <c r="BX16" s="328" t="s">
        <v>1066</v>
      </c>
      <c r="BY16" s="169"/>
      <c r="BZ16" s="169"/>
      <c r="CA16" s="169"/>
      <c r="CB16" s="169"/>
      <c r="CC16" s="328" t="s">
        <v>799</v>
      </c>
      <c r="CD16" s="328">
        <v>1</v>
      </c>
      <c r="CE16" s="328" t="s">
        <v>799</v>
      </c>
      <c r="CF16" s="328" t="s">
        <v>1066</v>
      </c>
      <c r="CG16" s="169"/>
      <c r="CH16" s="169"/>
      <c r="CI16" s="169"/>
      <c r="CJ16" s="169"/>
      <c r="CK16" s="328">
        <v>1</v>
      </c>
      <c r="CL16" s="328">
        <v>1</v>
      </c>
      <c r="CM16" s="328">
        <v>1</v>
      </c>
      <c r="CN16" s="328" t="s">
        <v>1083</v>
      </c>
      <c r="CO16" s="169"/>
      <c r="CP16" s="169"/>
      <c r="CQ16" s="169"/>
      <c r="CR16" s="169"/>
      <c r="CS16" s="350"/>
      <c r="CT16" s="350"/>
      <c r="CU16" s="350"/>
      <c r="CV16" s="350"/>
      <c r="CW16" s="350"/>
      <c r="CX16" s="350"/>
      <c r="CY16" s="350"/>
      <c r="CZ16" s="350"/>
      <c r="DA16" s="350"/>
      <c r="DB16" s="350"/>
      <c r="DC16" s="350"/>
      <c r="DD16" s="350"/>
      <c r="DE16" s="350"/>
      <c r="DF16" s="350"/>
      <c r="DG16" s="350"/>
      <c r="DH16" s="350"/>
      <c r="DI16" s="350"/>
      <c r="DJ16" s="350"/>
    </row>
    <row r="17" spans="1:114" s="210" customFormat="1" ht="38.25" customHeight="1" x14ac:dyDescent="0.25">
      <c r="A17" s="532"/>
      <c r="B17" s="548"/>
      <c r="C17" s="532"/>
      <c r="D17" s="532"/>
      <c r="E17" s="330"/>
      <c r="F17" s="330"/>
      <c r="G17" s="532"/>
      <c r="H17" s="330"/>
      <c r="I17" s="330"/>
      <c r="J17" s="532"/>
      <c r="K17" s="332"/>
      <c r="L17" s="330"/>
      <c r="M17" s="330"/>
      <c r="N17" s="330"/>
      <c r="O17" s="330"/>
      <c r="P17" s="330"/>
      <c r="Q17" s="169"/>
      <c r="R17" s="169"/>
      <c r="S17" s="169"/>
      <c r="T17" s="169"/>
      <c r="U17" s="169"/>
      <c r="V17" s="331"/>
      <c r="W17" s="581"/>
      <c r="X17" s="330"/>
      <c r="Y17" s="382" t="s">
        <v>102</v>
      </c>
      <c r="Z17" s="382"/>
      <c r="AA17" s="42">
        <f>+AVERAGE(AA14:AA16)</f>
        <v>1</v>
      </c>
      <c r="AB17" s="339"/>
      <c r="AC17" s="569"/>
      <c r="AD17" s="569"/>
      <c r="AE17" s="341"/>
      <c r="AF17" s="339"/>
      <c r="AG17" s="382" t="s">
        <v>1053</v>
      </c>
      <c r="AH17" s="382"/>
      <c r="AI17" s="42">
        <f>+AVERAGE(AI14:AI16)</f>
        <v>1</v>
      </c>
      <c r="AJ17" s="339"/>
      <c r="AK17" s="569"/>
      <c r="AL17" s="569"/>
      <c r="AM17" s="341"/>
      <c r="AN17" s="339"/>
      <c r="AO17" s="382" t="s">
        <v>1053</v>
      </c>
      <c r="AP17" s="382"/>
      <c r="AQ17" s="42">
        <f>+AVERAGE(AQ14:AQ16)</f>
        <v>0.76449999999999996</v>
      </c>
      <c r="AR17" s="339"/>
      <c r="AS17" s="569"/>
      <c r="AT17" s="569"/>
      <c r="AU17" s="341"/>
      <c r="AV17" s="339"/>
      <c r="AW17" s="382" t="s">
        <v>1053</v>
      </c>
      <c r="AX17" s="382"/>
      <c r="AY17" s="42">
        <f>+AVERAGE(AY14:AY16)</f>
        <v>1</v>
      </c>
      <c r="AZ17" s="339"/>
      <c r="BA17" s="569"/>
      <c r="BB17" s="569"/>
      <c r="BC17" s="341"/>
      <c r="BD17" s="339"/>
      <c r="BE17" s="382" t="s">
        <v>1053</v>
      </c>
      <c r="BF17" s="382"/>
      <c r="BG17" s="42">
        <f>+AVERAGE(BG14:BG16)</f>
        <v>0.41666599999999998</v>
      </c>
      <c r="BH17" s="339"/>
      <c r="BI17" s="569"/>
      <c r="BJ17" s="569"/>
      <c r="BK17" s="341"/>
      <c r="BL17" s="339"/>
      <c r="BM17" s="382" t="s">
        <v>1053</v>
      </c>
      <c r="BN17" s="382"/>
      <c r="BO17" s="42">
        <f>+AVERAGE(BO14:BO16)</f>
        <v>0.62937417218543046</v>
      </c>
      <c r="BP17" s="339"/>
      <c r="BQ17" s="569"/>
      <c r="BR17" s="569"/>
      <c r="BS17" s="341"/>
      <c r="BT17" s="339"/>
      <c r="BU17" s="382" t="s">
        <v>1053</v>
      </c>
      <c r="BV17" s="382"/>
      <c r="BW17" s="42">
        <f>+AVERAGE(BW14:BW16)</f>
        <v>1</v>
      </c>
      <c r="BX17" s="339"/>
      <c r="BY17" s="569"/>
      <c r="BZ17" s="569"/>
      <c r="CA17" s="341"/>
      <c r="CB17" s="339"/>
      <c r="CC17" s="382" t="s">
        <v>1053</v>
      </c>
      <c r="CD17" s="382"/>
      <c r="CE17" s="42">
        <f>+AVERAGE(CE14:CE16)</f>
        <v>1</v>
      </c>
      <c r="CF17" s="339"/>
      <c r="CG17" s="569"/>
      <c r="CH17" s="569"/>
      <c r="CI17" s="341"/>
      <c r="CJ17" s="339"/>
      <c r="CK17" s="382" t="s">
        <v>1053</v>
      </c>
      <c r="CL17" s="382"/>
      <c r="CM17" s="42">
        <f>+AVERAGE(CM14:CM16)</f>
        <v>1.0325</v>
      </c>
      <c r="CN17" s="339"/>
      <c r="CO17" s="569"/>
      <c r="CP17" s="569"/>
      <c r="CQ17" s="341"/>
      <c r="CR17" s="339"/>
      <c r="CS17" s="350"/>
      <c r="CT17" s="350"/>
      <c r="CU17" s="350"/>
      <c r="CV17" s="350"/>
      <c r="CW17" s="350"/>
      <c r="CX17" s="350"/>
      <c r="CY17" s="350"/>
      <c r="CZ17" s="350"/>
      <c r="DA17" s="350"/>
      <c r="DB17" s="350"/>
      <c r="DC17" s="350"/>
      <c r="DD17" s="350"/>
      <c r="DE17" s="350"/>
      <c r="DF17" s="350"/>
      <c r="DG17" s="350"/>
      <c r="DH17" s="350"/>
      <c r="DI17" s="350"/>
      <c r="DJ17" s="350"/>
    </row>
    <row r="18" spans="1:114" s="210" customFormat="1" ht="213.75" customHeight="1" x14ac:dyDescent="0.25">
      <c r="A18" s="532"/>
      <c r="B18" s="548"/>
      <c r="C18" s="532"/>
      <c r="D18" s="532"/>
      <c r="E18" s="532" t="s">
        <v>745</v>
      </c>
      <c r="F18" s="532" t="s">
        <v>746</v>
      </c>
      <c r="G18" s="532"/>
      <c r="H18" s="532" t="s">
        <v>1054</v>
      </c>
      <c r="I18" s="532" t="s">
        <v>1084</v>
      </c>
      <c r="J18" s="532"/>
      <c r="K18" s="548" t="s">
        <v>1085</v>
      </c>
      <c r="L18" s="207" t="s">
        <v>1086</v>
      </c>
      <c r="M18" s="330" t="s">
        <v>1087</v>
      </c>
      <c r="N18" s="330" t="s">
        <v>93</v>
      </c>
      <c r="O18" s="330"/>
      <c r="P18" s="330">
        <v>92</v>
      </c>
      <c r="Q18" s="330" t="s">
        <v>1088</v>
      </c>
      <c r="R18" s="330" t="s">
        <v>1089</v>
      </c>
      <c r="S18" s="330" t="s">
        <v>93</v>
      </c>
      <c r="T18" s="330"/>
      <c r="U18" s="330">
        <v>92</v>
      </c>
      <c r="V18" s="331">
        <v>621807541</v>
      </c>
      <c r="W18" s="581"/>
      <c r="X18" s="532" t="s">
        <v>1090</v>
      </c>
      <c r="Y18" s="342">
        <v>6445640723</v>
      </c>
      <c r="Z18" s="328">
        <v>92</v>
      </c>
      <c r="AA18" s="328">
        <v>4.4412228221555897E-2</v>
      </c>
      <c r="AB18" s="328" t="s">
        <v>1091</v>
      </c>
      <c r="AC18" s="342">
        <v>5593386723</v>
      </c>
      <c r="AD18" s="328">
        <v>92</v>
      </c>
      <c r="AE18" s="328">
        <v>5.362199993469851E-2</v>
      </c>
      <c r="AF18" s="328" t="s">
        <v>1092</v>
      </c>
      <c r="AG18" s="342">
        <v>11248540381</v>
      </c>
      <c r="AH18" s="328">
        <v>92</v>
      </c>
      <c r="AI18" s="328">
        <v>7.7505521022562154E-2</v>
      </c>
      <c r="AJ18" s="328" t="s">
        <v>1093</v>
      </c>
      <c r="AK18" s="342">
        <v>9251994529</v>
      </c>
      <c r="AL18" s="328">
        <v>92</v>
      </c>
      <c r="AM18" s="328">
        <v>8.8695896528996163E-2</v>
      </c>
      <c r="AN18" s="328" t="s">
        <v>1094</v>
      </c>
      <c r="AO18" s="342">
        <v>22147193124</v>
      </c>
      <c r="AP18" s="328">
        <v>92</v>
      </c>
      <c r="AQ18" s="328">
        <v>0.1526002204839243</v>
      </c>
      <c r="AR18" s="328" t="s">
        <v>1095</v>
      </c>
      <c r="AS18" s="342">
        <v>19279085420</v>
      </c>
      <c r="AT18" s="328">
        <v>92</v>
      </c>
      <c r="AU18" s="328">
        <v>0.18482239264475883</v>
      </c>
      <c r="AV18" s="328" t="s">
        <v>1096</v>
      </c>
      <c r="AW18" s="342">
        <v>29841449859</v>
      </c>
      <c r="AX18" s="328">
        <v>92</v>
      </c>
      <c r="AY18" s="328">
        <f>AW18/145132117462</f>
        <v>0.20561575467134902</v>
      </c>
      <c r="AZ18" s="328" t="s">
        <v>1097</v>
      </c>
      <c r="BA18" s="342">
        <v>25983570155</v>
      </c>
      <c r="BB18" s="328">
        <v>92</v>
      </c>
      <c r="BC18" s="328">
        <f>BA18/104311415646.781</f>
        <v>0.24909613194192939</v>
      </c>
      <c r="BD18" s="328" t="s">
        <v>1098</v>
      </c>
      <c r="BE18" s="342">
        <v>35483001577</v>
      </c>
      <c r="BF18" s="328">
        <v>0.92</v>
      </c>
      <c r="BG18" s="328">
        <f>24.4487589635633%/BF18</f>
        <v>0.2657473800387315</v>
      </c>
      <c r="BH18" s="328" t="s">
        <v>1099</v>
      </c>
      <c r="BI18" s="342">
        <v>31274822873</v>
      </c>
      <c r="BJ18" s="328">
        <v>0.92</v>
      </c>
      <c r="BK18" s="328">
        <f>29.9821670323244%/BJ18</f>
        <v>0.32589311991656961</v>
      </c>
      <c r="BL18" s="328" t="s">
        <v>1100</v>
      </c>
      <c r="BM18" s="342">
        <v>42197010729</v>
      </c>
      <c r="BN18" s="328">
        <v>0.92</v>
      </c>
      <c r="BO18" s="328">
        <f>52.4318463381342%/BN18</f>
        <v>0.56991137324058916</v>
      </c>
      <c r="BP18" s="328" t="s">
        <v>1101</v>
      </c>
      <c r="BQ18" s="342">
        <v>36412050025</v>
      </c>
      <c r="BR18" s="328">
        <v>0.92</v>
      </c>
      <c r="BS18" s="328">
        <f>52.4441989616781%/BR18</f>
        <v>0.5700456408878054</v>
      </c>
      <c r="BT18" s="328" t="s">
        <v>1102</v>
      </c>
      <c r="BU18" s="367">
        <v>0.60564251599229357</v>
      </c>
      <c r="BV18" s="328">
        <v>0.92</v>
      </c>
      <c r="BW18" s="328">
        <f>+BU18/BV18</f>
        <v>0.65830708260031912</v>
      </c>
      <c r="BX18" s="328" t="s">
        <v>1103</v>
      </c>
      <c r="BY18" s="367">
        <v>0.58757478985345135</v>
      </c>
      <c r="BZ18" s="328">
        <v>0.92</v>
      </c>
      <c r="CA18" s="328">
        <f>+BY18/BZ18</f>
        <v>0.63866824984070791</v>
      </c>
      <c r="CB18" s="328" t="s">
        <v>1104</v>
      </c>
      <c r="CC18" s="367">
        <v>0.67770563636254877</v>
      </c>
      <c r="CD18" s="328">
        <v>0.92</v>
      </c>
      <c r="CE18" s="328">
        <f>+CC18/CD18</f>
        <v>0.73663656126363997</v>
      </c>
      <c r="CF18" s="328" t="s">
        <v>1105</v>
      </c>
      <c r="CG18" s="367">
        <v>0.65249379902883786</v>
      </c>
      <c r="CH18" s="328">
        <v>0.92</v>
      </c>
      <c r="CI18" s="328">
        <f>+CG18/CH18</f>
        <v>0.70923239024873674</v>
      </c>
      <c r="CJ18" s="328" t="s">
        <v>1106</v>
      </c>
      <c r="CK18" s="367">
        <v>0.79452111518866153</v>
      </c>
      <c r="CL18" s="328">
        <v>0.92</v>
      </c>
      <c r="CM18" s="328">
        <f>+CK18/CL18</f>
        <v>0.86360990781376246</v>
      </c>
      <c r="CN18" s="328" t="s">
        <v>1107</v>
      </c>
      <c r="CO18" s="367">
        <v>0.76717302109299002</v>
      </c>
      <c r="CP18" s="328">
        <v>0.92</v>
      </c>
      <c r="CQ18" s="328">
        <f>+CO18/CP18</f>
        <v>0.83388371857933696</v>
      </c>
      <c r="CR18" s="328" t="s">
        <v>1108</v>
      </c>
      <c r="CS18" s="350"/>
      <c r="CT18" s="350"/>
      <c r="CU18" s="350"/>
      <c r="CV18" s="350"/>
      <c r="CW18" s="350"/>
      <c r="CX18" s="350"/>
      <c r="CY18" s="350"/>
      <c r="CZ18" s="350"/>
      <c r="DA18" s="350"/>
      <c r="DB18" s="350"/>
      <c r="DC18" s="350"/>
      <c r="DD18" s="350"/>
      <c r="DE18" s="350"/>
      <c r="DF18" s="350"/>
      <c r="DG18" s="350"/>
      <c r="DH18" s="350"/>
      <c r="DI18" s="350"/>
      <c r="DJ18" s="350"/>
    </row>
    <row r="19" spans="1:114" s="210" customFormat="1" ht="76.5" customHeight="1" x14ac:dyDescent="0.25">
      <c r="A19" s="532"/>
      <c r="B19" s="548"/>
      <c r="C19" s="532"/>
      <c r="D19" s="532"/>
      <c r="E19" s="532"/>
      <c r="F19" s="532"/>
      <c r="G19" s="532"/>
      <c r="H19" s="532"/>
      <c r="I19" s="532"/>
      <c r="J19" s="532"/>
      <c r="K19" s="548"/>
      <c r="L19" s="332" t="s">
        <v>1109</v>
      </c>
      <c r="M19" s="332" t="s">
        <v>1110</v>
      </c>
      <c r="N19" s="332" t="s">
        <v>93</v>
      </c>
      <c r="O19" s="332"/>
      <c r="P19" s="332">
        <v>100</v>
      </c>
      <c r="Q19" s="169"/>
      <c r="R19" s="169"/>
      <c r="S19" s="169"/>
      <c r="T19" s="169"/>
      <c r="U19" s="169"/>
      <c r="V19" s="329">
        <v>182489916</v>
      </c>
      <c r="W19" s="581"/>
      <c r="X19" s="532"/>
      <c r="Y19" s="343">
        <v>0</v>
      </c>
      <c r="Z19" s="323">
        <v>100</v>
      </c>
      <c r="AA19" s="323">
        <v>0</v>
      </c>
      <c r="AB19" s="323" t="s">
        <v>1111</v>
      </c>
      <c r="AC19" s="169"/>
      <c r="AD19" s="169"/>
      <c r="AE19" s="169"/>
      <c r="AF19" s="169"/>
      <c r="AG19" s="343"/>
      <c r="AH19" s="323">
        <v>100</v>
      </c>
      <c r="AI19" s="323"/>
      <c r="AJ19" s="323" t="s">
        <v>1111</v>
      </c>
      <c r="AK19" s="169"/>
      <c r="AL19" s="169"/>
      <c r="AM19" s="169"/>
      <c r="AN19" s="169"/>
      <c r="AO19" s="343" t="s">
        <v>799</v>
      </c>
      <c r="AP19" s="323">
        <v>100</v>
      </c>
      <c r="AQ19" s="323">
        <v>0</v>
      </c>
      <c r="AR19" s="323" t="s">
        <v>1111</v>
      </c>
      <c r="AS19" s="169"/>
      <c r="AT19" s="169"/>
      <c r="AU19" s="169"/>
      <c r="AV19" s="169"/>
      <c r="AW19" s="343"/>
      <c r="AX19" s="323">
        <v>100</v>
      </c>
      <c r="AY19" s="323">
        <v>0</v>
      </c>
      <c r="AZ19" s="323" t="s">
        <v>1112</v>
      </c>
      <c r="BA19" s="169"/>
      <c r="BB19" s="169"/>
      <c r="BC19" s="169"/>
      <c r="BD19" s="169"/>
      <c r="BE19" s="343">
        <v>0.28000000000000003</v>
      </c>
      <c r="BF19" s="323">
        <v>1</v>
      </c>
      <c r="BG19" s="323">
        <f>28%/BF19</f>
        <v>0.28000000000000003</v>
      </c>
      <c r="BH19" s="323" t="s">
        <v>1113</v>
      </c>
      <c r="BI19" s="169"/>
      <c r="BJ19" s="169"/>
      <c r="BK19" s="169"/>
      <c r="BL19" s="169"/>
      <c r="BM19" s="343">
        <v>0.28000000000000003</v>
      </c>
      <c r="BN19" s="323">
        <v>1</v>
      </c>
      <c r="BO19" s="323">
        <v>0.28000000000000003</v>
      </c>
      <c r="BP19" s="323" t="s">
        <v>1113</v>
      </c>
      <c r="BQ19" s="169"/>
      <c r="BR19" s="169"/>
      <c r="BS19" s="169"/>
      <c r="BT19" s="169"/>
      <c r="BU19" s="365">
        <v>0.28000000000000003</v>
      </c>
      <c r="BV19" s="323">
        <v>1</v>
      </c>
      <c r="BW19" s="323">
        <v>0.28000000000000003</v>
      </c>
      <c r="BX19" s="323" t="s">
        <v>1113</v>
      </c>
      <c r="BY19" s="169"/>
      <c r="BZ19" s="169"/>
      <c r="CA19" s="169"/>
      <c r="CB19" s="169"/>
      <c r="CC19" s="365">
        <v>0.6</v>
      </c>
      <c r="CD19" s="323">
        <v>1</v>
      </c>
      <c r="CE19" s="323">
        <f>+CC19/CD19</f>
        <v>0.6</v>
      </c>
      <c r="CF19" s="323" t="s">
        <v>1114</v>
      </c>
      <c r="CG19" s="169"/>
      <c r="CH19" s="169"/>
      <c r="CI19" s="169"/>
      <c r="CJ19" s="169"/>
      <c r="CK19" s="365">
        <v>0.6</v>
      </c>
      <c r="CL19" s="323">
        <v>1</v>
      </c>
      <c r="CM19" s="323">
        <f>+CK19/CL19</f>
        <v>0.6</v>
      </c>
      <c r="CN19" s="323" t="s">
        <v>1115</v>
      </c>
      <c r="CO19" s="169"/>
      <c r="CP19" s="169"/>
      <c r="CQ19" s="169"/>
      <c r="CR19" s="169"/>
      <c r="CS19" s="350"/>
      <c r="CT19" s="350"/>
      <c r="CU19" s="350"/>
      <c r="CV19" s="350"/>
      <c r="CW19" s="350"/>
      <c r="CX19" s="350"/>
      <c r="CY19" s="350"/>
      <c r="CZ19" s="350"/>
      <c r="DA19" s="350"/>
      <c r="DB19" s="350"/>
      <c r="DC19" s="350"/>
      <c r="DD19" s="350"/>
      <c r="DE19" s="350"/>
      <c r="DF19" s="350"/>
      <c r="DG19" s="350"/>
      <c r="DH19" s="350"/>
      <c r="DI19" s="350"/>
      <c r="DJ19" s="350"/>
    </row>
    <row r="20" spans="1:114" s="210" customFormat="1" ht="76.5" customHeight="1" x14ac:dyDescent="0.25">
      <c r="A20" s="532"/>
      <c r="B20" s="548"/>
      <c r="C20" s="532"/>
      <c r="D20" s="532"/>
      <c r="E20" s="532"/>
      <c r="F20" s="532"/>
      <c r="G20" s="532"/>
      <c r="H20" s="532"/>
      <c r="I20" s="532"/>
      <c r="J20" s="532"/>
      <c r="K20" s="548"/>
      <c r="L20" s="207" t="s">
        <v>1116</v>
      </c>
      <c r="M20" s="330" t="s">
        <v>1117</v>
      </c>
      <c r="N20" s="330" t="s">
        <v>93</v>
      </c>
      <c r="O20" s="330"/>
      <c r="P20" s="330">
        <v>95</v>
      </c>
      <c r="Q20" s="169"/>
      <c r="R20" s="169"/>
      <c r="S20" s="169"/>
      <c r="T20" s="169"/>
      <c r="U20" s="169"/>
      <c r="V20" s="331">
        <v>506177269</v>
      </c>
      <c r="W20" s="581"/>
      <c r="X20" s="532"/>
      <c r="Y20" s="344">
        <v>6612524484.8699999</v>
      </c>
      <c r="Z20" s="328">
        <v>95</v>
      </c>
      <c r="AA20" s="328">
        <v>8.6622757535943104E-2</v>
      </c>
      <c r="AB20" s="328" t="s">
        <v>1118</v>
      </c>
      <c r="AC20" s="169"/>
      <c r="AD20" s="169"/>
      <c r="AE20" s="169"/>
      <c r="AF20" s="169"/>
      <c r="AG20" s="344">
        <v>13599212381.779999</v>
      </c>
      <c r="AH20" s="328">
        <v>95</v>
      </c>
      <c r="AI20" s="328">
        <v>0.15944075908473201</v>
      </c>
      <c r="AJ20" s="328" t="s">
        <v>1119</v>
      </c>
      <c r="AK20" s="169"/>
      <c r="AL20" s="169"/>
      <c r="AM20" s="169"/>
      <c r="AN20" s="169"/>
      <c r="AO20" s="344">
        <v>22700385151.810001</v>
      </c>
      <c r="AP20" s="328">
        <v>95</v>
      </c>
      <c r="AQ20" s="328">
        <v>0.23120126466686802</v>
      </c>
      <c r="AR20" s="328" t="s">
        <v>1120</v>
      </c>
      <c r="AS20" s="169"/>
      <c r="AT20" s="169"/>
      <c r="AU20" s="169"/>
      <c r="AV20" s="169"/>
      <c r="AW20" s="344">
        <v>32041565147</v>
      </c>
      <c r="AX20" s="328">
        <v>95</v>
      </c>
      <c r="AY20" s="328">
        <f>+AW20/AW21</f>
        <v>0.32636779008270106</v>
      </c>
      <c r="AZ20" s="328" t="s">
        <v>1121</v>
      </c>
      <c r="BA20" s="169"/>
      <c r="BB20" s="169"/>
      <c r="BC20" s="169"/>
      <c r="BD20" s="169"/>
      <c r="BE20" s="344">
        <v>42152467377.819992</v>
      </c>
      <c r="BF20" s="328">
        <v>0.95</v>
      </c>
      <c r="BG20" s="328">
        <f>42.1525026429114%/BF20</f>
        <v>0.44371055413590949</v>
      </c>
      <c r="BH20" s="328" t="s">
        <v>1122</v>
      </c>
      <c r="BI20" s="169"/>
      <c r="BJ20" s="169"/>
      <c r="BK20" s="169"/>
      <c r="BL20" s="169"/>
      <c r="BM20" s="344">
        <v>51026065778</v>
      </c>
      <c r="BN20" s="328">
        <v>0.95</v>
      </c>
      <c r="BO20" s="328">
        <f>49.5523590178946%/BN20</f>
        <v>0.52160377913573275</v>
      </c>
      <c r="BP20" s="328" t="s">
        <v>1123</v>
      </c>
      <c r="BQ20" s="169"/>
      <c r="BR20" s="169"/>
      <c r="BS20" s="169"/>
      <c r="BT20" s="169"/>
      <c r="BU20" s="366">
        <v>0.57297076628911825</v>
      </c>
      <c r="BV20" s="328">
        <v>0.95</v>
      </c>
      <c r="BW20" s="328">
        <f>+BU20/BV20</f>
        <v>0.6031271224095982</v>
      </c>
      <c r="BX20" s="328" t="s">
        <v>1124</v>
      </c>
      <c r="BY20" s="169"/>
      <c r="BZ20" s="169"/>
      <c r="CA20" s="169"/>
      <c r="CB20" s="169"/>
      <c r="CC20" s="366">
        <v>0.62022309357453276</v>
      </c>
      <c r="CD20" s="328">
        <v>0.95</v>
      </c>
      <c r="CE20" s="328">
        <f>+CC20/CD20</f>
        <v>0.65286641428898184</v>
      </c>
      <c r="CF20" s="328" t="s">
        <v>1125</v>
      </c>
      <c r="CG20" s="169"/>
      <c r="CH20" s="169"/>
      <c r="CI20" s="169"/>
      <c r="CJ20" s="169"/>
      <c r="CK20" s="366">
        <v>0.68145459618204374</v>
      </c>
      <c r="CL20" s="328">
        <v>0.95</v>
      </c>
      <c r="CM20" s="328">
        <f>+CK20/CL20</f>
        <v>0.71732062756004611</v>
      </c>
      <c r="CN20" s="328" t="s">
        <v>1126</v>
      </c>
      <c r="CO20" s="169"/>
      <c r="CP20" s="169"/>
      <c r="CQ20" s="169"/>
      <c r="CR20" s="169"/>
      <c r="CS20" s="350"/>
      <c r="CT20" s="350"/>
      <c r="CU20" s="350"/>
      <c r="CV20" s="350"/>
      <c r="CW20" s="350"/>
      <c r="CX20" s="350"/>
      <c r="CY20" s="350"/>
      <c r="CZ20" s="350"/>
      <c r="DA20" s="350"/>
      <c r="DB20" s="350"/>
      <c r="DC20" s="350"/>
      <c r="DD20" s="350"/>
      <c r="DE20" s="350"/>
      <c r="DF20" s="350"/>
      <c r="DG20" s="350"/>
      <c r="DH20" s="350"/>
      <c r="DI20" s="350"/>
      <c r="DJ20" s="350"/>
    </row>
    <row r="21" spans="1:114" s="210" customFormat="1" ht="76.5" customHeight="1" x14ac:dyDescent="0.25">
      <c r="A21" s="532"/>
      <c r="B21" s="548"/>
      <c r="C21" s="532"/>
      <c r="D21" s="532"/>
      <c r="E21" s="532"/>
      <c r="F21" s="532"/>
      <c r="G21" s="532"/>
      <c r="H21" s="532"/>
      <c r="I21" s="532"/>
      <c r="J21" s="532"/>
      <c r="K21" s="548"/>
      <c r="L21" s="234" t="s">
        <v>1127</v>
      </c>
      <c r="M21" s="332" t="s">
        <v>1128</v>
      </c>
      <c r="N21" s="332" t="s">
        <v>93</v>
      </c>
      <c r="O21" s="332"/>
      <c r="P21" s="332">
        <v>95</v>
      </c>
      <c r="Q21" s="169"/>
      <c r="R21" s="169"/>
      <c r="S21" s="169"/>
      <c r="T21" s="169"/>
      <c r="U21" s="169"/>
      <c r="V21" s="329">
        <v>160481076</v>
      </c>
      <c r="W21" s="581"/>
      <c r="X21" s="532"/>
      <c r="Y21" s="343">
        <v>76337035127.589996</v>
      </c>
      <c r="Z21" s="323">
        <v>95</v>
      </c>
      <c r="AA21" s="323">
        <v>0.53801549760633172</v>
      </c>
      <c r="AB21" s="323" t="s">
        <v>1129</v>
      </c>
      <c r="AC21" s="169"/>
      <c r="AD21" s="169"/>
      <c r="AE21" s="169"/>
      <c r="AF21" s="169"/>
      <c r="AG21" s="343">
        <v>85293198927.589996</v>
      </c>
      <c r="AH21" s="323">
        <v>95</v>
      </c>
      <c r="AI21" s="323">
        <v>0.60113761016214518</v>
      </c>
      <c r="AJ21" s="323" t="s">
        <v>1130</v>
      </c>
      <c r="AK21" s="169"/>
      <c r="AL21" s="169"/>
      <c r="AM21" s="169"/>
      <c r="AN21" s="169"/>
      <c r="AO21" s="343">
        <v>98184519814.449997</v>
      </c>
      <c r="AP21" s="323">
        <v>95</v>
      </c>
      <c r="AQ21" s="323">
        <v>0.6919943012840164</v>
      </c>
      <c r="AR21" s="323" t="s">
        <v>1131</v>
      </c>
      <c r="AS21" s="169"/>
      <c r="AT21" s="169"/>
      <c r="AU21" s="169"/>
      <c r="AV21" s="169"/>
      <c r="AW21" s="343">
        <v>98176248149</v>
      </c>
      <c r="AX21" s="323">
        <v>95</v>
      </c>
      <c r="AY21" s="323">
        <f>+AW21/141886312694</f>
        <v>0.69193600344476081</v>
      </c>
      <c r="AZ21" s="323" t="s">
        <v>1132</v>
      </c>
      <c r="BA21" s="169"/>
      <c r="BB21" s="169"/>
      <c r="BC21" s="169"/>
      <c r="BD21" s="169"/>
      <c r="BE21" s="343">
        <v>99999916339.270004</v>
      </c>
      <c r="BF21" s="323">
        <v>0.95</v>
      </c>
      <c r="BG21" s="323">
        <f>70.4789027500739%/BF21</f>
        <v>0.74188318684288324</v>
      </c>
      <c r="BH21" s="323" t="s">
        <v>1133</v>
      </c>
      <c r="BI21" s="169"/>
      <c r="BJ21" s="169"/>
      <c r="BK21" s="169"/>
      <c r="BL21" s="169"/>
      <c r="BM21" s="343">
        <v>102974039560</v>
      </c>
      <c r="BN21" s="323">
        <v>0.95</v>
      </c>
      <c r="BO21" s="323">
        <f>72.5750339161182%/BN21</f>
        <v>0.76394772543282319</v>
      </c>
      <c r="BP21" s="323" t="s">
        <v>1134</v>
      </c>
      <c r="BQ21" s="169"/>
      <c r="BR21" s="169"/>
      <c r="BS21" s="169"/>
      <c r="BT21" s="169"/>
      <c r="BU21" s="365">
        <v>0.75188487315951869</v>
      </c>
      <c r="BV21" s="323">
        <v>0.95</v>
      </c>
      <c r="BW21" s="323">
        <f>+BU21/BV21</f>
        <v>0.79145776122054601</v>
      </c>
      <c r="BX21" s="323" t="s">
        <v>1135</v>
      </c>
      <c r="BY21" s="169"/>
      <c r="BZ21" s="169"/>
      <c r="CA21" s="169"/>
      <c r="CB21" s="169"/>
      <c r="CC21" s="365">
        <v>0.82111994147027201</v>
      </c>
      <c r="CD21" s="323">
        <v>0.95</v>
      </c>
      <c r="CE21" s="323">
        <f>+CC21/CD21</f>
        <v>0.86433678049502316</v>
      </c>
      <c r="CF21" s="323" t="s">
        <v>1136</v>
      </c>
      <c r="CG21" s="169"/>
      <c r="CH21" s="169"/>
      <c r="CI21" s="169"/>
      <c r="CJ21" s="169"/>
      <c r="CK21" s="365">
        <v>0.85051670383314637</v>
      </c>
      <c r="CL21" s="323">
        <v>0.95</v>
      </c>
      <c r="CM21" s="323">
        <f>+CK21/CL21</f>
        <v>0.89528074087699627</v>
      </c>
      <c r="CN21" s="323" t="s">
        <v>1137</v>
      </c>
      <c r="CO21" s="169"/>
      <c r="CP21" s="169"/>
      <c r="CQ21" s="169"/>
      <c r="CR21" s="169"/>
      <c r="CS21" s="350"/>
      <c r="CT21" s="350"/>
      <c r="CU21" s="350"/>
      <c r="CV21" s="350"/>
      <c r="CW21" s="350"/>
      <c r="CX21" s="350"/>
      <c r="CY21" s="350"/>
      <c r="CZ21" s="350"/>
      <c r="DA21" s="350"/>
      <c r="DB21" s="350"/>
      <c r="DC21" s="350"/>
      <c r="DD21" s="350"/>
      <c r="DE21" s="350"/>
      <c r="DF21" s="350"/>
      <c r="DG21" s="350"/>
      <c r="DH21" s="350"/>
      <c r="DI21" s="350"/>
      <c r="DJ21" s="350"/>
    </row>
    <row r="22" spans="1:114" s="210" customFormat="1" ht="33.75" customHeight="1" x14ac:dyDescent="0.25">
      <c r="A22" s="532"/>
      <c r="B22" s="548"/>
      <c r="C22" s="532"/>
      <c r="D22" s="532"/>
      <c r="E22" s="330"/>
      <c r="F22" s="330"/>
      <c r="G22" s="532"/>
      <c r="H22" s="330"/>
      <c r="I22" s="330"/>
      <c r="J22" s="532"/>
      <c r="K22" s="332"/>
      <c r="L22" s="234"/>
      <c r="M22" s="332"/>
      <c r="N22" s="332"/>
      <c r="O22" s="332"/>
      <c r="P22" s="332"/>
      <c r="Q22" s="169"/>
      <c r="R22" s="169"/>
      <c r="S22" s="169"/>
      <c r="T22" s="169"/>
      <c r="U22" s="169"/>
      <c r="V22" s="329"/>
      <c r="W22" s="581"/>
      <c r="X22" s="330"/>
      <c r="Y22" s="382" t="s">
        <v>102</v>
      </c>
      <c r="Z22" s="382"/>
      <c r="AA22" s="42">
        <f>+AVERAGE(AA18:AA21)</f>
        <v>0.16726262084095767</v>
      </c>
      <c r="AB22" s="339"/>
      <c r="AC22" s="382" t="s">
        <v>1052</v>
      </c>
      <c r="AD22" s="382"/>
      <c r="AE22" s="42">
        <f>+AVERAGE(AE18)</f>
        <v>5.362199993469851E-2</v>
      </c>
      <c r="AF22" s="339"/>
      <c r="AG22" s="382" t="s">
        <v>1053</v>
      </c>
      <c r="AH22" s="382"/>
      <c r="AI22" s="42">
        <f>+AVERAGE(AI18:AI21)</f>
        <v>0.2793612967564798</v>
      </c>
      <c r="AJ22" s="339"/>
      <c r="AK22" s="382" t="s">
        <v>1052</v>
      </c>
      <c r="AL22" s="382"/>
      <c r="AM22" s="42">
        <f>+AVERAGE(AM18)</f>
        <v>8.8695896528996163E-2</v>
      </c>
      <c r="AN22" s="339"/>
      <c r="AO22" s="382" t="s">
        <v>1053</v>
      </c>
      <c r="AP22" s="382"/>
      <c r="AQ22" s="42">
        <f>+AVERAGE(AQ18:AQ21)</f>
        <v>0.26894894660870217</v>
      </c>
      <c r="AR22" s="339"/>
      <c r="AS22" s="382" t="s">
        <v>1052</v>
      </c>
      <c r="AT22" s="382"/>
      <c r="AU22" s="42">
        <f>+AVERAGE(AU18)</f>
        <v>0.18482239264475883</v>
      </c>
      <c r="AV22" s="339"/>
      <c r="AW22" s="382" t="s">
        <v>1053</v>
      </c>
      <c r="AX22" s="382"/>
      <c r="AY22" s="42">
        <f>+AVERAGE(AY18:AY21)</f>
        <v>0.30597988704970269</v>
      </c>
      <c r="AZ22" s="339"/>
      <c r="BA22" s="382" t="s">
        <v>1052</v>
      </c>
      <c r="BB22" s="382"/>
      <c r="BC22" s="42">
        <f>+AVERAGE(BC18)</f>
        <v>0.24909613194192939</v>
      </c>
      <c r="BD22" s="339"/>
      <c r="BE22" s="382" t="s">
        <v>1053</v>
      </c>
      <c r="BF22" s="382"/>
      <c r="BG22" s="42">
        <f>+AVERAGE(BG18:BG21)</f>
        <v>0.43283528025438106</v>
      </c>
      <c r="BH22" s="339"/>
      <c r="BI22" s="382" t="s">
        <v>1052</v>
      </c>
      <c r="BJ22" s="382"/>
      <c r="BK22" s="42">
        <f>+AVERAGE(BK18)</f>
        <v>0.32589311991656961</v>
      </c>
      <c r="BL22" s="339"/>
      <c r="BM22" s="382" t="s">
        <v>1053</v>
      </c>
      <c r="BN22" s="382"/>
      <c r="BO22" s="42">
        <f>+AVERAGE(BO18:BO21)</f>
        <v>0.53386571945228622</v>
      </c>
      <c r="BP22" s="339"/>
      <c r="BQ22" s="382" t="s">
        <v>1052</v>
      </c>
      <c r="BR22" s="382"/>
      <c r="BS22" s="42">
        <f>+AVERAGE(BS18)</f>
        <v>0.5700456408878054</v>
      </c>
      <c r="BT22" s="339"/>
      <c r="BU22" s="382" t="s">
        <v>1053</v>
      </c>
      <c r="BV22" s="382"/>
      <c r="BW22" s="42">
        <f>+AVERAGE(BW18:BW21)</f>
        <v>0.58322299155761581</v>
      </c>
      <c r="BX22" s="339"/>
      <c r="BY22" s="382" t="s">
        <v>1052</v>
      </c>
      <c r="BZ22" s="382"/>
      <c r="CA22" s="42">
        <f>+AVERAGE(CA18)</f>
        <v>0.63866824984070791</v>
      </c>
      <c r="CB22" s="339"/>
      <c r="CC22" s="382" t="s">
        <v>1053</v>
      </c>
      <c r="CD22" s="382"/>
      <c r="CE22" s="42">
        <f>+AVERAGE(CE18:CE21)</f>
        <v>0.71345993901191118</v>
      </c>
      <c r="CF22" s="339"/>
      <c r="CG22" s="382" t="s">
        <v>1052</v>
      </c>
      <c r="CH22" s="382"/>
      <c r="CI22" s="42">
        <f>+AVERAGE(CI18)</f>
        <v>0.70923239024873674</v>
      </c>
      <c r="CJ22" s="339"/>
      <c r="CK22" s="382" t="s">
        <v>1053</v>
      </c>
      <c r="CL22" s="382"/>
      <c r="CM22" s="42">
        <f>+AVERAGE(CM18:CM21)</f>
        <v>0.76905281906270118</v>
      </c>
      <c r="CN22" s="339"/>
      <c r="CO22" s="382" t="s">
        <v>1052</v>
      </c>
      <c r="CP22" s="382"/>
      <c r="CQ22" s="42">
        <f>+AVERAGE(CQ18)</f>
        <v>0.83388371857933696</v>
      </c>
      <c r="CR22" s="339"/>
      <c r="CS22" s="350"/>
      <c r="CT22" s="350"/>
      <c r="CU22" s="350"/>
      <c r="CV22" s="350"/>
      <c r="CW22" s="350"/>
      <c r="CX22" s="350"/>
      <c r="CY22" s="350"/>
      <c r="CZ22" s="350"/>
      <c r="DA22" s="350"/>
      <c r="DB22" s="350"/>
      <c r="DC22" s="350"/>
      <c r="DD22" s="350"/>
      <c r="DE22" s="350"/>
      <c r="DF22" s="350"/>
      <c r="DG22" s="350"/>
      <c r="DH22" s="350"/>
      <c r="DI22" s="350"/>
      <c r="DJ22" s="350"/>
    </row>
    <row r="23" spans="1:114" s="210" customFormat="1" ht="76.5" customHeight="1" x14ac:dyDescent="0.25">
      <c r="A23" s="532"/>
      <c r="B23" s="548"/>
      <c r="C23" s="532"/>
      <c r="D23" s="532"/>
      <c r="E23" s="548" t="s">
        <v>51</v>
      </c>
      <c r="F23" s="548" t="s">
        <v>899</v>
      </c>
      <c r="G23" s="532"/>
      <c r="H23" s="548" t="s">
        <v>1054</v>
      </c>
      <c r="I23" s="548" t="s">
        <v>899</v>
      </c>
      <c r="J23" s="532"/>
      <c r="K23" s="532" t="s">
        <v>899</v>
      </c>
      <c r="L23" s="330" t="s">
        <v>1138</v>
      </c>
      <c r="M23" s="330" t="s">
        <v>1139</v>
      </c>
      <c r="N23" s="330" t="s">
        <v>93</v>
      </c>
      <c r="O23" s="330"/>
      <c r="P23" s="330">
        <v>0.5</v>
      </c>
      <c r="Q23" s="169"/>
      <c r="R23" s="169"/>
      <c r="S23" s="169"/>
      <c r="T23" s="169"/>
      <c r="U23" s="169"/>
      <c r="V23" s="331">
        <v>2003557596</v>
      </c>
      <c r="W23" s="581"/>
      <c r="X23" s="532" t="s">
        <v>1140</v>
      </c>
      <c r="Y23" s="327">
        <v>0</v>
      </c>
      <c r="Z23" s="328">
        <v>0.5</v>
      </c>
      <c r="AA23" s="327">
        <v>0</v>
      </c>
      <c r="AB23" s="327" t="s">
        <v>1141</v>
      </c>
      <c r="AC23" s="169"/>
      <c r="AD23" s="169"/>
      <c r="AE23" s="169"/>
      <c r="AF23" s="169"/>
      <c r="AG23" s="327">
        <v>0</v>
      </c>
      <c r="AH23" s="328">
        <v>1</v>
      </c>
      <c r="AI23" s="327">
        <v>0</v>
      </c>
      <c r="AJ23" s="327" t="s">
        <v>1142</v>
      </c>
      <c r="AK23" s="169"/>
      <c r="AL23" s="169"/>
      <c r="AM23" s="169"/>
      <c r="AN23" s="169"/>
      <c r="AO23" s="327">
        <v>0</v>
      </c>
      <c r="AP23" s="328">
        <v>1</v>
      </c>
      <c r="AQ23" s="327">
        <v>0</v>
      </c>
      <c r="AR23" s="327" t="s">
        <v>1142</v>
      </c>
      <c r="AS23" s="169"/>
      <c r="AT23" s="169"/>
      <c r="AU23" s="169"/>
      <c r="AV23" s="169"/>
      <c r="AW23" s="327" t="s">
        <v>799</v>
      </c>
      <c r="AX23" s="328">
        <v>1</v>
      </c>
      <c r="AY23" s="327">
        <v>0</v>
      </c>
      <c r="AZ23" s="327" t="s">
        <v>1143</v>
      </c>
      <c r="BA23" s="169"/>
      <c r="BB23" s="169"/>
      <c r="BC23" s="169"/>
      <c r="BD23" s="169"/>
      <c r="BE23" s="327" t="s">
        <v>799</v>
      </c>
      <c r="BF23" s="328">
        <v>1</v>
      </c>
      <c r="BG23" s="327">
        <v>0</v>
      </c>
      <c r="BH23" s="327" t="s">
        <v>1143</v>
      </c>
      <c r="BI23" s="169"/>
      <c r="BJ23" s="169"/>
      <c r="BK23" s="169"/>
      <c r="BL23" s="169"/>
      <c r="BM23" s="327" t="s">
        <v>799</v>
      </c>
      <c r="BN23" s="328">
        <v>1</v>
      </c>
      <c r="BO23" s="327" t="s">
        <v>799</v>
      </c>
      <c r="BP23" s="327" t="s">
        <v>1144</v>
      </c>
      <c r="BQ23" s="169"/>
      <c r="BR23" s="169"/>
      <c r="BS23" s="169"/>
      <c r="BT23" s="169"/>
      <c r="BU23" s="327" t="s">
        <v>799</v>
      </c>
      <c r="BV23" s="328">
        <v>1</v>
      </c>
      <c r="BW23" s="327" t="s">
        <v>799</v>
      </c>
      <c r="BX23" s="327" t="s">
        <v>1145</v>
      </c>
      <c r="BY23" s="169"/>
      <c r="BZ23" s="169"/>
      <c r="CA23" s="169"/>
      <c r="CB23" s="169"/>
      <c r="CC23" s="327" t="s">
        <v>799</v>
      </c>
      <c r="CD23" s="328">
        <v>1</v>
      </c>
      <c r="CE23" s="327" t="s">
        <v>799</v>
      </c>
      <c r="CF23" s="327" t="s">
        <v>1145</v>
      </c>
      <c r="CG23" s="169"/>
      <c r="CH23" s="169"/>
      <c r="CI23" s="169"/>
      <c r="CJ23" s="169"/>
      <c r="CK23" s="327" t="s">
        <v>799</v>
      </c>
      <c r="CL23" s="328">
        <v>1</v>
      </c>
      <c r="CM23" s="328" t="s">
        <v>799</v>
      </c>
      <c r="CN23" s="327" t="s">
        <v>1146</v>
      </c>
      <c r="CO23" s="169"/>
      <c r="CP23" s="169"/>
      <c r="CQ23" s="169"/>
      <c r="CR23" s="169"/>
      <c r="CS23" s="350"/>
      <c r="CT23" s="350"/>
      <c r="CU23" s="350"/>
      <c r="CV23" s="350"/>
      <c r="CW23" s="350"/>
      <c r="CX23" s="350"/>
      <c r="CY23" s="350"/>
      <c r="CZ23" s="350"/>
      <c r="DA23" s="350"/>
      <c r="DB23" s="350"/>
      <c r="DC23" s="350"/>
      <c r="DD23" s="350"/>
      <c r="DE23" s="350"/>
      <c r="DF23" s="350"/>
      <c r="DG23" s="350"/>
      <c r="DH23" s="350"/>
      <c r="DI23" s="350"/>
      <c r="DJ23" s="350"/>
    </row>
    <row r="24" spans="1:114" s="210" customFormat="1" ht="84" x14ac:dyDescent="0.25">
      <c r="A24" s="532"/>
      <c r="B24" s="548"/>
      <c r="C24" s="532"/>
      <c r="D24" s="532"/>
      <c r="E24" s="548"/>
      <c r="F24" s="548"/>
      <c r="G24" s="532"/>
      <c r="H24" s="548"/>
      <c r="I24" s="548"/>
      <c r="J24" s="532"/>
      <c r="K24" s="532"/>
      <c r="L24" s="573" t="s">
        <v>1147</v>
      </c>
      <c r="M24" s="548" t="s">
        <v>1139</v>
      </c>
      <c r="N24" s="548" t="s">
        <v>93</v>
      </c>
      <c r="O24" s="548"/>
      <c r="P24" s="574">
        <v>1</v>
      </c>
      <c r="Q24" s="234" t="s">
        <v>1148</v>
      </c>
      <c r="R24" s="332" t="s">
        <v>1149</v>
      </c>
      <c r="S24" s="332" t="s">
        <v>60</v>
      </c>
      <c r="T24" s="332">
        <v>1</v>
      </c>
      <c r="U24" s="332">
        <v>8</v>
      </c>
      <c r="V24" s="545">
        <v>1041446371</v>
      </c>
      <c r="W24" s="581"/>
      <c r="X24" s="532"/>
      <c r="Y24" s="570"/>
      <c r="Z24" s="570">
        <v>1</v>
      </c>
      <c r="AA24" s="570">
        <v>0</v>
      </c>
      <c r="AB24" s="397" t="s">
        <v>819</v>
      </c>
      <c r="AC24" s="322">
        <v>0</v>
      </c>
      <c r="AD24" s="322">
        <v>0</v>
      </c>
      <c r="AE24" s="322">
        <v>0</v>
      </c>
      <c r="AF24" s="322" t="s">
        <v>1150</v>
      </c>
      <c r="AG24" s="570">
        <v>8.1199999999999994E-2</v>
      </c>
      <c r="AH24" s="570">
        <v>1</v>
      </c>
      <c r="AI24" s="570">
        <v>8.1199999999999994E-2</v>
      </c>
      <c r="AJ24" s="397" t="s">
        <v>1151</v>
      </c>
      <c r="AK24" s="322">
        <v>1</v>
      </c>
      <c r="AL24" s="322">
        <v>8</v>
      </c>
      <c r="AM24" s="322">
        <v>0.125</v>
      </c>
      <c r="AN24" s="322" t="s">
        <v>1152</v>
      </c>
      <c r="AO24" s="570">
        <v>0.13120000000000001</v>
      </c>
      <c r="AP24" s="570">
        <v>1</v>
      </c>
      <c r="AQ24" s="570">
        <v>0.13120000000000001</v>
      </c>
      <c r="AR24" s="397" t="s">
        <v>1151</v>
      </c>
      <c r="AS24" s="322">
        <v>1</v>
      </c>
      <c r="AT24" s="322">
        <v>8</v>
      </c>
      <c r="AU24" s="322">
        <v>0.125</v>
      </c>
      <c r="AV24" s="322" t="s">
        <v>1152</v>
      </c>
      <c r="AW24" s="570">
        <v>4.9999999999999989E-2</v>
      </c>
      <c r="AX24" s="570">
        <v>1</v>
      </c>
      <c r="AY24" s="570">
        <v>0.1812</v>
      </c>
      <c r="AZ24" s="397" t="s">
        <v>1153</v>
      </c>
      <c r="BA24" s="322">
        <v>1</v>
      </c>
      <c r="BB24" s="322">
        <v>8</v>
      </c>
      <c r="BC24" s="322">
        <v>0.125</v>
      </c>
      <c r="BD24" s="322" t="s">
        <v>1152</v>
      </c>
      <c r="BE24" s="570">
        <v>0.10629999999999998</v>
      </c>
      <c r="BF24" s="570">
        <v>1</v>
      </c>
      <c r="BG24" s="570">
        <v>0.28749999999999998</v>
      </c>
      <c r="BH24" s="397" t="s">
        <v>1153</v>
      </c>
      <c r="BI24" s="322">
        <v>2</v>
      </c>
      <c r="BJ24" s="322">
        <v>8</v>
      </c>
      <c r="BK24" s="322">
        <f>+BI24/BJ24</f>
        <v>0.25</v>
      </c>
      <c r="BL24" s="322" t="s">
        <v>1154</v>
      </c>
      <c r="BM24" s="570">
        <v>9.7850000000000006E-2</v>
      </c>
      <c r="BN24" s="570">
        <v>1</v>
      </c>
      <c r="BO24" s="570">
        <v>0.36875000000000002</v>
      </c>
      <c r="BP24" s="397" t="s">
        <v>1153</v>
      </c>
      <c r="BQ24" s="322">
        <v>3</v>
      </c>
      <c r="BR24" s="322">
        <v>8</v>
      </c>
      <c r="BS24" s="322">
        <v>0.375</v>
      </c>
      <c r="BT24" s="322" t="s">
        <v>1155</v>
      </c>
      <c r="BU24" s="570">
        <f>+BW24-BO24</f>
        <v>9.1649999999999954E-2</v>
      </c>
      <c r="BV24" s="570">
        <v>1</v>
      </c>
      <c r="BW24" s="570">
        <v>0.46039999999999998</v>
      </c>
      <c r="BX24" s="397" t="s">
        <v>1153</v>
      </c>
      <c r="BY24" s="322">
        <v>3</v>
      </c>
      <c r="BZ24" s="322">
        <v>8</v>
      </c>
      <c r="CA24" s="322">
        <v>0.375</v>
      </c>
      <c r="CB24" s="322" t="s">
        <v>1156</v>
      </c>
      <c r="CC24" s="570">
        <f>+CE24-BW24</f>
        <v>0.13630000000000003</v>
      </c>
      <c r="CD24" s="570">
        <v>1</v>
      </c>
      <c r="CE24" s="570">
        <v>0.59670000000000001</v>
      </c>
      <c r="CF24" s="397" t="s">
        <v>1153</v>
      </c>
      <c r="CG24" s="322">
        <v>7</v>
      </c>
      <c r="CH24" s="322">
        <v>8</v>
      </c>
      <c r="CI24" s="322">
        <v>0.875</v>
      </c>
      <c r="CJ24" s="322" t="s">
        <v>1157</v>
      </c>
      <c r="CK24" s="570">
        <v>4.7000000000000042E-2</v>
      </c>
      <c r="CL24" s="570">
        <v>1</v>
      </c>
      <c r="CM24" s="570">
        <v>0.64370000000000005</v>
      </c>
      <c r="CN24" s="397" t="s">
        <v>1153</v>
      </c>
      <c r="CO24" s="322">
        <v>7</v>
      </c>
      <c r="CP24" s="322">
        <v>8</v>
      </c>
      <c r="CQ24" s="323">
        <v>0.875</v>
      </c>
      <c r="CR24" s="322" t="s">
        <v>1158</v>
      </c>
      <c r="CS24" s="350"/>
      <c r="CT24" s="350"/>
      <c r="CU24" s="350"/>
      <c r="CV24" s="350"/>
      <c r="CW24" s="350"/>
      <c r="CX24" s="350"/>
      <c r="CY24" s="350"/>
      <c r="CZ24" s="350"/>
      <c r="DA24" s="350"/>
      <c r="DB24" s="350"/>
      <c r="DC24" s="350"/>
      <c r="DD24" s="350"/>
      <c r="DE24" s="350"/>
      <c r="DF24" s="350"/>
      <c r="DG24" s="350"/>
      <c r="DH24" s="350"/>
      <c r="DI24" s="350"/>
      <c r="DJ24" s="350"/>
    </row>
    <row r="25" spans="1:114" s="210" customFormat="1" ht="132" x14ac:dyDescent="0.25">
      <c r="A25" s="532"/>
      <c r="B25" s="548"/>
      <c r="C25" s="532"/>
      <c r="D25" s="532"/>
      <c r="E25" s="548"/>
      <c r="F25" s="548"/>
      <c r="G25" s="532"/>
      <c r="H25" s="548"/>
      <c r="I25" s="548"/>
      <c r="J25" s="532"/>
      <c r="K25" s="532"/>
      <c r="L25" s="573"/>
      <c r="M25" s="548"/>
      <c r="N25" s="548"/>
      <c r="O25" s="548"/>
      <c r="P25" s="574"/>
      <c r="Q25" s="207" t="s">
        <v>1159</v>
      </c>
      <c r="R25" s="330" t="s">
        <v>1160</v>
      </c>
      <c r="S25" s="330" t="s">
        <v>60</v>
      </c>
      <c r="T25" s="330"/>
      <c r="U25" s="330">
        <v>350</v>
      </c>
      <c r="V25" s="545"/>
      <c r="W25" s="581"/>
      <c r="X25" s="532"/>
      <c r="Y25" s="571"/>
      <c r="Z25" s="571"/>
      <c r="AA25" s="571"/>
      <c r="AB25" s="435"/>
      <c r="AC25" s="327">
        <v>0</v>
      </c>
      <c r="AD25" s="327">
        <v>0</v>
      </c>
      <c r="AE25" s="327">
        <v>0</v>
      </c>
      <c r="AF25" s="327" t="s">
        <v>1161</v>
      </c>
      <c r="AG25" s="571"/>
      <c r="AH25" s="571"/>
      <c r="AI25" s="571"/>
      <c r="AJ25" s="435"/>
      <c r="AK25" s="327">
        <v>0</v>
      </c>
      <c r="AL25" s="327">
        <v>350</v>
      </c>
      <c r="AM25" s="327">
        <v>0</v>
      </c>
      <c r="AN25" s="327" t="s">
        <v>1162</v>
      </c>
      <c r="AO25" s="571"/>
      <c r="AP25" s="571"/>
      <c r="AQ25" s="571"/>
      <c r="AR25" s="435"/>
      <c r="AS25" s="327">
        <v>0</v>
      </c>
      <c r="AT25" s="327">
        <v>350</v>
      </c>
      <c r="AU25" s="327">
        <v>0</v>
      </c>
      <c r="AV25" s="327" t="s">
        <v>1163</v>
      </c>
      <c r="AW25" s="571"/>
      <c r="AX25" s="571"/>
      <c r="AY25" s="571"/>
      <c r="AZ25" s="435"/>
      <c r="BA25" s="327">
        <v>0</v>
      </c>
      <c r="BB25" s="327">
        <v>350</v>
      </c>
      <c r="BC25" s="327">
        <v>0</v>
      </c>
      <c r="BD25" s="327" t="s">
        <v>1163</v>
      </c>
      <c r="BE25" s="571"/>
      <c r="BF25" s="571"/>
      <c r="BG25" s="571"/>
      <c r="BH25" s="435"/>
      <c r="BI25" s="327" t="s">
        <v>799</v>
      </c>
      <c r="BJ25" s="327">
        <v>350</v>
      </c>
      <c r="BK25" s="327">
        <v>0</v>
      </c>
      <c r="BL25" s="327" t="s">
        <v>1164</v>
      </c>
      <c r="BM25" s="571"/>
      <c r="BN25" s="571"/>
      <c r="BO25" s="571"/>
      <c r="BP25" s="435"/>
      <c r="BQ25" s="327">
        <v>0</v>
      </c>
      <c r="BR25" s="327">
        <v>350</v>
      </c>
      <c r="BS25" s="327">
        <v>0</v>
      </c>
      <c r="BT25" s="327" t="s">
        <v>1165</v>
      </c>
      <c r="BU25" s="571"/>
      <c r="BV25" s="571"/>
      <c r="BW25" s="571"/>
      <c r="BX25" s="435"/>
      <c r="BY25" s="327">
        <v>0</v>
      </c>
      <c r="BZ25" s="327">
        <v>350</v>
      </c>
      <c r="CA25" s="327" t="s">
        <v>799</v>
      </c>
      <c r="CB25" s="327" t="s">
        <v>1166</v>
      </c>
      <c r="CC25" s="571"/>
      <c r="CD25" s="571"/>
      <c r="CE25" s="571"/>
      <c r="CF25" s="435"/>
      <c r="CG25" s="327">
        <v>0</v>
      </c>
      <c r="CH25" s="327">
        <v>350</v>
      </c>
      <c r="CI25" s="327" t="s">
        <v>799</v>
      </c>
      <c r="CJ25" s="327" t="s">
        <v>1166</v>
      </c>
      <c r="CK25" s="571"/>
      <c r="CL25" s="571"/>
      <c r="CM25" s="571"/>
      <c r="CN25" s="435"/>
      <c r="CO25" s="327" t="s">
        <v>799</v>
      </c>
      <c r="CP25" s="328">
        <v>1</v>
      </c>
      <c r="CQ25" s="328" t="s">
        <v>799</v>
      </c>
      <c r="CR25" s="327" t="s">
        <v>1167</v>
      </c>
      <c r="CS25" s="350"/>
      <c r="CT25" s="350"/>
      <c r="CU25" s="350"/>
      <c r="CV25" s="350"/>
      <c r="CW25" s="350"/>
      <c r="CX25" s="350"/>
      <c r="CY25" s="350"/>
      <c r="CZ25" s="350"/>
      <c r="DA25" s="350"/>
      <c r="DB25" s="350"/>
      <c r="DC25" s="350"/>
      <c r="DD25" s="350"/>
      <c r="DE25" s="350"/>
      <c r="DF25" s="350"/>
      <c r="DG25" s="350"/>
      <c r="DH25" s="350"/>
      <c r="DI25" s="350"/>
      <c r="DJ25" s="350"/>
    </row>
    <row r="26" spans="1:114" s="210" customFormat="1" ht="336" x14ac:dyDescent="0.25">
      <c r="A26" s="532"/>
      <c r="B26" s="548"/>
      <c r="C26" s="532"/>
      <c r="D26" s="532"/>
      <c r="E26" s="548"/>
      <c r="F26" s="548"/>
      <c r="G26" s="532"/>
      <c r="H26" s="548"/>
      <c r="I26" s="548"/>
      <c r="J26" s="532"/>
      <c r="K26" s="532"/>
      <c r="L26" s="573"/>
      <c r="M26" s="548"/>
      <c r="N26" s="548"/>
      <c r="O26" s="548"/>
      <c r="P26" s="574"/>
      <c r="Q26" s="234" t="s">
        <v>1168</v>
      </c>
      <c r="R26" s="332" t="s">
        <v>1169</v>
      </c>
      <c r="S26" s="332" t="s">
        <v>60</v>
      </c>
      <c r="T26" s="332"/>
      <c r="U26" s="332">
        <v>5</v>
      </c>
      <c r="V26" s="545"/>
      <c r="W26" s="581"/>
      <c r="X26" s="532"/>
      <c r="Y26" s="571"/>
      <c r="Z26" s="571"/>
      <c r="AA26" s="571"/>
      <c r="AB26" s="435"/>
      <c r="AC26" s="322">
        <v>0</v>
      </c>
      <c r="AD26" s="322">
        <v>0</v>
      </c>
      <c r="AE26" s="322">
        <v>0</v>
      </c>
      <c r="AF26" s="322" t="s">
        <v>1170</v>
      </c>
      <c r="AG26" s="571"/>
      <c r="AH26" s="571"/>
      <c r="AI26" s="571"/>
      <c r="AJ26" s="435"/>
      <c r="AK26" s="322">
        <v>1</v>
      </c>
      <c r="AL26" s="322">
        <v>5</v>
      </c>
      <c r="AM26" s="322">
        <v>0.2</v>
      </c>
      <c r="AN26" s="322" t="s">
        <v>1171</v>
      </c>
      <c r="AO26" s="571"/>
      <c r="AP26" s="571"/>
      <c r="AQ26" s="571"/>
      <c r="AR26" s="435"/>
      <c r="AS26" s="322">
        <v>1</v>
      </c>
      <c r="AT26" s="322">
        <v>5</v>
      </c>
      <c r="AU26" s="322">
        <v>0.2</v>
      </c>
      <c r="AV26" s="322" t="s">
        <v>1172</v>
      </c>
      <c r="AW26" s="571"/>
      <c r="AX26" s="571"/>
      <c r="AY26" s="571"/>
      <c r="AZ26" s="435"/>
      <c r="BA26" s="322">
        <v>1</v>
      </c>
      <c r="BB26" s="322">
        <v>5</v>
      </c>
      <c r="BC26" s="322">
        <v>0.2</v>
      </c>
      <c r="BD26" s="322" t="s">
        <v>1172</v>
      </c>
      <c r="BE26" s="571"/>
      <c r="BF26" s="571"/>
      <c r="BG26" s="571"/>
      <c r="BH26" s="435"/>
      <c r="BI26" s="322">
        <v>2</v>
      </c>
      <c r="BJ26" s="322">
        <v>5</v>
      </c>
      <c r="BK26" s="322">
        <f>+BI26/BJ26</f>
        <v>0.4</v>
      </c>
      <c r="BL26" s="322" t="s">
        <v>1173</v>
      </c>
      <c r="BM26" s="571"/>
      <c r="BN26" s="571"/>
      <c r="BO26" s="571"/>
      <c r="BP26" s="435"/>
      <c r="BQ26" s="322">
        <v>3</v>
      </c>
      <c r="BR26" s="322">
        <v>6</v>
      </c>
      <c r="BS26" s="322">
        <v>0.5</v>
      </c>
      <c r="BT26" s="322" t="s">
        <v>1174</v>
      </c>
      <c r="BU26" s="571"/>
      <c r="BV26" s="571"/>
      <c r="BW26" s="571"/>
      <c r="BX26" s="435"/>
      <c r="BY26" s="322">
        <v>4</v>
      </c>
      <c r="BZ26" s="322">
        <v>6</v>
      </c>
      <c r="CA26" s="322">
        <v>0.66666666666666663</v>
      </c>
      <c r="CB26" s="322" t="s">
        <v>1175</v>
      </c>
      <c r="CC26" s="571"/>
      <c r="CD26" s="571"/>
      <c r="CE26" s="571"/>
      <c r="CF26" s="435"/>
      <c r="CG26" s="322">
        <v>4</v>
      </c>
      <c r="CH26" s="322">
        <v>6</v>
      </c>
      <c r="CI26" s="322">
        <v>0.66666666666666663</v>
      </c>
      <c r="CJ26" s="322" t="s">
        <v>1176</v>
      </c>
      <c r="CK26" s="571"/>
      <c r="CL26" s="571"/>
      <c r="CM26" s="571"/>
      <c r="CN26" s="435"/>
      <c r="CO26" s="322">
        <v>4.5</v>
      </c>
      <c r="CP26" s="322">
        <v>6</v>
      </c>
      <c r="CQ26" s="323">
        <v>0.75</v>
      </c>
      <c r="CR26" s="322" t="s">
        <v>1177</v>
      </c>
      <c r="CS26" s="350"/>
      <c r="CT26" s="350"/>
      <c r="CU26" s="350"/>
      <c r="CV26" s="350"/>
      <c r="CW26" s="350"/>
      <c r="CX26" s="350"/>
      <c r="CY26" s="350"/>
      <c r="CZ26" s="350"/>
      <c r="DA26" s="350"/>
      <c r="DB26" s="350"/>
      <c r="DC26" s="350"/>
      <c r="DD26" s="350"/>
      <c r="DE26" s="350"/>
      <c r="DF26" s="350"/>
      <c r="DG26" s="350"/>
      <c r="DH26" s="350"/>
      <c r="DI26" s="350"/>
      <c r="DJ26" s="350"/>
    </row>
    <row r="27" spans="1:114" s="210" customFormat="1" ht="180" x14ac:dyDescent="0.25">
      <c r="A27" s="532"/>
      <c r="B27" s="548"/>
      <c r="C27" s="532"/>
      <c r="D27" s="532"/>
      <c r="E27" s="548"/>
      <c r="F27" s="548"/>
      <c r="G27" s="532"/>
      <c r="H27" s="548"/>
      <c r="I27" s="548"/>
      <c r="J27" s="532"/>
      <c r="K27" s="532"/>
      <c r="L27" s="573"/>
      <c r="M27" s="548"/>
      <c r="N27" s="548"/>
      <c r="O27" s="548"/>
      <c r="P27" s="574"/>
      <c r="Q27" s="330" t="s">
        <v>1178</v>
      </c>
      <c r="R27" s="330" t="s">
        <v>1179</v>
      </c>
      <c r="S27" s="330" t="s">
        <v>60</v>
      </c>
      <c r="T27" s="330"/>
      <c r="U27" s="330">
        <v>5</v>
      </c>
      <c r="V27" s="545"/>
      <c r="W27" s="581"/>
      <c r="X27" s="532"/>
      <c r="Y27" s="572"/>
      <c r="Z27" s="572"/>
      <c r="AA27" s="572"/>
      <c r="AB27" s="398"/>
      <c r="AC27" s="327">
        <v>1</v>
      </c>
      <c r="AD27" s="327">
        <v>0</v>
      </c>
      <c r="AE27" s="327">
        <v>0</v>
      </c>
      <c r="AF27" s="327" t="s">
        <v>1180</v>
      </c>
      <c r="AG27" s="572"/>
      <c r="AH27" s="572"/>
      <c r="AI27" s="572"/>
      <c r="AJ27" s="398"/>
      <c r="AK27" s="327">
        <v>0</v>
      </c>
      <c r="AL27" s="327">
        <v>5</v>
      </c>
      <c r="AM27" s="327">
        <v>0</v>
      </c>
      <c r="AN27" s="327" t="s">
        <v>1181</v>
      </c>
      <c r="AO27" s="572"/>
      <c r="AP27" s="572"/>
      <c r="AQ27" s="572"/>
      <c r="AR27" s="398"/>
      <c r="AS27" s="327">
        <v>1</v>
      </c>
      <c r="AT27" s="327">
        <v>5</v>
      </c>
      <c r="AU27" s="327">
        <v>0.2</v>
      </c>
      <c r="AV27" s="327" t="s">
        <v>1182</v>
      </c>
      <c r="AW27" s="572"/>
      <c r="AX27" s="572"/>
      <c r="AY27" s="572"/>
      <c r="AZ27" s="398"/>
      <c r="BA27" s="327">
        <v>2</v>
      </c>
      <c r="BB27" s="327">
        <v>5</v>
      </c>
      <c r="BC27" s="327">
        <f>+BA27/BB27</f>
        <v>0.4</v>
      </c>
      <c r="BD27" s="327" t="s">
        <v>1182</v>
      </c>
      <c r="BE27" s="572"/>
      <c r="BF27" s="572"/>
      <c r="BG27" s="572"/>
      <c r="BH27" s="398"/>
      <c r="BI27" s="327">
        <v>2.5</v>
      </c>
      <c r="BJ27" s="327">
        <v>5</v>
      </c>
      <c r="BK27" s="327">
        <f>+BI27/BJ27</f>
        <v>0.5</v>
      </c>
      <c r="BL27" s="327" t="s">
        <v>1183</v>
      </c>
      <c r="BM27" s="572"/>
      <c r="BN27" s="572"/>
      <c r="BO27" s="572"/>
      <c r="BP27" s="398"/>
      <c r="BQ27" s="327">
        <v>3</v>
      </c>
      <c r="BR27" s="327">
        <v>5</v>
      </c>
      <c r="BS27" s="327">
        <v>0.6</v>
      </c>
      <c r="BT27" s="327" t="s">
        <v>1184</v>
      </c>
      <c r="BU27" s="572"/>
      <c r="BV27" s="572"/>
      <c r="BW27" s="572"/>
      <c r="BX27" s="398"/>
      <c r="BY27" s="327">
        <v>4</v>
      </c>
      <c r="BZ27" s="327">
        <v>5</v>
      </c>
      <c r="CA27" s="327">
        <v>0.8</v>
      </c>
      <c r="CB27" s="327" t="s">
        <v>1185</v>
      </c>
      <c r="CC27" s="572"/>
      <c r="CD27" s="572"/>
      <c r="CE27" s="572"/>
      <c r="CF27" s="398"/>
      <c r="CG27" s="327">
        <v>4.2</v>
      </c>
      <c r="CH27" s="327">
        <v>5</v>
      </c>
      <c r="CI27" s="327">
        <v>0.84000000000000008</v>
      </c>
      <c r="CJ27" s="327" t="s">
        <v>1186</v>
      </c>
      <c r="CK27" s="572"/>
      <c r="CL27" s="572"/>
      <c r="CM27" s="572"/>
      <c r="CN27" s="398"/>
      <c r="CO27" s="327">
        <v>4.75</v>
      </c>
      <c r="CP27" s="327">
        <v>5</v>
      </c>
      <c r="CQ27" s="328">
        <v>0.95</v>
      </c>
      <c r="CR27" s="327" t="s">
        <v>1187</v>
      </c>
      <c r="CS27" s="350"/>
      <c r="CT27" s="350"/>
      <c r="CU27" s="350"/>
      <c r="CV27" s="350"/>
      <c r="CW27" s="350"/>
      <c r="CX27" s="350"/>
      <c r="CY27" s="350"/>
      <c r="CZ27" s="350"/>
      <c r="DA27" s="350"/>
      <c r="DB27" s="350"/>
      <c r="DC27" s="350"/>
      <c r="DD27" s="350"/>
      <c r="DE27" s="350"/>
      <c r="DF27" s="350"/>
      <c r="DG27" s="350"/>
      <c r="DH27" s="350"/>
      <c r="DI27" s="350"/>
      <c r="DJ27" s="350"/>
    </row>
    <row r="28" spans="1:114" s="210" customFormat="1" ht="33.75" customHeight="1" x14ac:dyDescent="0.25">
      <c r="A28" s="532"/>
      <c r="B28" s="548"/>
      <c r="C28" s="532"/>
      <c r="D28" s="532"/>
      <c r="E28" s="332"/>
      <c r="F28" s="332"/>
      <c r="G28" s="532"/>
      <c r="H28" s="332"/>
      <c r="I28" s="332"/>
      <c r="J28" s="532"/>
      <c r="K28" s="330"/>
      <c r="L28" s="234"/>
      <c r="M28" s="332"/>
      <c r="N28" s="332"/>
      <c r="O28" s="332"/>
      <c r="P28" s="332"/>
      <c r="Q28" s="330"/>
      <c r="R28" s="330"/>
      <c r="S28" s="330"/>
      <c r="T28" s="330"/>
      <c r="U28" s="330"/>
      <c r="V28" s="331"/>
      <c r="W28" s="581"/>
      <c r="X28" s="330"/>
      <c r="Y28" s="382" t="s">
        <v>102</v>
      </c>
      <c r="Z28" s="382"/>
      <c r="AA28" s="42">
        <v>0</v>
      </c>
      <c r="AB28" s="339"/>
      <c r="AC28" s="382" t="s">
        <v>1052</v>
      </c>
      <c r="AD28" s="382"/>
      <c r="AE28" s="42">
        <v>0</v>
      </c>
      <c r="AF28" s="339"/>
      <c r="AG28" s="382" t="s">
        <v>1053</v>
      </c>
      <c r="AH28" s="382"/>
      <c r="AI28" s="42">
        <f>+AVERAGE(AI23:AI27)</f>
        <v>4.0599999999999997E-2</v>
      </c>
      <c r="AJ28" s="339"/>
      <c r="AK28" s="382" t="s">
        <v>1052</v>
      </c>
      <c r="AL28" s="382"/>
      <c r="AM28" s="42">
        <f>+AVERAGE(AM24:AM26)</f>
        <v>0.10833333333333334</v>
      </c>
      <c r="AN28" s="339"/>
      <c r="AO28" s="382" t="s">
        <v>1053</v>
      </c>
      <c r="AP28" s="382"/>
      <c r="AQ28" s="42">
        <f>+AVERAGE(AQ23:AQ27)</f>
        <v>6.5600000000000006E-2</v>
      </c>
      <c r="AR28" s="339"/>
      <c r="AS28" s="382" t="s">
        <v>1052</v>
      </c>
      <c r="AT28" s="382"/>
      <c r="AU28" s="42">
        <f>+AVERAGE(AU24:AU27,AU22)</f>
        <v>0.14196447852895178</v>
      </c>
      <c r="AV28" s="339"/>
      <c r="AW28" s="382" t="s">
        <v>1053</v>
      </c>
      <c r="AX28" s="382"/>
      <c r="AY28" s="42">
        <f>+AVERAGE(AY23:AY27)</f>
        <v>9.06E-2</v>
      </c>
      <c r="AZ28" s="339"/>
      <c r="BA28" s="382" t="s">
        <v>1052</v>
      </c>
      <c r="BB28" s="382"/>
      <c r="BC28" s="42">
        <f>+AVERAGE(BC24:BC27,BC22)</f>
        <v>0.19481922638838589</v>
      </c>
      <c r="BD28" s="339"/>
      <c r="BE28" s="382" t="s">
        <v>1053</v>
      </c>
      <c r="BF28" s="382"/>
      <c r="BG28" s="42">
        <f>+AVERAGE(BG23:BG27)</f>
        <v>0.14374999999999999</v>
      </c>
      <c r="BH28" s="339"/>
      <c r="BI28" s="382" t="s">
        <v>1052</v>
      </c>
      <c r="BJ28" s="382"/>
      <c r="BK28" s="42">
        <f>+AVERAGE(BK24:BK27)</f>
        <v>0.28749999999999998</v>
      </c>
      <c r="BL28" s="339"/>
      <c r="BM28" s="382" t="s">
        <v>1053</v>
      </c>
      <c r="BN28" s="382"/>
      <c r="BO28" s="42">
        <f>+AVERAGE(BO23:BO27)</f>
        <v>0.36875000000000002</v>
      </c>
      <c r="BP28" s="339"/>
      <c r="BQ28" s="382" t="s">
        <v>1052</v>
      </c>
      <c r="BR28" s="382"/>
      <c r="BS28" s="42">
        <f>+AVERAGE(BS24:BS27)</f>
        <v>0.36875000000000002</v>
      </c>
      <c r="BT28" s="339"/>
      <c r="BU28" s="382" t="s">
        <v>1053</v>
      </c>
      <c r="BV28" s="382"/>
      <c r="BW28" s="42">
        <f>+AVERAGE(BW23:BW27)</f>
        <v>0.46039999999999998</v>
      </c>
      <c r="BX28" s="339"/>
      <c r="BY28" s="382" t="s">
        <v>1052</v>
      </c>
      <c r="BZ28" s="382"/>
      <c r="CA28" s="42">
        <f>+AVERAGE(CA24:CA27)</f>
        <v>0.61388888888888882</v>
      </c>
      <c r="CB28" s="339"/>
      <c r="CC28" s="382" t="s">
        <v>1053</v>
      </c>
      <c r="CD28" s="382"/>
      <c r="CE28" s="42">
        <f>+AVERAGE(CE23:CE27)</f>
        <v>0.59670000000000001</v>
      </c>
      <c r="CF28" s="339"/>
      <c r="CG28" s="382" t="s">
        <v>1052</v>
      </c>
      <c r="CH28" s="382"/>
      <c r="CI28" s="42">
        <f>+AVERAGE(CI24:CI27)</f>
        <v>0.79388888888888898</v>
      </c>
      <c r="CJ28" s="339"/>
      <c r="CK28" s="382" t="s">
        <v>1053</v>
      </c>
      <c r="CL28" s="382"/>
      <c r="CM28" s="42">
        <f>+SUM(CM23:CM27)</f>
        <v>0.64370000000000005</v>
      </c>
      <c r="CN28" s="339"/>
      <c r="CO28" s="382" t="s">
        <v>1052</v>
      </c>
      <c r="CP28" s="382"/>
      <c r="CQ28" s="42">
        <f>+AVERAGE(CQ24:CQ27)</f>
        <v>0.85833333333333339</v>
      </c>
      <c r="CR28" s="339"/>
      <c r="CS28" s="350"/>
      <c r="CT28" s="350"/>
      <c r="CU28" s="350"/>
      <c r="CV28" s="350"/>
      <c r="CW28" s="350"/>
      <c r="CX28" s="350"/>
      <c r="CY28" s="350"/>
      <c r="CZ28" s="350"/>
      <c r="DA28" s="350"/>
      <c r="DB28" s="350"/>
      <c r="DC28" s="350"/>
      <c r="DD28" s="350"/>
      <c r="DE28" s="350"/>
      <c r="DF28" s="350"/>
      <c r="DG28" s="350"/>
      <c r="DH28" s="350"/>
      <c r="DI28" s="350"/>
      <c r="DJ28" s="350"/>
    </row>
    <row r="29" spans="1:114" s="210" customFormat="1" ht="103.5" customHeight="1" x14ac:dyDescent="0.25">
      <c r="A29" s="532"/>
      <c r="B29" s="548"/>
      <c r="C29" s="532"/>
      <c r="D29" s="532"/>
      <c r="E29" s="532" t="s">
        <v>51</v>
      </c>
      <c r="F29" s="532" t="s">
        <v>851</v>
      </c>
      <c r="G29" s="532"/>
      <c r="H29" s="532" t="s">
        <v>1054</v>
      </c>
      <c r="I29" s="532" t="s">
        <v>1188</v>
      </c>
      <c r="J29" s="532"/>
      <c r="K29" s="548" t="s">
        <v>1189</v>
      </c>
      <c r="L29" s="330" t="s">
        <v>1190</v>
      </c>
      <c r="M29" s="330" t="s">
        <v>1191</v>
      </c>
      <c r="N29" s="330" t="s">
        <v>93</v>
      </c>
      <c r="O29" s="330"/>
      <c r="P29" s="335">
        <v>0.2</v>
      </c>
      <c r="Q29" s="169"/>
      <c r="R29" s="169"/>
      <c r="S29" s="169"/>
      <c r="T29" s="169"/>
      <c r="U29" s="169"/>
      <c r="V29" s="331">
        <v>121400399</v>
      </c>
      <c r="W29" s="581"/>
      <c r="X29" s="532" t="s">
        <v>1140</v>
      </c>
      <c r="Y29" s="323">
        <v>0.14000000000000001</v>
      </c>
      <c r="Z29" s="323">
        <v>0.2</v>
      </c>
      <c r="AA29" s="323">
        <v>0.70000000000000007</v>
      </c>
      <c r="AB29" s="323" t="s">
        <v>1192</v>
      </c>
      <c r="AC29" s="169"/>
      <c r="AD29" s="169"/>
      <c r="AE29" s="169"/>
      <c r="AF29" s="169"/>
      <c r="AG29" s="323">
        <v>0.35</v>
      </c>
      <c r="AH29" s="323">
        <v>0.2</v>
      </c>
      <c r="AI29" s="323">
        <f>24.6%/AH29</f>
        <v>1.23</v>
      </c>
      <c r="AJ29" s="323" t="s">
        <v>1193</v>
      </c>
      <c r="AK29" s="169"/>
      <c r="AL29" s="169"/>
      <c r="AM29" s="169"/>
      <c r="AN29" s="169"/>
      <c r="AO29" s="323">
        <v>0.6</v>
      </c>
      <c r="AP29" s="323">
        <v>0.2</v>
      </c>
      <c r="AQ29" s="323">
        <f>36.3%/AP29</f>
        <v>1.8149999999999999</v>
      </c>
      <c r="AR29" s="323" t="s">
        <v>1194</v>
      </c>
      <c r="AS29" s="169"/>
      <c r="AT29" s="169"/>
      <c r="AU29" s="169"/>
      <c r="AV29" s="169"/>
      <c r="AW29" s="323">
        <v>0.97</v>
      </c>
      <c r="AX29" s="323">
        <v>0.2</v>
      </c>
      <c r="AY29" s="323">
        <f>51.6%/AX29</f>
        <v>2.58</v>
      </c>
      <c r="AZ29" s="323" t="s">
        <v>1195</v>
      </c>
      <c r="BA29" s="169"/>
      <c r="BB29" s="169"/>
      <c r="BC29" s="169"/>
      <c r="BD29" s="169"/>
      <c r="BE29" s="323">
        <v>0.97</v>
      </c>
      <c r="BF29" s="323">
        <v>0.2</v>
      </c>
      <c r="BG29" s="323">
        <f>60.6%/BF29</f>
        <v>3.03</v>
      </c>
      <c r="BH29" s="323" t="s">
        <v>1196</v>
      </c>
      <c r="BI29" s="169"/>
      <c r="BJ29" s="169"/>
      <c r="BK29" s="169"/>
      <c r="BL29" s="169"/>
      <c r="BM29" s="323">
        <v>0.98</v>
      </c>
      <c r="BN29" s="323">
        <v>0.2</v>
      </c>
      <c r="BO29" s="323">
        <f>66.9%/BN29</f>
        <v>3.3450000000000002</v>
      </c>
      <c r="BP29" s="323" t="s">
        <v>1197</v>
      </c>
      <c r="BQ29" s="169"/>
      <c r="BR29" s="169"/>
      <c r="BS29" s="169"/>
      <c r="BT29" s="169"/>
      <c r="BU29" s="323">
        <v>0.99</v>
      </c>
      <c r="BV29" s="323">
        <v>0.2</v>
      </c>
      <c r="BW29" s="323">
        <f>71%/BV29</f>
        <v>3.55</v>
      </c>
      <c r="BX29" s="323" t="s">
        <v>1198</v>
      </c>
      <c r="BY29" s="169"/>
      <c r="BZ29" s="169"/>
      <c r="CA29" s="169"/>
      <c r="CB29" s="169"/>
      <c r="CC29" s="323">
        <v>0.98</v>
      </c>
      <c r="CD29" s="323">
        <v>0.2</v>
      </c>
      <c r="CE29" s="323">
        <f>75%/CD29</f>
        <v>3.75</v>
      </c>
      <c r="CF29" s="323" t="s">
        <v>1199</v>
      </c>
      <c r="CG29" s="169"/>
      <c r="CH29" s="169"/>
      <c r="CI29" s="169"/>
      <c r="CJ29" s="169"/>
      <c r="CK29" s="323">
        <v>0.91</v>
      </c>
      <c r="CL29" s="323">
        <v>0.2</v>
      </c>
      <c r="CM29" s="323">
        <f>76.51%/CL29</f>
        <v>3.8254999999999999</v>
      </c>
      <c r="CN29" s="323" t="s">
        <v>1421</v>
      </c>
      <c r="CO29" s="169"/>
      <c r="CP29" s="169"/>
      <c r="CQ29" s="169"/>
      <c r="CR29" s="169"/>
      <c r="CS29" s="350"/>
      <c r="CT29" s="350"/>
      <c r="CU29" s="350"/>
      <c r="CV29" s="350"/>
      <c r="CW29" s="350"/>
      <c r="CX29" s="350"/>
      <c r="CY29" s="350"/>
      <c r="CZ29" s="350"/>
      <c r="DA29" s="350"/>
      <c r="DB29" s="350"/>
      <c r="DC29" s="350"/>
      <c r="DD29" s="350"/>
      <c r="DE29" s="350"/>
      <c r="DF29" s="350"/>
      <c r="DG29" s="350"/>
      <c r="DH29" s="350"/>
      <c r="DI29" s="350"/>
      <c r="DJ29" s="350"/>
    </row>
    <row r="30" spans="1:114" s="210" customFormat="1" ht="76.5" customHeight="1" x14ac:dyDescent="0.25">
      <c r="A30" s="532"/>
      <c r="B30" s="548"/>
      <c r="C30" s="532"/>
      <c r="D30" s="532"/>
      <c r="E30" s="532"/>
      <c r="F30" s="532"/>
      <c r="G30" s="532"/>
      <c r="H30" s="532"/>
      <c r="I30" s="532"/>
      <c r="J30" s="532"/>
      <c r="K30" s="548"/>
      <c r="L30" s="332" t="s">
        <v>1200</v>
      </c>
      <c r="M30" s="332" t="s">
        <v>1201</v>
      </c>
      <c r="N30" s="332" t="s">
        <v>93</v>
      </c>
      <c r="O30" s="332"/>
      <c r="P30" s="340">
        <v>0.8</v>
      </c>
      <c r="Q30" s="169"/>
      <c r="R30" s="169"/>
      <c r="S30" s="169"/>
      <c r="T30" s="169"/>
      <c r="U30" s="169"/>
      <c r="V30" s="329">
        <v>748823868</v>
      </c>
      <c r="W30" s="581"/>
      <c r="X30" s="532"/>
      <c r="Y30" s="328">
        <v>0.91304347826086951</v>
      </c>
      <c r="Z30" s="328">
        <v>0.8</v>
      </c>
      <c r="AA30" s="328">
        <v>1.1413043478260869</v>
      </c>
      <c r="AB30" s="328" t="s">
        <v>1202</v>
      </c>
      <c r="AC30" s="169"/>
      <c r="AD30" s="169"/>
      <c r="AE30" s="169"/>
      <c r="AF30" s="169"/>
      <c r="AG30" s="328">
        <v>0.94310344827586212</v>
      </c>
      <c r="AH30" s="328">
        <v>0.8</v>
      </c>
      <c r="AI30" s="328">
        <v>1.1599999999999999</v>
      </c>
      <c r="AJ30" s="328" t="s">
        <v>1203</v>
      </c>
      <c r="AK30" s="169"/>
      <c r="AL30" s="169"/>
      <c r="AM30" s="169"/>
      <c r="AN30" s="169"/>
      <c r="AO30" s="328">
        <v>0.87</v>
      </c>
      <c r="AP30" s="328">
        <v>0.8</v>
      </c>
      <c r="AQ30" s="328">
        <v>1.1399999999999999</v>
      </c>
      <c r="AR30" s="328" t="s">
        <v>1204</v>
      </c>
      <c r="AS30" s="169"/>
      <c r="AT30" s="169"/>
      <c r="AU30" s="169"/>
      <c r="AV30" s="169"/>
      <c r="AW30" s="328" t="s">
        <v>799</v>
      </c>
      <c r="AX30" s="328">
        <v>0.8</v>
      </c>
      <c r="AY30" s="328">
        <f>114%*33.3333%</f>
        <v>0.37999961999999998</v>
      </c>
      <c r="AZ30" s="328" t="s">
        <v>1205</v>
      </c>
      <c r="BA30" s="169"/>
      <c r="BB30" s="169"/>
      <c r="BC30" s="169"/>
      <c r="BD30" s="169"/>
      <c r="BE30" s="328" t="s">
        <v>799</v>
      </c>
      <c r="BF30" s="328">
        <v>0.8</v>
      </c>
      <c r="BG30" s="328">
        <f>114%*41.666%</f>
        <v>0.47499239999999993</v>
      </c>
      <c r="BH30" s="328" t="s">
        <v>1206</v>
      </c>
      <c r="BI30" s="169"/>
      <c r="BJ30" s="169"/>
      <c r="BK30" s="169"/>
      <c r="BL30" s="169"/>
      <c r="BM30" s="328" t="s">
        <v>799</v>
      </c>
      <c r="BN30" s="328">
        <v>0</v>
      </c>
      <c r="BO30" s="328">
        <f>114%*50%</f>
        <v>0.56999999999999995</v>
      </c>
      <c r="BP30" s="328" t="s">
        <v>1207</v>
      </c>
      <c r="BQ30" s="169"/>
      <c r="BR30" s="169"/>
      <c r="BS30" s="169"/>
      <c r="BT30" s="169"/>
      <c r="BU30" s="328" t="s">
        <v>799</v>
      </c>
      <c r="BV30" s="328">
        <v>0</v>
      </c>
      <c r="BW30" s="328">
        <f>114%*58.33333%</f>
        <v>0.66499996199999989</v>
      </c>
      <c r="BX30" s="328" t="s">
        <v>1208</v>
      </c>
      <c r="BY30" s="169"/>
      <c r="BZ30" s="169"/>
      <c r="CA30" s="169"/>
      <c r="CB30" s="169"/>
      <c r="CC30" s="328" t="s">
        <v>799</v>
      </c>
      <c r="CD30" s="328">
        <v>0</v>
      </c>
      <c r="CE30" s="328">
        <f>114%*66.6666%</f>
        <v>0.75999923999999996</v>
      </c>
      <c r="CF30" s="328" t="s">
        <v>1209</v>
      </c>
      <c r="CG30" s="169"/>
      <c r="CH30" s="169"/>
      <c r="CI30" s="169"/>
      <c r="CJ30" s="169"/>
      <c r="CK30" s="328" t="s">
        <v>799</v>
      </c>
      <c r="CL30" s="328">
        <v>0.8</v>
      </c>
      <c r="CM30" s="328">
        <v>0.8175</v>
      </c>
      <c r="CN30" s="328" t="s">
        <v>1210</v>
      </c>
      <c r="CO30" s="169"/>
      <c r="CP30" s="169"/>
      <c r="CQ30" s="169"/>
      <c r="CR30" s="169"/>
      <c r="CS30" s="350"/>
      <c r="CT30" s="350"/>
      <c r="CU30" s="350"/>
      <c r="CV30" s="350"/>
      <c r="CW30" s="350"/>
      <c r="CX30" s="350"/>
      <c r="CY30" s="350"/>
      <c r="CZ30" s="350"/>
      <c r="DA30" s="350"/>
      <c r="DB30" s="350"/>
      <c r="DC30" s="350"/>
      <c r="DD30" s="350"/>
      <c r="DE30" s="350"/>
      <c r="DF30" s="350"/>
      <c r="DG30" s="350"/>
      <c r="DH30" s="350"/>
      <c r="DI30" s="350"/>
      <c r="DJ30" s="350"/>
    </row>
    <row r="31" spans="1:114" s="210" customFormat="1" ht="96.75" customHeight="1" x14ac:dyDescent="0.25">
      <c r="A31" s="532"/>
      <c r="B31" s="548"/>
      <c r="C31" s="532"/>
      <c r="D31" s="532"/>
      <c r="E31" s="532"/>
      <c r="F31" s="532"/>
      <c r="G31" s="532"/>
      <c r="H31" s="532"/>
      <c r="I31" s="532"/>
      <c r="J31" s="532"/>
      <c r="K31" s="548"/>
      <c r="L31" s="207" t="s">
        <v>1211</v>
      </c>
      <c r="M31" s="330" t="s">
        <v>1212</v>
      </c>
      <c r="N31" s="330" t="s">
        <v>93</v>
      </c>
      <c r="O31" s="330"/>
      <c r="P31" s="335">
        <v>0.9</v>
      </c>
      <c r="Q31" s="169"/>
      <c r="R31" s="169"/>
      <c r="S31" s="169"/>
      <c r="T31" s="169"/>
      <c r="U31" s="169"/>
      <c r="V31" s="331">
        <v>1303883335</v>
      </c>
      <c r="W31" s="581"/>
      <c r="X31" s="532"/>
      <c r="Y31" s="323">
        <v>0.25</v>
      </c>
      <c r="Z31" s="323">
        <v>1</v>
      </c>
      <c r="AA31" s="323">
        <v>0.25</v>
      </c>
      <c r="AB31" s="323" t="s">
        <v>1213</v>
      </c>
      <c r="AC31" s="169"/>
      <c r="AD31" s="169"/>
      <c r="AE31" s="169"/>
      <c r="AF31" s="169"/>
      <c r="AG31" s="323">
        <v>0.5</v>
      </c>
      <c r="AH31" s="323">
        <v>1</v>
      </c>
      <c r="AI31" s="323">
        <v>0.5</v>
      </c>
      <c r="AJ31" s="323" t="s">
        <v>1214</v>
      </c>
      <c r="AK31" s="169"/>
      <c r="AL31" s="169"/>
      <c r="AM31" s="169"/>
      <c r="AN31" s="169"/>
      <c r="AO31" s="323">
        <v>0.625</v>
      </c>
      <c r="AP31" s="323">
        <v>1</v>
      </c>
      <c r="AQ31" s="323">
        <v>0.625</v>
      </c>
      <c r="AR31" s="323" t="s">
        <v>1215</v>
      </c>
      <c r="AS31" s="169"/>
      <c r="AT31" s="169"/>
      <c r="AU31" s="169"/>
      <c r="AV31" s="169"/>
      <c r="AW31" s="323">
        <f>+AO31</f>
        <v>0.625</v>
      </c>
      <c r="AX31" s="323">
        <v>1</v>
      </c>
      <c r="AY31" s="323">
        <f>+AQ31</f>
        <v>0.625</v>
      </c>
      <c r="AZ31" s="323" t="s">
        <v>1216</v>
      </c>
      <c r="BA31" s="169"/>
      <c r="BB31" s="169"/>
      <c r="BC31" s="169"/>
      <c r="BD31" s="169"/>
      <c r="BE31" s="323">
        <f>+AW31</f>
        <v>0.625</v>
      </c>
      <c r="BF31" s="323">
        <v>1</v>
      </c>
      <c r="BG31" s="323">
        <f>+AY31</f>
        <v>0.625</v>
      </c>
      <c r="BH31" s="323" t="s">
        <v>1217</v>
      </c>
      <c r="BI31" s="169"/>
      <c r="BJ31" s="169"/>
      <c r="BK31" s="169"/>
      <c r="BL31" s="169"/>
      <c r="BM31" s="323" t="s">
        <v>799</v>
      </c>
      <c r="BN31" s="323">
        <v>0</v>
      </c>
      <c r="BO31" s="323">
        <f>+BG31</f>
        <v>0.625</v>
      </c>
      <c r="BP31" s="323" t="s">
        <v>1218</v>
      </c>
      <c r="BQ31" s="169"/>
      <c r="BR31" s="169"/>
      <c r="BS31" s="169"/>
      <c r="BT31" s="169"/>
      <c r="BU31" s="323">
        <f>87.5%-BO31</f>
        <v>0.25</v>
      </c>
      <c r="BV31" s="323">
        <v>0.9</v>
      </c>
      <c r="BW31" s="323">
        <f>87.5%/BV31</f>
        <v>0.97222222222222221</v>
      </c>
      <c r="BX31" s="323" t="s">
        <v>1219</v>
      </c>
      <c r="BY31" s="169"/>
      <c r="BZ31" s="169"/>
      <c r="CA31" s="169"/>
      <c r="CB31" s="169"/>
      <c r="CC31" s="323">
        <f>+CE31-BW31</f>
        <v>0</v>
      </c>
      <c r="CD31" s="323">
        <v>0.9</v>
      </c>
      <c r="CE31" s="323">
        <f>87.5%/CD31</f>
        <v>0.97222222222222221</v>
      </c>
      <c r="CF31" s="323" t="s">
        <v>1219</v>
      </c>
      <c r="CG31" s="169"/>
      <c r="CH31" s="169"/>
      <c r="CI31" s="169"/>
      <c r="CJ31" s="169"/>
      <c r="CK31" s="323">
        <f>+CM31-CE31</f>
        <v>0</v>
      </c>
      <c r="CL31" s="323">
        <v>0.9</v>
      </c>
      <c r="CM31" s="323">
        <f>87.5%/CL31</f>
        <v>0.97222222222222221</v>
      </c>
      <c r="CN31" s="323" t="s">
        <v>1220</v>
      </c>
      <c r="CO31" s="169"/>
      <c r="CP31" s="169"/>
      <c r="CQ31" s="169"/>
      <c r="CR31" s="169"/>
      <c r="CS31" s="350"/>
      <c r="CT31" s="350"/>
      <c r="CU31" s="350"/>
      <c r="CV31" s="350"/>
      <c r="CW31" s="350"/>
      <c r="CX31" s="350"/>
      <c r="CY31" s="350"/>
      <c r="CZ31" s="350"/>
      <c r="DA31" s="350"/>
      <c r="DB31" s="350"/>
      <c r="DC31" s="350"/>
      <c r="DD31" s="350"/>
      <c r="DE31" s="350"/>
      <c r="DF31" s="350"/>
      <c r="DG31" s="350"/>
      <c r="DH31" s="350"/>
      <c r="DI31" s="350"/>
      <c r="DJ31" s="350"/>
    </row>
    <row r="32" spans="1:114" s="210" customFormat="1" ht="33.75" customHeight="1" x14ac:dyDescent="0.25">
      <c r="A32" s="532"/>
      <c r="B32" s="548"/>
      <c r="C32" s="532"/>
      <c r="D32" s="532"/>
      <c r="E32" s="330"/>
      <c r="F32" s="330"/>
      <c r="G32" s="532"/>
      <c r="H32" s="330"/>
      <c r="I32" s="330"/>
      <c r="J32" s="532"/>
      <c r="K32" s="332"/>
      <c r="L32" s="207"/>
      <c r="M32" s="330"/>
      <c r="N32" s="330"/>
      <c r="O32" s="330"/>
      <c r="P32" s="335"/>
      <c r="Q32" s="169"/>
      <c r="R32" s="169"/>
      <c r="S32" s="169"/>
      <c r="T32" s="169"/>
      <c r="U32" s="169"/>
      <c r="V32" s="331"/>
      <c r="W32" s="581"/>
      <c r="X32" s="330"/>
      <c r="Y32" s="382" t="s">
        <v>102</v>
      </c>
      <c r="Z32" s="382"/>
      <c r="AA32" s="42">
        <f>+AVERAGE(AA29:AA31)</f>
        <v>0.69710144927536233</v>
      </c>
      <c r="AB32" s="339"/>
      <c r="AC32" s="569"/>
      <c r="AD32" s="569"/>
      <c r="AE32" s="341"/>
      <c r="AF32" s="339"/>
      <c r="AG32" s="382" t="s">
        <v>1053</v>
      </c>
      <c r="AH32" s="382"/>
      <c r="AI32" s="42">
        <f>+AVERAGE(AI29:AI31)</f>
        <v>0.96333333333333326</v>
      </c>
      <c r="AJ32" s="339"/>
      <c r="AK32" s="569"/>
      <c r="AL32" s="569"/>
      <c r="AM32" s="341"/>
      <c r="AN32" s="339"/>
      <c r="AO32" s="382" t="s">
        <v>1053</v>
      </c>
      <c r="AP32" s="382"/>
      <c r="AQ32" s="42">
        <f>+AVERAGE(AQ29:AQ31)</f>
        <v>1.1933333333333334</v>
      </c>
      <c r="AR32" s="339"/>
      <c r="AS32" s="569"/>
      <c r="AT32" s="569"/>
      <c r="AU32" s="341"/>
      <c r="AV32" s="339"/>
      <c r="AW32" s="382" t="s">
        <v>1053</v>
      </c>
      <c r="AX32" s="382"/>
      <c r="AY32" s="42">
        <f>+AVERAGE(AY29:AY31)</f>
        <v>1.1949998733333334</v>
      </c>
      <c r="AZ32" s="339"/>
      <c r="BA32" s="569"/>
      <c r="BB32" s="569"/>
      <c r="BC32" s="341"/>
      <c r="BD32" s="339"/>
      <c r="BE32" s="382" t="s">
        <v>1053</v>
      </c>
      <c r="BF32" s="382"/>
      <c r="BG32" s="42">
        <f>+AVERAGE(BG29:BG31)</f>
        <v>1.3766641333333334</v>
      </c>
      <c r="BH32" s="339"/>
      <c r="BI32" s="569"/>
      <c r="BJ32" s="569"/>
      <c r="BK32" s="341"/>
      <c r="BL32" s="339"/>
      <c r="BM32" s="382" t="s">
        <v>1053</v>
      </c>
      <c r="BN32" s="382"/>
      <c r="BO32" s="42">
        <f>+AVERAGE(BO29:BO31)</f>
        <v>1.5133333333333334</v>
      </c>
      <c r="BP32" s="339"/>
      <c r="BQ32" s="569"/>
      <c r="BR32" s="569"/>
      <c r="BS32" s="341"/>
      <c r="BT32" s="339"/>
      <c r="BU32" s="382" t="s">
        <v>1053</v>
      </c>
      <c r="BV32" s="382"/>
      <c r="BW32" s="42">
        <f>+AVERAGE(BW29:BW31)</f>
        <v>1.7290740614074072</v>
      </c>
      <c r="BX32" s="339"/>
      <c r="BY32" s="569"/>
      <c r="BZ32" s="569"/>
      <c r="CA32" s="341"/>
      <c r="CB32" s="339"/>
      <c r="CC32" s="382" t="s">
        <v>1053</v>
      </c>
      <c r="CD32" s="382"/>
      <c r="CE32" s="42">
        <f>+AVERAGE(CE29:CE31)</f>
        <v>1.8274071540740742</v>
      </c>
      <c r="CF32" s="339"/>
      <c r="CG32" s="569"/>
      <c r="CH32" s="569"/>
      <c r="CI32" s="341"/>
      <c r="CJ32" s="339"/>
      <c r="CK32" s="382" t="s">
        <v>1053</v>
      </c>
      <c r="CL32" s="382"/>
      <c r="CM32" s="42">
        <f>+AVERAGE(CM29:CM31)</f>
        <v>1.8717407407407407</v>
      </c>
      <c r="CN32" s="339"/>
      <c r="CO32" s="569"/>
      <c r="CP32" s="569"/>
      <c r="CQ32" s="341"/>
      <c r="CR32" s="339"/>
      <c r="CS32" s="350"/>
      <c r="CT32" s="350"/>
      <c r="CU32" s="350"/>
      <c r="CV32" s="350"/>
      <c r="CW32" s="350"/>
      <c r="CX32" s="350"/>
      <c r="CY32" s="350"/>
      <c r="CZ32" s="350"/>
      <c r="DA32" s="350"/>
      <c r="DB32" s="350"/>
      <c r="DC32" s="350"/>
      <c r="DD32" s="350"/>
      <c r="DE32" s="350"/>
      <c r="DF32" s="350"/>
      <c r="DG32" s="350"/>
      <c r="DH32" s="350"/>
      <c r="DI32" s="350"/>
      <c r="DJ32" s="350"/>
    </row>
    <row r="33" spans="1:114" s="210" customFormat="1" ht="136.5" customHeight="1" x14ac:dyDescent="0.25">
      <c r="A33" s="532"/>
      <c r="B33" s="548"/>
      <c r="C33" s="532"/>
      <c r="D33" s="532"/>
      <c r="E33" s="548" t="s">
        <v>1221</v>
      </c>
      <c r="F33" s="548" t="s">
        <v>1221</v>
      </c>
      <c r="G33" s="532"/>
      <c r="H33" s="548" t="s">
        <v>1054</v>
      </c>
      <c r="I33" s="548" t="s">
        <v>1222</v>
      </c>
      <c r="J33" s="532"/>
      <c r="K33" s="532" t="s">
        <v>1223</v>
      </c>
      <c r="L33" s="332" t="s">
        <v>1224</v>
      </c>
      <c r="M33" s="332" t="s">
        <v>1225</v>
      </c>
      <c r="N33" s="332" t="s">
        <v>93</v>
      </c>
      <c r="O33" s="332"/>
      <c r="P33" s="332">
        <v>90</v>
      </c>
      <c r="Q33" s="332" t="s">
        <v>1226</v>
      </c>
      <c r="R33" s="332" t="s">
        <v>1227</v>
      </c>
      <c r="S33" s="332" t="s">
        <v>93</v>
      </c>
      <c r="T33" s="332"/>
      <c r="U33" s="332">
        <v>0.5</v>
      </c>
      <c r="V33" s="329">
        <v>158897394</v>
      </c>
      <c r="W33" s="581"/>
      <c r="X33" s="548" t="s">
        <v>1228</v>
      </c>
      <c r="Y33" s="323">
        <v>0</v>
      </c>
      <c r="Z33" s="323">
        <v>0.9</v>
      </c>
      <c r="AA33" s="323">
        <v>0</v>
      </c>
      <c r="AB33" s="322" t="s">
        <v>1229</v>
      </c>
      <c r="AC33" s="323">
        <v>0</v>
      </c>
      <c r="AD33" s="323">
        <v>0.5</v>
      </c>
      <c r="AE33" s="323">
        <v>0</v>
      </c>
      <c r="AF33" s="323" t="s">
        <v>1230</v>
      </c>
      <c r="AG33" s="323">
        <v>0.97919999999999996</v>
      </c>
      <c r="AH33" s="323">
        <v>0.9</v>
      </c>
      <c r="AI33" s="323">
        <f>+AG33/AH33</f>
        <v>1.0879999999999999</v>
      </c>
      <c r="AJ33" s="322" t="s">
        <v>1231</v>
      </c>
      <c r="AK33" s="323">
        <v>0</v>
      </c>
      <c r="AL33" s="323">
        <v>0.5</v>
      </c>
      <c r="AM33" s="323">
        <v>0</v>
      </c>
      <c r="AN33" s="323" t="s">
        <v>1230</v>
      </c>
      <c r="AO33" s="323">
        <v>0.84</v>
      </c>
      <c r="AP33" s="323">
        <v>0.9</v>
      </c>
      <c r="AQ33" s="323">
        <f>+AO33/AP33</f>
        <v>0.93333333333333324</v>
      </c>
      <c r="AR33" s="322" t="s">
        <v>1232</v>
      </c>
      <c r="AS33" s="323">
        <v>0</v>
      </c>
      <c r="AT33" s="323">
        <v>0.5</v>
      </c>
      <c r="AU33" s="323">
        <v>0</v>
      </c>
      <c r="AV33" s="323" t="s">
        <v>1230</v>
      </c>
      <c r="AW33" s="323" t="s">
        <v>799</v>
      </c>
      <c r="AX33" s="323">
        <v>0.9</v>
      </c>
      <c r="AY33" s="323">
        <f>+AQ33</f>
        <v>0.93333333333333324</v>
      </c>
      <c r="AZ33" s="322" t="s">
        <v>1233</v>
      </c>
      <c r="BA33" s="323" t="s">
        <v>799</v>
      </c>
      <c r="BB33" s="323">
        <v>0.5</v>
      </c>
      <c r="BC33" s="323">
        <v>0</v>
      </c>
      <c r="BD33" s="323" t="s">
        <v>1230</v>
      </c>
      <c r="BE33" s="323">
        <v>0.95</v>
      </c>
      <c r="BF33" s="323">
        <v>0.9</v>
      </c>
      <c r="BG33" s="323">
        <f>+BE33/BF33</f>
        <v>1.0555555555555556</v>
      </c>
      <c r="BH33" s="322" t="s">
        <v>1234</v>
      </c>
      <c r="BI33" s="323" t="s">
        <v>799</v>
      </c>
      <c r="BJ33" s="323">
        <v>0.5</v>
      </c>
      <c r="BK33" s="323">
        <v>0</v>
      </c>
      <c r="BL33" s="323" t="s">
        <v>1230</v>
      </c>
      <c r="BM33" s="323">
        <v>0.92333333333333301</v>
      </c>
      <c r="BN33" s="323">
        <v>0.9</v>
      </c>
      <c r="BO33" s="323">
        <f>+BM33/BN33</f>
        <v>1.0259259259259255</v>
      </c>
      <c r="BP33" s="322" t="s">
        <v>1235</v>
      </c>
      <c r="BQ33" s="323">
        <v>0.45454545454545497</v>
      </c>
      <c r="BR33" s="323">
        <v>1</v>
      </c>
      <c r="BS33" s="323">
        <v>0.45454545454545497</v>
      </c>
      <c r="BT33" s="323" t="s">
        <v>1236</v>
      </c>
      <c r="BU33" s="323">
        <v>0.91449999999999998</v>
      </c>
      <c r="BV33" s="323">
        <v>0.9</v>
      </c>
      <c r="BW33" s="323">
        <f>+BU33/BV33</f>
        <v>1.016111111111111</v>
      </c>
      <c r="BX33" s="322" t="s">
        <v>1237</v>
      </c>
      <c r="BY33" s="323">
        <v>0.59090909090909105</v>
      </c>
      <c r="BZ33" s="323">
        <v>0.9</v>
      </c>
      <c r="CA33" s="323">
        <f>+BY33/BZ33</f>
        <v>0.65656565656565669</v>
      </c>
      <c r="CB33" s="323" t="s">
        <v>1238</v>
      </c>
      <c r="CC33" s="323">
        <v>0.91639999999999999</v>
      </c>
      <c r="CD33" s="323">
        <v>0.9</v>
      </c>
      <c r="CE33" s="323">
        <f>+CC33/CD33</f>
        <v>1.0182222222222221</v>
      </c>
      <c r="CF33" s="322" t="s">
        <v>1239</v>
      </c>
      <c r="CG33" s="323">
        <v>0.68181818181818199</v>
      </c>
      <c r="CH33" s="323">
        <v>0.9</v>
      </c>
      <c r="CI33" s="323">
        <f>+CG33/CH33</f>
        <v>0.75757575757575779</v>
      </c>
      <c r="CJ33" s="323" t="s">
        <v>1240</v>
      </c>
      <c r="CK33" s="323">
        <v>0.91500000000000004</v>
      </c>
      <c r="CL33" s="323">
        <v>0.9</v>
      </c>
      <c r="CM33" s="323">
        <f>+CK33/CL33</f>
        <v>1.0166666666666666</v>
      </c>
      <c r="CN33" s="322" t="s">
        <v>1241</v>
      </c>
      <c r="CO33" s="323">
        <v>0.84090909090909105</v>
      </c>
      <c r="CP33" s="323">
        <v>0.9</v>
      </c>
      <c r="CQ33" s="323">
        <f>+CO33/CP33</f>
        <v>0.93434343434343448</v>
      </c>
      <c r="CR33" s="323" t="s">
        <v>1242</v>
      </c>
      <c r="CS33" s="350"/>
      <c r="CT33" s="350"/>
      <c r="CU33" s="350"/>
      <c r="CV33" s="350"/>
      <c r="CW33" s="350"/>
      <c r="CX33" s="350"/>
      <c r="CY33" s="350"/>
      <c r="CZ33" s="350"/>
      <c r="DA33" s="350"/>
      <c r="DB33" s="350"/>
      <c r="DC33" s="350"/>
      <c r="DD33" s="350"/>
      <c r="DE33" s="350"/>
      <c r="DF33" s="350"/>
      <c r="DG33" s="350"/>
      <c r="DH33" s="350"/>
      <c r="DI33" s="350"/>
      <c r="DJ33" s="350"/>
    </row>
    <row r="34" spans="1:114" s="210" customFormat="1" ht="131.25" customHeight="1" x14ac:dyDescent="0.25">
      <c r="A34" s="532"/>
      <c r="B34" s="548"/>
      <c r="C34" s="532"/>
      <c r="D34" s="532"/>
      <c r="E34" s="548"/>
      <c r="F34" s="548"/>
      <c r="G34" s="532"/>
      <c r="H34" s="548"/>
      <c r="I34" s="548"/>
      <c r="J34" s="532"/>
      <c r="K34" s="532"/>
      <c r="L34" s="330" t="s">
        <v>1243</v>
      </c>
      <c r="M34" s="330" t="s">
        <v>1225</v>
      </c>
      <c r="N34" s="330" t="s">
        <v>93</v>
      </c>
      <c r="O34" s="330"/>
      <c r="P34" s="330">
        <v>90</v>
      </c>
      <c r="Q34" s="169"/>
      <c r="R34" s="169"/>
      <c r="S34" s="169"/>
      <c r="T34" s="169"/>
      <c r="U34" s="169"/>
      <c r="V34" s="331">
        <v>326753660</v>
      </c>
      <c r="W34" s="581"/>
      <c r="X34" s="548"/>
      <c r="Y34" s="328">
        <v>0.94989400000000002</v>
      </c>
      <c r="Z34" s="328">
        <v>0.9</v>
      </c>
      <c r="AA34" s="328">
        <f>+Y34/Z34</f>
        <v>1.0554377777777777</v>
      </c>
      <c r="AB34" s="327" t="s">
        <v>1244</v>
      </c>
      <c r="AC34" s="345"/>
      <c r="AD34" s="169"/>
      <c r="AE34" s="169"/>
      <c r="AF34" s="169"/>
      <c r="AG34" s="328">
        <v>0.96445000000000003</v>
      </c>
      <c r="AH34" s="328">
        <v>0.9</v>
      </c>
      <c r="AI34" s="328">
        <f>+AG34/AH34</f>
        <v>1.0716111111111111</v>
      </c>
      <c r="AJ34" s="327" t="s">
        <v>1245</v>
      </c>
      <c r="AK34" s="345"/>
      <c r="AL34" s="169"/>
      <c r="AM34" s="169"/>
      <c r="AN34" s="169"/>
      <c r="AO34" s="328">
        <v>0.94940000000000002</v>
      </c>
      <c r="AP34" s="328">
        <v>0.9</v>
      </c>
      <c r="AQ34" s="328">
        <f>+AO34/AP34</f>
        <v>1.054888888888889</v>
      </c>
      <c r="AR34" s="327" t="s">
        <v>1246</v>
      </c>
      <c r="AS34" s="345"/>
      <c r="AT34" s="169"/>
      <c r="AU34" s="169"/>
      <c r="AV34" s="169"/>
      <c r="AW34" s="328">
        <v>0.96799999999999997</v>
      </c>
      <c r="AX34" s="328">
        <v>0.9</v>
      </c>
      <c r="AY34" s="328">
        <f>+AW34/AX34</f>
        <v>1.0755555555555556</v>
      </c>
      <c r="AZ34" s="327" t="s">
        <v>1247</v>
      </c>
      <c r="BA34" s="345"/>
      <c r="BB34" s="169"/>
      <c r="BC34" s="169"/>
      <c r="BD34" s="169"/>
      <c r="BE34" s="328">
        <v>0.96499999999999997</v>
      </c>
      <c r="BF34" s="328">
        <v>0.9</v>
      </c>
      <c r="BG34" s="328">
        <f>+BE34/BF34</f>
        <v>1.0722222222222222</v>
      </c>
      <c r="BH34" s="327" t="s">
        <v>1248</v>
      </c>
      <c r="BI34" s="345"/>
      <c r="BJ34" s="169"/>
      <c r="BK34" s="169"/>
      <c r="BL34" s="169"/>
      <c r="BM34" s="328">
        <v>0.96042192450851804</v>
      </c>
      <c r="BN34" s="328">
        <v>0.9</v>
      </c>
      <c r="BO34" s="328">
        <f>+BM34/BN34</f>
        <v>1.0671354716761312</v>
      </c>
      <c r="BP34" s="327" t="s">
        <v>1249</v>
      </c>
      <c r="BQ34" s="345"/>
      <c r="BR34" s="169"/>
      <c r="BS34" s="169"/>
      <c r="BT34" s="169"/>
      <c r="BU34" s="328">
        <v>0.96060000000000001</v>
      </c>
      <c r="BV34" s="328">
        <v>0.9</v>
      </c>
      <c r="BW34" s="328">
        <f>+BU34/BV34</f>
        <v>1.0673333333333332</v>
      </c>
      <c r="BX34" s="327" t="s">
        <v>1250</v>
      </c>
      <c r="BY34" s="345"/>
      <c r="BZ34" s="169"/>
      <c r="CA34" s="169"/>
      <c r="CB34" s="169"/>
      <c r="CC34" s="328">
        <v>0.96103000000000005</v>
      </c>
      <c r="CD34" s="328">
        <v>0.9</v>
      </c>
      <c r="CE34" s="328">
        <f>+CC34/CD34</f>
        <v>1.067811111111111</v>
      </c>
      <c r="CF34" s="327" t="s">
        <v>1251</v>
      </c>
      <c r="CG34" s="345"/>
      <c r="CH34" s="169"/>
      <c r="CI34" s="169"/>
      <c r="CJ34" s="169"/>
      <c r="CK34" s="328">
        <v>0.96184999999999998</v>
      </c>
      <c r="CL34" s="328">
        <v>0.9</v>
      </c>
      <c r="CM34" s="328">
        <f>+CK34/CL34</f>
        <v>1.0687222222222221</v>
      </c>
      <c r="CN34" s="327" t="s">
        <v>1252</v>
      </c>
      <c r="CO34" s="345"/>
      <c r="CP34" s="169"/>
      <c r="CQ34" s="169"/>
      <c r="CR34" s="169"/>
      <c r="CS34" s="350"/>
      <c r="CT34" s="350"/>
      <c r="CU34" s="350"/>
      <c r="CV34" s="350"/>
      <c r="CW34" s="350"/>
      <c r="CX34" s="350"/>
      <c r="CY34" s="350"/>
      <c r="CZ34" s="350"/>
      <c r="DA34" s="350"/>
      <c r="DB34" s="350"/>
      <c r="DC34" s="350"/>
      <c r="DD34" s="350"/>
      <c r="DE34" s="350"/>
      <c r="DF34" s="350"/>
      <c r="DG34" s="350"/>
      <c r="DH34" s="350"/>
      <c r="DI34" s="350"/>
      <c r="DJ34" s="350"/>
    </row>
    <row r="35" spans="1:114" s="210" customFormat="1" ht="300" customHeight="1" x14ac:dyDescent="0.25">
      <c r="A35" s="532"/>
      <c r="B35" s="548"/>
      <c r="C35" s="532"/>
      <c r="D35" s="532"/>
      <c r="E35" s="548"/>
      <c r="F35" s="548"/>
      <c r="G35" s="532"/>
      <c r="H35" s="548"/>
      <c r="I35" s="548"/>
      <c r="J35" s="532"/>
      <c r="K35" s="532"/>
      <c r="L35" s="332" t="s">
        <v>1253</v>
      </c>
      <c r="M35" s="332" t="s">
        <v>1254</v>
      </c>
      <c r="N35" s="332" t="s">
        <v>93</v>
      </c>
      <c r="O35" s="332">
        <v>35</v>
      </c>
      <c r="P35" s="332">
        <v>30</v>
      </c>
      <c r="Q35" s="332" t="s">
        <v>1255</v>
      </c>
      <c r="R35" s="332" t="s">
        <v>1256</v>
      </c>
      <c r="S35" s="332" t="s">
        <v>93</v>
      </c>
      <c r="T35" s="332">
        <v>0</v>
      </c>
      <c r="U35" s="332">
        <v>90</v>
      </c>
      <c r="V35" s="329">
        <v>190433866</v>
      </c>
      <c r="W35" s="581"/>
      <c r="X35" s="548"/>
      <c r="Y35" s="323" t="s">
        <v>799</v>
      </c>
      <c r="Z35" s="323">
        <v>0.9</v>
      </c>
      <c r="AA35" s="323">
        <v>0</v>
      </c>
      <c r="AB35" s="322" t="s">
        <v>1257</v>
      </c>
      <c r="AC35" s="346">
        <v>0</v>
      </c>
      <c r="AD35" s="340">
        <v>0.9</v>
      </c>
      <c r="AE35" s="235">
        <v>0</v>
      </c>
      <c r="AF35" s="347" t="s">
        <v>1257</v>
      </c>
      <c r="AG35" s="323">
        <v>0</v>
      </c>
      <c r="AH35" s="323">
        <v>0.9</v>
      </c>
      <c r="AI35" s="323">
        <v>0</v>
      </c>
      <c r="AJ35" s="322" t="s">
        <v>1258</v>
      </c>
      <c r="AK35" s="346">
        <v>7.69230769230769E-2</v>
      </c>
      <c r="AL35" s="340">
        <v>0.9</v>
      </c>
      <c r="AM35" s="235">
        <f>+AK35/AL35</f>
        <v>8.5470085470085444E-2</v>
      </c>
      <c r="AN35" s="347" t="s">
        <v>1259</v>
      </c>
      <c r="AO35" s="323">
        <v>0</v>
      </c>
      <c r="AP35" s="323">
        <v>0.9</v>
      </c>
      <c r="AQ35" s="323">
        <v>0</v>
      </c>
      <c r="AR35" s="322" t="s">
        <v>1258</v>
      </c>
      <c r="AS35" s="346">
        <v>0.2</v>
      </c>
      <c r="AT35" s="340">
        <v>0.9</v>
      </c>
      <c r="AU35" s="235">
        <f>+AS35/AT35</f>
        <v>0.22222222222222224</v>
      </c>
      <c r="AV35" s="347" t="s">
        <v>1260</v>
      </c>
      <c r="AW35" s="323" t="s">
        <v>799</v>
      </c>
      <c r="AX35" s="323">
        <v>0.9</v>
      </c>
      <c r="AY35" s="323">
        <v>0</v>
      </c>
      <c r="AZ35" s="322" t="s">
        <v>1258</v>
      </c>
      <c r="BA35" s="346">
        <v>0.30769999999999997</v>
      </c>
      <c r="BB35" s="340">
        <v>0.9</v>
      </c>
      <c r="BC35" s="235">
        <f>+BA35/BB35</f>
        <v>0.34188888888888885</v>
      </c>
      <c r="BD35" s="347" t="s">
        <v>1261</v>
      </c>
      <c r="BE35" s="323" t="s">
        <v>799</v>
      </c>
      <c r="BF35" s="323">
        <v>0.9</v>
      </c>
      <c r="BG35" s="323">
        <v>0</v>
      </c>
      <c r="BH35" s="322" t="s">
        <v>1258</v>
      </c>
      <c r="BI35" s="346">
        <v>0.4</v>
      </c>
      <c r="BJ35" s="340">
        <v>0.9</v>
      </c>
      <c r="BK35" s="235">
        <f>+BI35/BJ35</f>
        <v>0.44444444444444448</v>
      </c>
      <c r="BL35" s="347" t="s">
        <v>1262</v>
      </c>
      <c r="BM35" s="323" t="s">
        <v>799</v>
      </c>
      <c r="BN35" s="323">
        <v>0.9</v>
      </c>
      <c r="BO35" s="323">
        <v>0</v>
      </c>
      <c r="BP35" s="322" t="s">
        <v>1258</v>
      </c>
      <c r="BQ35" s="346">
        <v>0.47689999999999999</v>
      </c>
      <c r="BR35" s="340">
        <v>0.9</v>
      </c>
      <c r="BS35" s="235">
        <f>+BQ35/BR35</f>
        <v>0.52988888888888885</v>
      </c>
      <c r="BT35" s="347" t="s">
        <v>1263</v>
      </c>
      <c r="BU35" s="323" t="s">
        <v>799</v>
      </c>
      <c r="BV35" s="323">
        <v>0.9</v>
      </c>
      <c r="BW35" s="323" t="s">
        <v>799</v>
      </c>
      <c r="BX35" s="322" t="s">
        <v>1258</v>
      </c>
      <c r="BY35" s="346">
        <v>7.69230769230769E-2</v>
      </c>
      <c r="BZ35" s="340">
        <v>0.9</v>
      </c>
      <c r="CA35" s="235">
        <f>55.3846153846154%/BZ35</f>
        <v>0.61538461538461553</v>
      </c>
      <c r="CB35" s="347" t="s">
        <v>1264</v>
      </c>
      <c r="CC35" s="323" t="s">
        <v>799</v>
      </c>
      <c r="CD35" s="323">
        <v>0.9</v>
      </c>
      <c r="CE35" s="323" t="str">
        <f>CC35</f>
        <v>-</v>
      </c>
      <c r="CF35" s="322" t="s">
        <v>1258</v>
      </c>
      <c r="CG35" s="346">
        <v>9.2307692307692299E-2</v>
      </c>
      <c r="CH35" s="340">
        <v>0.9</v>
      </c>
      <c r="CI35" s="235">
        <f>64.62%/CH35</f>
        <v>0.71799999999999997</v>
      </c>
      <c r="CJ35" s="347" t="s">
        <v>1265</v>
      </c>
      <c r="CK35" s="323" t="s">
        <v>799</v>
      </c>
      <c r="CL35" s="323">
        <v>0.9</v>
      </c>
      <c r="CM35" s="323" t="str">
        <f>CK35</f>
        <v>-</v>
      </c>
      <c r="CN35" s="322" t="s">
        <v>1258</v>
      </c>
      <c r="CO35" s="346">
        <v>0.75380000000000003</v>
      </c>
      <c r="CP35" s="340">
        <v>0.9</v>
      </c>
      <c r="CQ35" s="235">
        <f>+CO35/CP35</f>
        <v>0.83755555555555561</v>
      </c>
      <c r="CR35" s="347" t="s">
        <v>1266</v>
      </c>
      <c r="CS35" s="350"/>
      <c r="CT35" s="350"/>
      <c r="CU35" s="350"/>
      <c r="CV35" s="350"/>
      <c r="CW35" s="350"/>
      <c r="CX35" s="350"/>
      <c r="CY35" s="350"/>
      <c r="CZ35" s="350"/>
      <c r="DA35" s="350"/>
      <c r="DB35" s="350"/>
      <c r="DC35" s="350"/>
      <c r="DD35" s="350"/>
      <c r="DE35" s="350"/>
      <c r="DF35" s="350"/>
      <c r="DG35" s="350"/>
      <c r="DH35" s="350"/>
      <c r="DI35" s="350"/>
      <c r="DJ35" s="350"/>
    </row>
    <row r="36" spans="1:114" ht="38.25" customHeight="1" x14ac:dyDescent="0.25">
      <c r="Y36" s="382" t="s">
        <v>102</v>
      </c>
      <c r="Z36" s="382"/>
      <c r="AA36" s="42">
        <f>+AVERAGE(AA33:AA35)</f>
        <v>0.35181259259259257</v>
      </c>
      <c r="AB36" s="339"/>
      <c r="AC36" s="382" t="s">
        <v>1052</v>
      </c>
      <c r="AD36" s="382"/>
      <c r="AE36" s="42">
        <f>+AVERAGE(AE35,AE33)</f>
        <v>0</v>
      </c>
      <c r="AF36" s="339"/>
      <c r="AG36" s="382" t="s">
        <v>1053</v>
      </c>
      <c r="AH36" s="382"/>
      <c r="AI36" s="42">
        <f>+AVERAGE(AI33:AI35)</f>
        <v>0.71987037037037027</v>
      </c>
      <c r="AJ36" s="339"/>
      <c r="AK36" s="382" t="s">
        <v>1052</v>
      </c>
      <c r="AL36" s="382"/>
      <c r="AM36" s="42">
        <f>+AVERAGE(AM35,AM33)</f>
        <v>4.2735042735042722E-2</v>
      </c>
      <c r="AN36" s="339"/>
      <c r="AO36" s="382" t="s">
        <v>1053</v>
      </c>
      <c r="AP36" s="382"/>
      <c r="AQ36" s="42">
        <f>+AVERAGE(AQ33:AQ35)</f>
        <v>0.66274074074074074</v>
      </c>
      <c r="AR36" s="339"/>
      <c r="AS36" s="382" t="s">
        <v>1052</v>
      </c>
      <c r="AT36" s="382"/>
      <c r="AU36" s="42">
        <f>+AVERAGE(AU35,AU33)</f>
        <v>0.11111111111111112</v>
      </c>
      <c r="AV36" s="339"/>
      <c r="AW36" s="382" t="s">
        <v>1053</v>
      </c>
      <c r="AX36" s="382"/>
      <c r="AY36" s="42">
        <f>+AVERAGE(AY33:AY35)</f>
        <v>0.66962962962962969</v>
      </c>
      <c r="AZ36" s="339"/>
      <c r="BA36" s="382" t="s">
        <v>1052</v>
      </c>
      <c r="BB36" s="382"/>
      <c r="BC36" s="42">
        <f>+AVERAGE(BC35,BC33)</f>
        <v>0.17094444444444443</v>
      </c>
      <c r="BD36" s="339"/>
      <c r="BE36" s="382" t="s">
        <v>1053</v>
      </c>
      <c r="BF36" s="382"/>
      <c r="BG36" s="42">
        <f>+AVERAGE(BG33:BG35)</f>
        <v>0.70925925925925926</v>
      </c>
      <c r="BH36" s="339"/>
      <c r="BI36" s="382" t="s">
        <v>1052</v>
      </c>
      <c r="BJ36" s="382"/>
      <c r="BK36" s="42">
        <f>+AVERAGE(BK35,BK33)</f>
        <v>0.22222222222222224</v>
      </c>
      <c r="BL36" s="339"/>
      <c r="BM36" s="382" t="s">
        <v>1053</v>
      </c>
      <c r="BN36" s="382"/>
      <c r="BO36" s="42">
        <f>+AVERAGE(BO33:BO35)</f>
        <v>0.69768713253401893</v>
      </c>
      <c r="BP36" s="339"/>
      <c r="BQ36" s="382" t="s">
        <v>1052</v>
      </c>
      <c r="BR36" s="382"/>
      <c r="BS36" s="42">
        <f>+AVERAGE(BS35,BS33)</f>
        <v>0.49221717171717194</v>
      </c>
      <c r="BT36" s="339"/>
      <c r="BU36" s="382" t="s">
        <v>1053</v>
      </c>
      <c r="BV36" s="382"/>
      <c r="BW36" s="42">
        <f>+AVERAGE(BW33:BW35)</f>
        <v>1.041722222222222</v>
      </c>
      <c r="BX36" s="339"/>
      <c r="BY36" s="382" t="s">
        <v>1052</v>
      </c>
      <c r="BZ36" s="382"/>
      <c r="CA36" s="42">
        <f>+AVERAGE(CA35,CA33)</f>
        <v>0.63597513597513611</v>
      </c>
      <c r="CB36" s="339"/>
      <c r="CC36" s="382" t="s">
        <v>1053</v>
      </c>
      <c r="CD36" s="382"/>
      <c r="CE36" s="42">
        <f>+AVERAGE(CE33:CE35)</f>
        <v>1.0430166666666665</v>
      </c>
      <c r="CF36" s="339"/>
      <c r="CG36" s="382" t="s">
        <v>1052</v>
      </c>
      <c r="CH36" s="382"/>
      <c r="CI36" s="42">
        <f>+AVERAGE(CI35,CI33)</f>
        <v>0.73778787878787888</v>
      </c>
      <c r="CJ36" s="339"/>
      <c r="CK36" s="382" t="s">
        <v>1053</v>
      </c>
      <c r="CL36" s="382"/>
      <c r="CM36" s="42">
        <f>+AVERAGE(CM33:CM35)</f>
        <v>1.0426944444444444</v>
      </c>
      <c r="CN36" s="339"/>
      <c r="CO36" s="382" t="s">
        <v>1052</v>
      </c>
      <c r="CP36" s="382"/>
      <c r="CQ36" s="42">
        <f>+AVERAGE(CQ35,CQ33)</f>
        <v>0.88594949494949504</v>
      </c>
      <c r="CR36" s="339"/>
    </row>
    <row r="37" spans="1:114" x14ac:dyDescent="0.25">
      <c r="Y37" s="348"/>
      <c r="Z37" s="348"/>
      <c r="AA37" s="348"/>
      <c r="AB37" s="348"/>
      <c r="AC37" s="348"/>
      <c r="AD37" s="348"/>
      <c r="AE37" s="348"/>
      <c r="AF37" s="348"/>
      <c r="AG37" s="348"/>
      <c r="AH37" s="348"/>
      <c r="AI37" s="348"/>
      <c r="AJ37" s="348"/>
      <c r="AK37" s="348"/>
      <c r="AL37" s="348"/>
      <c r="AM37" s="348"/>
      <c r="AN37" s="348"/>
      <c r="AO37" s="348"/>
      <c r="AP37" s="348"/>
      <c r="AQ37" s="348"/>
      <c r="AR37" s="348"/>
      <c r="AS37" s="348"/>
      <c r="AT37" s="348"/>
      <c r="AU37" s="348"/>
      <c r="AV37" s="348"/>
      <c r="AW37" s="348"/>
      <c r="AX37" s="348"/>
      <c r="AY37" s="348"/>
      <c r="AZ37" s="348"/>
      <c r="BA37" s="348"/>
      <c r="BB37" s="348"/>
      <c r="BC37" s="348"/>
      <c r="BD37" s="348"/>
      <c r="BE37" s="348"/>
      <c r="BF37" s="348"/>
      <c r="BG37" s="348"/>
      <c r="BH37" s="348"/>
      <c r="BI37" s="348"/>
      <c r="BJ37" s="348"/>
      <c r="BK37" s="348"/>
      <c r="BL37" s="348"/>
      <c r="BM37" s="348"/>
      <c r="BN37" s="348"/>
      <c r="BO37" s="348"/>
      <c r="BP37" s="348"/>
      <c r="BQ37" s="348"/>
      <c r="BR37" s="348"/>
      <c r="BS37" s="348"/>
      <c r="BT37" s="348"/>
      <c r="BU37" s="348"/>
      <c r="BV37" s="348"/>
      <c r="BW37" s="348"/>
      <c r="BX37" s="348"/>
      <c r="BY37" s="348"/>
      <c r="BZ37" s="348"/>
      <c r="CA37" s="348"/>
      <c r="CB37" s="348"/>
      <c r="CC37" s="348"/>
      <c r="CD37" s="348"/>
      <c r="CE37" s="348"/>
      <c r="CF37" s="348"/>
      <c r="CG37" s="348"/>
      <c r="CH37" s="348"/>
      <c r="CI37" s="348"/>
      <c r="CJ37" s="348"/>
      <c r="CK37" s="348"/>
      <c r="CL37" s="348"/>
      <c r="CM37" s="348"/>
      <c r="CN37" s="348"/>
      <c r="CO37" s="348"/>
      <c r="CP37" s="348"/>
      <c r="CQ37" s="348"/>
      <c r="CR37" s="348"/>
    </row>
    <row r="38" spans="1:114" ht="36.75" customHeight="1" x14ac:dyDescent="0.25">
      <c r="Y38" s="382" t="s">
        <v>1267</v>
      </c>
      <c r="Z38" s="382"/>
      <c r="AA38" s="42">
        <f>+AVERAGE(AA13,AA17,AA22,AA28,AA32,AA36)</f>
        <v>0.43880722156259649</v>
      </c>
      <c r="AB38" s="339"/>
      <c r="AC38" s="382" t="s">
        <v>1268</v>
      </c>
      <c r="AD38" s="382"/>
      <c r="AE38" s="42">
        <f>+AVERAGE(AE13,AE17,AE22,AE28,AE32,AE36)</f>
        <v>0.19979438887256351</v>
      </c>
      <c r="AF38" s="339"/>
      <c r="AG38" s="382" t="s">
        <v>1267</v>
      </c>
      <c r="AH38" s="382"/>
      <c r="AI38" s="42">
        <f>+AVERAGE(AI13,AI17,AI22,AI28,AI32,AI36)</f>
        <v>0.60400355900855718</v>
      </c>
      <c r="AJ38" s="339"/>
      <c r="AK38" s="382" t="s">
        <v>1268</v>
      </c>
      <c r="AL38" s="382"/>
      <c r="AM38" s="42">
        <f>+AVERAGE(AM13,AM17,AM22,AM28,AM32,AM36)</f>
        <v>0.24744106814934305</v>
      </c>
      <c r="AN38" s="339"/>
      <c r="AO38" s="382" t="s">
        <v>1269</v>
      </c>
      <c r="AP38" s="382"/>
      <c r="AQ38" s="42">
        <f>+AVERAGE(AQ17,AQ22,AQ28,AQ32,AQ36)</f>
        <v>0.59102460413655522</v>
      </c>
      <c r="AR38" s="339"/>
      <c r="AS38" s="382" t="s">
        <v>1268</v>
      </c>
      <c r="AT38" s="382"/>
      <c r="AU38" s="42">
        <f>+AVERAGE(AU10,AU17,AU22,AU28,AU32,AU36)</f>
        <v>0.32447449557120545</v>
      </c>
      <c r="AV38" s="339"/>
      <c r="AW38" s="382" t="s">
        <v>1269</v>
      </c>
      <c r="AX38" s="382"/>
      <c r="AY38" s="42">
        <f>+AVERAGE(AY17,AY22,AY28,AY32,AY36)</f>
        <v>0.65224187800253319</v>
      </c>
      <c r="AZ38" s="339"/>
      <c r="BA38" s="382" t="s">
        <v>1268</v>
      </c>
      <c r="BB38" s="382"/>
      <c r="BC38" s="42">
        <f>+AVERAGE(BC10,BC17,BC22,BC28,BC32,BC36)</f>
        <v>0.38510383958257877</v>
      </c>
      <c r="BD38" s="339"/>
      <c r="BE38" s="382" t="s">
        <v>1269</v>
      </c>
      <c r="BF38" s="382"/>
      <c r="BG38" s="42">
        <f>+AVERAGE(BG17,BG22,BG28,BG32,BG36)</f>
        <v>0.61583493456939475</v>
      </c>
      <c r="BH38" s="339"/>
      <c r="BI38" s="382" t="s">
        <v>1268</v>
      </c>
      <c r="BJ38" s="382"/>
      <c r="BK38" s="42">
        <f>+AVERAGE(BK10,BK17,BK22,BK28,BK32,BK36)</f>
        <v>0.45029272442358692</v>
      </c>
      <c r="BL38" s="339"/>
      <c r="BM38" s="382" t="s">
        <v>1269</v>
      </c>
      <c r="BN38" s="382"/>
      <c r="BO38" s="42">
        <f>+AVERAGE(BO17,BO22,BO28,BO32,BO36)</f>
        <v>0.74860207150101388</v>
      </c>
      <c r="BP38" s="339"/>
      <c r="BQ38" s="382" t="s">
        <v>1268</v>
      </c>
      <c r="BR38" s="382"/>
      <c r="BS38" s="42">
        <f>+AVERAGE(BS10,BS17,BS22,BS28,BS32,BS36)</f>
        <v>0.60553098092902213</v>
      </c>
      <c r="BT38" s="339"/>
      <c r="BU38" s="382" t="s">
        <v>1269</v>
      </c>
      <c r="BV38" s="382"/>
      <c r="BW38" s="42">
        <f>+AVERAGE(BW17,BW22,BW28,BW32,BW36)</f>
        <v>0.96288385503744889</v>
      </c>
      <c r="BX38" s="339"/>
      <c r="BY38" s="382" t="s">
        <v>1268</v>
      </c>
      <c r="BZ38" s="382"/>
      <c r="CA38" s="42">
        <f>+AVERAGE(CA10,CA17,CA22,CA28,CA32,CA36)</f>
        <v>0.7251886242317388</v>
      </c>
      <c r="CB38" s="339"/>
      <c r="CC38" s="382" t="s">
        <v>1269</v>
      </c>
      <c r="CD38" s="382"/>
      <c r="CE38" s="42">
        <f>+AVERAGE(CE17,CE22,CE28,CE32,CE36)</f>
        <v>1.0361167519505305</v>
      </c>
      <c r="CF38" s="339"/>
      <c r="CG38" s="382" t="s">
        <v>1268</v>
      </c>
      <c r="CH38" s="382"/>
      <c r="CI38" s="42">
        <f>+AVERAGE(CI10,CI17,CI22,CI28,CI32,CI36)</f>
        <v>0.81356062281470953</v>
      </c>
      <c r="CJ38" s="339"/>
      <c r="CK38" s="382" t="s">
        <v>1269</v>
      </c>
      <c r="CL38" s="382"/>
      <c r="CM38" s="42">
        <f>+AVERAGE(CM17,CM22,CM28,CM32,CM36)</f>
        <v>1.0719376008495771</v>
      </c>
      <c r="CN38" s="339"/>
      <c r="CO38" s="382" t="s">
        <v>1268</v>
      </c>
      <c r="CP38" s="382"/>
      <c r="CQ38" s="42">
        <f>+AVERAGE(CQ10,CQ17,CQ22,CQ28,CQ32,CQ36)</f>
        <v>0.90287497004887474</v>
      </c>
      <c r="CR38" s="339"/>
    </row>
    <row r="39" spans="1:114" x14ac:dyDescent="0.25">
      <c r="Y39" s="348"/>
      <c r="Z39" s="348"/>
      <c r="AA39" s="348"/>
      <c r="AB39" s="348"/>
      <c r="AC39" s="348"/>
      <c r="AD39" s="348"/>
      <c r="AE39" s="348"/>
      <c r="AF39" s="348"/>
      <c r="AG39" s="348"/>
      <c r="AH39" s="348"/>
      <c r="AI39" s="348"/>
      <c r="AJ39" s="348"/>
      <c r="AK39" s="348"/>
      <c r="AL39" s="348"/>
      <c r="AM39" s="348"/>
      <c r="AN39" s="348"/>
      <c r="AO39" s="348"/>
      <c r="AP39" s="348"/>
      <c r="AQ39" s="348"/>
      <c r="AR39" s="348"/>
      <c r="AS39" s="348"/>
      <c r="AT39" s="348"/>
      <c r="AU39" s="348"/>
      <c r="AV39" s="348"/>
      <c r="AW39" s="348"/>
      <c r="AX39" s="348"/>
      <c r="AY39" s="348"/>
      <c r="AZ39" s="348"/>
      <c r="BA39" s="348"/>
      <c r="BB39" s="348"/>
      <c r="BC39" s="348"/>
      <c r="BD39" s="348"/>
      <c r="BE39" s="348"/>
      <c r="BF39" s="348"/>
      <c r="BG39" s="348"/>
      <c r="BH39" s="348"/>
      <c r="BI39" s="348"/>
      <c r="BJ39" s="348"/>
      <c r="BK39" s="348"/>
      <c r="BL39" s="348"/>
      <c r="BM39" s="348"/>
      <c r="BN39" s="348"/>
      <c r="BO39" s="348"/>
      <c r="BP39" s="348"/>
      <c r="BQ39" s="348"/>
      <c r="BR39" s="348"/>
      <c r="BS39" s="348"/>
      <c r="BT39" s="348"/>
      <c r="BU39" s="348"/>
      <c r="BV39" s="348"/>
      <c r="BW39" s="348"/>
      <c r="BX39" s="348"/>
      <c r="BY39" s="348"/>
      <c r="BZ39" s="348"/>
      <c r="CA39" s="348"/>
      <c r="CB39" s="348"/>
      <c r="CC39" s="348"/>
      <c r="CD39" s="348"/>
      <c r="CE39" s="348"/>
      <c r="CF39" s="348"/>
      <c r="CG39" s="348"/>
      <c r="CH39" s="348"/>
      <c r="CI39" s="348"/>
      <c r="CJ39" s="348"/>
      <c r="CK39" s="348"/>
      <c r="CL39" s="348"/>
      <c r="CM39" s="348"/>
      <c r="CN39" s="348"/>
      <c r="CO39" s="348"/>
      <c r="CP39" s="348"/>
      <c r="CQ39" s="348"/>
      <c r="CR39" s="348"/>
    </row>
    <row r="40" spans="1:114" x14ac:dyDescent="0.25">
      <c r="Y40" s="348"/>
      <c r="Z40" s="348"/>
      <c r="AA40" s="348"/>
      <c r="AB40" s="348"/>
      <c r="AC40" s="348"/>
      <c r="AD40" s="348"/>
      <c r="AE40" s="348"/>
      <c r="AF40" s="348"/>
      <c r="AG40" s="348"/>
      <c r="AH40" s="348"/>
      <c r="AI40" s="348"/>
      <c r="AJ40" s="348"/>
      <c r="AK40" s="348"/>
      <c r="AL40" s="348"/>
      <c r="AM40" s="348"/>
      <c r="AN40" s="348"/>
      <c r="AO40" s="348"/>
      <c r="AP40" s="348"/>
      <c r="AQ40" s="348"/>
      <c r="AR40" s="348"/>
      <c r="AS40" s="348"/>
      <c r="AT40" s="348"/>
      <c r="AU40" s="348"/>
      <c r="AV40" s="348"/>
      <c r="AW40" s="348"/>
      <c r="AX40" s="348"/>
      <c r="AY40" s="348"/>
      <c r="AZ40" s="348"/>
      <c r="BA40" s="348"/>
      <c r="BB40" s="348"/>
      <c r="BC40" s="348"/>
      <c r="BD40" s="348"/>
      <c r="BE40" s="348"/>
      <c r="BF40" s="348"/>
      <c r="BG40" s="348"/>
      <c r="BH40" s="348"/>
      <c r="BI40" s="348"/>
      <c r="BJ40" s="348"/>
      <c r="BK40" s="348"/>
      <c r="BL40" s="348"/>
      <c r="BM40" s="348"/>
      <c r="BN40" s="348"/>
      <c r="BO40" s="348"/>
      <c r="BP40" s="348"/>
      <c r="BQ40" s="348"/>
      <c r="BR40" s="348"/>
      <c r="BS40" s="348"/>
      <c r="BT40" s="348"/>
      <c r="BU40" s="348"/>
      <c r="BV40" s="348"/>
      <c r="BW40" s="348"/>
      <c r="BX40" s="348"/>
      <c r="BY40" s="348"/>
      <c r="BZ40" s="348"/>
      <c r="CA40" s="348"/>
      <c r="CB40" s="348"/>
      <c r="CC40" s="348"/>
      <c r="CD40" s="348"/>
      <c r="CE40" s="348"/>
      <c r="CF40" s="348"/>
      <c r="CG40" s="348"/>
      <c r="CH40" s="348"/>
      <c r="CI40" s="348"/>
      <c r="CJ40" s="348"/>
      <c r="CK40" s="348"/>
      <c r="CL40" s="348"/>
      <c r="CM40" s="348"/>
      <c r="CN40" s="348"/>
      <c r="CO40" s="348"/>
      <c r="CP40" s="348"/>
      <c r="CQ40" s="348"/>
      <c r="CR40" s="348"/>
    </row>
    <row r="41" spans="1:114" x14ac:dyDescent="0.25">
      <c r="Y41" s="348"/>
      <c r="Z41" s="348"/>
      <c r="AA41" s="348"/>
      <c r="AB41" s="348"/>
      <c r="AC41" s="348"/>
      <c r="AD41" s="348"/>
      <c r="AE41" s="348"/>
      <c r="AF41" s="348"/>
      <c r="AG41" s="348"/>
      <c r="AH41" s="348"/>
      <c r="AI41" s="348"/>
      <c r="AJ41" s="348"/>
      <c r="AK41" s="348"/>
      <c r="AL41" s="348"/>
      <c r="AM41" s="348"/>
      <c r="AN41" s="348"/>
      <c r="AO41" s="348"/>
      <c r="AP41" s="348"/>
      <c r="AQ41" s="348"/>
      <c r="AR41" s="348"/>
      <c r="AS41" s="348"/>
      <c r="AT41" s="348"/>
      <c r="AU41" s="348"/>
      <c r="AV41" s="348"/>
      <c r="AW41" s="348"/>
      <c r="AX41" s="348"/>
      <c r="AY41" s="348"/>
      <c r="AZ41" s="348"/>
      <c r="BA41" s="348"/>
      <c r="BB41" s="348"/>
      <c r="BC41" s="348"/>
      <c r="BD41" s="348"/>
      <c r="BE41" s="348"/>
      <c r="BF41" s="348"/>
      <c r="BG41" s="348"/>
      <c r="BH41" s="348"/>
      <c r="BI41" s="348"/>
      <c r="BJ41" s="348"/>
      <c r="BK41" s="348"/>
      <c r="BL41" s="348"/>
      <c r="BM41" s="348"/>
      <c r="BN41" s="348"/>
      <c r="BO41" s="348"/>
      <c r="BP41" s="348"/>
      <c r="BQ41" s="348"/>
      <c r="BR41" s="348"/>
      <c r="BS41" s="348"/>
      <c r="BT41" s="348"/>
      <c r="BU41" s="348"/>
      <c r="BV41" s="348"/>
      <c r="BW41" s="348"/>
      <c r="BX41" s="348"/>
      <c r="BY41" s="348"/>
      <c r="BZ41" s="348"/>
      <c r="CA41" s="348"/>
      <c r="CB41" s="348"/>
      <c r="CC41" s="348"/>
      <c r="CD41" s="348"/>
      <c r="CE41" s="348"/>
      <c r="CF41" s="348"/>
      <c r="CG41" s="348"/>
      <c r="CH41" s="348"/>
      <c r="CI41" s="348"/>
      <c r="CJ41" s="348"/>
      <c r="CK41" s="348"/>
      <c r="CL41" s="348"/>
      <c r="CM41" s="348"/>
      <c r="CN41" s="348"/>
      <c r="CO41" s="348"/>
      <c r="CP41" s="348"/>
      <c r="CQ41" s="348"/>
      <c r="CR41" s="348"/>
    </row>
    <row r="42" spans="1:114" x14ac:dyDescent="0.25">
      <c r="Y42" s="348"/>
      <c r="Z42" s="348"/>
      <c r="AA42" s="348"/>
      <c r="AB42" s="348"/>
      <c r="AC42" s="348"/>
      <c r="AD42" s="348"/>
      <c r="AE42" s="348"/>
      <c r="AF42" s="348"/>
      <c r="AG42" s="348"/>
      <c r="AH42" s="348"/>
      <c r="AI42" s="348"/>
      <c r="AJ42" s="348"/>
      <c r="AK42" s="348"/>
      <c r="AL42" s="348"/>
      <c r="AM42" s="348"/>
      <c r="AN42" s="348"/>
      <c r="AO42" s="348"/>
      <c r="AP42" s="348"/>
      <c r="AQ42" s="348"/>
      <c r="AR42" s="348"/>
      <c r="AS42" s="348"/>
      <c r="AT42" s="348"/>
      <c r="AU42" s="348"/>
      <c r="AV42" s="348"/>
      <c r="AW42" s="348"/>
      <c r="AX42" s="348"/>
      <c r="AY42" s="348"/>
      <c r="AZ42" s="348"/>
      <c r="BA42" s="348"/>
      <c r="BB42" s="348"/>
      <c r="BC42" s="348"/>
      <c r="BD42" s="348"/>
      <c r="BE42" s="348"/>
      <c r="BF42" s="348"/>
      <c r="BG42" s="348"/>
      <c r="BH42" s="348"/>
      <c r="BI42" s="348"/>
      <c r="BJ42" s="348"/>
      <c r="BK42" s="348"/>
      <c r="BL42" s="348"/>
      <c r="BM42" s="348"/>
      <c r="BN42" s="348"/>
      <c r="BO42" s="348"/>
      <c r="BP42" s="348"/>
      <c r="BQ42" s="348"/>
      <c r="BR42" s="348"/>
      <c r="BS42" s="348"/>
      <c r="BT42" s="348"/>
      <c r="BU42" s="348"/>
      <c r="BV42" s="348"/>
      <c r="BW42" s="348"/>
      <c r="BX42" s="348"/>
      <c r="BY42" s="348"/>
      <c r="BZ42" s="348"/>
      <c r="CA42" s="348"/>
      <c r="CB42" s="348"/>
      <c r="CC42" s="348"/>
      <c r="CD42" s="348"/>
      <c r="CE42" s="348"/>
      <c r="CF42" s="348"/>
      <c r="CG42" s="348"/>
      <c r="CH42" s="348"/>
      <c r="CI42" s="348"/>
      <c r="CJ42" s="348"/>
      <c r="CK42" s="348"/>
      <c r="CL42" s="348"/>
      <c r="CM42" s="348"/>
      <c r="CN42" s="348"/>
      <c r="CO42" s="348"/>
      <c r="CP42" s="348"/>
      <c r="CQ42" s="348"/>
      <c r="CR42" s="348"/>
    </row>
    <row r="43" spans="1:114" x14ac:dyDescent="0.25">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348"/>
      <c r="AY43" s="348"/>
      <c r="AZ43" s="348"/>
      <c r="BA43" s="348"/>
      <c r="BB43" s="348"/>
      <c r="BC43" s="348"/>
      <c r="BD43" s="348"/>
      <c r="BE43" s="348"/>
      <c r="BF43" s="348"/>
      <c r="BG43" s="348"/>
      <c r="BH43" s="348"/>
      <c r="BI43" s="348"/>
      <c r="BJ43" s="348"/>
      <c r="BK43" s="348"/>
      <c r="BL43" s="348"/>
      <c r="BM43" s="348"/>
      <c r="BN43" s="348"/>
      <c r="BO43" s="348"/>
      <c r="BP43" s="348"/>
      <c r="BQ43" s="348"/>
      <c r="BR43" s="348"/>
      <c r="BS43" s="348"/>
      <c r="BT43" s="348"/>
      <c r="BU43" s="348"/>
      <c r="BV43" s="348"/>
      <c r="BW43" s="348"/>
      <c r="BX43" s="348"/>
      <c r="BY43" s="348"/>
      <c r="BZ43" s="348"/>
      <c r="CA43" s="348"/>
      <c r="CB43" s="348"/>
      <c r="CC43" s="348"/>
      <c r="CD43" s="348"/>
      <c r="CE43" s="348"/>
      <c r="CF43" s="348"/>
      <c r="CG43" s="348"/>
      <c r="CH43" s="348"/>
      <c r="CI43" s="348"/>
      <c r="CJ43" s="348"/>
      <c r="CK43" s="348"/>
      <c r="CL43" s="348"/>
      <c r="CM43" s="348"/>
      <c r="CN43" s="348"/>
      <c r="CO43" s="348"/>
      <c r="CP43" s="348"/>
      <c r="CQ43" s="348"/>
      <c r="CR43" s="348"/>
    </row>
    <row r="44" spans="1:114" x14ac:dyDescent="0.25">
      <c r="Y44" s="348"/>
      <c r="Z44" s="348"/>
      <c r="AA44" s="348"/>
      <c r="AB44" s="348"/>
      <c r="AC44" s="348"/>
      <c r="AD44" s="348"/>
      <c r="AE44" s="348"/>
      <c r="AF44" s="348"/>
      <c r="AG44" s="348"/>
      <c r="AH44" s="348"/>
      <c r="AI44" s="348"/>
      <c r="AJ44" s="348"/>
      <c r="AK44" s="348"/>
      <c r="AL44" s="348"/>
      <c r="AM44" s="348"/>
      <c r="AN44" s="348"/>
      <c r="AO44" s="348"/>
      <c r="AP44" s="348"/>
      <c r="AQ44" s="348"/>
      <c r="AR44" s="348"/>
      <c r="AS44" s="348"/>
      <c r="AT44" s="348"/>
      <c r="AU44" s="348"/>
      <c r="AV44" s="348"/>
      <c r="AW44" s="348"/>
      <c r="AX44" s="348"/>
      <c r="AY44" s="348"/>
      <c r="AZ44" s="348"/>
      <c r="BA44" s="348"/>
      <c r="BB44" s="348"/>
      <c r="BC44" s="348"/>
      <c r="BD44" s="348"/>
      <c r="BE44" s="348"/>
      <c r="BF44" s="348"/>
      <c r="BG44" s="348"/>
      <c r="BH44" s="348"/>
      <c r="BI44" s="348"/>
      <c r="BJ44" s="348"/>
      <c r="BK44" s="348"/>
      <c r="BL44" s="348"/>
      <c r="BM44" s="348"/>
      <c r="BN44" s="348"/>
      <c r="BO44" s="348"/>
      <c r="BP44" s="348"/>
      <c r="BQ44" s="348"/>
      <c r="BR44" s="348"/>
      <c r="BS44" s="348"/>
      <c r="BT44" s="348"/>
      <c r="BU44" s="348"/>
      <c r="BV44" s="348"/>
      <c r="BW44" s="348"/>
      <c r="BX44" s="348"/>
      <c r="BY44" s="348"/>
      <c r="BZ44" s="348"/>
      <c r="CA44" s="348"/>
      <c r="CB44" s="348"/>
      <c r="CC44" s="348"/>
      <c r="CD44" s="348"/>
      <c r="CE44" s="348"/>
      <c r="CF44" s="348"/>
      <c r="CG44" s="348"/>
      <c r="CH44" s="348"/>
      <c r="CI44" s="348"/>
      <c r="CJ44" s="348"/>
      <c r="CK44" s="348"/>
      <c r="CL44" s="348"/>
      <c r="CM44" s="348"/>
      <c r="CN44" s="348"/>
      <c r="CO44" s="348"/>
      <c r="CP44" s="348"/>
      <c r="CQ44" s="348"/>
      <c r="CR44" s="348"/>
    </row>
    <row r="45" spans="1:114" x14ac:dyDescent="0.25">
      <c r="Y45" s="348"/>
      <c r="Z45" s="348"/>
      <c r="AA45" s="348"/>
      <c r="AB45" s="348"/>
      <c r="AC45" s="348"/>
      <c r="AD45" s="348"/>
      <c r="AE45" s="348"/>
      <c r="AF45" s="348"/>
      <c r="AG45" s="348"/>
      <c r="AH45" s="348"/>
      <c r="AI45" s="348"/>
      <c r="AJ45" s="348"/>
      <c r="AK45" s="348"/>
      <c r="AL45" s="348"/>
      <c r="AM45" s="348"/>
      <c r="AN45" s="348"/>
      <c r="AO45" s="348"/>
      <c r="AP45" s="348"/>
      <c r="AQ45" s="348"/>
      <c r="AR45" s="348"/>
      <c r="AS45" s="348"/>
      <c r="AT45" s="348"/>
      <c r="AU45" s="348"/>
      <c r="AV45" s="348"/>
      <c r="AW45" s="348"/>
      <c r="AX45" s="348"/>
      <c r="AY45" s="348"/>
      <c r="AZ45" s="348"/>
      <c r="BA45" s="348"/>
      <c r="BB45" s="348"/>
      <c r="BC45" s="348"/>
      <c r="BD45" s="348"/>
      <c r="BE45" s="348"/>
      <c r="BF45" s="348"/>
      <c r="BG45" s="348"/>
      <c r="BH45" s="348"/>
      <c r="BI45" s="348"/>
      <c r="BJ45" s="348"/>
      <c r="BK45" s="348"/>
      <c r="BL45" s="348"/>
      <c r="BM45" s="348"/>
      <c r="BN45" s="348"/>
      <c r="BO45" s="348"/>
      <c r="BP45" s="348"/>
      <c r="BQ45" s="348"/>
      <c r="BR45" s="348"/>
      <c r="BS45" s="348"/>
      <c r="BT45" s="348"/>
      <c r="BU45" s="348"/>
      <c r="BV45" s="348"/>
      <c r="BW45" s="348"/>
      <c r="BX45" s="348"/>
      <c r="BY45" s="348"/>
      <c r="BZ45" s="348"/>
      <c r="CA45" s="348"/>
      <c r="CB45" s="348"/>
      <c r="CC45" s="348"/>
      <c r="CD45" s="348"/>
      <c r="CE45" s="348"/>
      <c r="CF45" s="348"/>
      <c r="CG45" s="348"/>
      <c r="CH45" s="348"/>
      <c r="CI45" s="348"/>
      <c r="CJ45" s="348"/>
      <c r="CK45" s="348"/>
      <c r="CL45" s="348"/>
      <c r="CM45" s="348"/>
      <c r="CN45" s="348"/>
      <c r="CO45" s="348"/>
      <c r="CP45" s="348"/>
      <c r="CQ45" s="348"/>
      <c r="CR45" s="348"/>
    </row>
    <row r="46" spans="1:114" x14ac:dyDescent="0.25">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348"/>
      <c r="AU46" s="348"/>
      <c r="AV46" s="348"/>
      <c r="AW46" s="348"/>
      <c r="AX46" s="348"/>
      <c r="AY46" s="348"/>
      <c r="AZ46" s="348"/>
      <c r="BA46" s="348"/>
      <c r="BB46" s="348"/>
      <c r="BC46" s="348"/>
      <c r="BD46" s="348"/>
      <c r="BE46" s="348"/>
      <c r="BF46" s="348"/>
      <c r="BG46" s="348"/>
      <c r="BH46" s="348"/>
      <c r="BI46" s="348"/>
      <c r="BJ46" s="348"/>
      <c r="BK46" s="348"/>
      <c r="BL46" s="348"/>
      <c r="BM46" s="348"/>
      <c r="BN46" s="348"/>
      <c r="BO46" s="348"/>
      <c r="BP46" s="348"/>
      <c r="BQ46" s="348"/>
      <c r="BR46" s="348"/>
      <c r="BS46" s="348"/>
      <c r="BT46" s="348"/>
      <c r="BU46" s="348"/>
      <c r="BV46" s="348"/>
      <c r="BW46" s="348"/>
      <c r="BX46" s="348"/>
      <c r="BY46" s="348"/>
      <c r="BZ46" s="348"/>
      <c r="CA46" s="348"/>
      <c r="CB46" s="348"/>
      <c r="CC46" s="348"/>
      <c r="CD46" s="348"/>
      <c r="CE46" s="348"/>
      <c r="CF46" s="348"/>
      <c r="CG46" s="348"/>
      <c r="CH46" s="348"/>
      <c r="CI46" s="348"/>
      <c r="CJ46" s="348"/>
      <c r="CK46" s="348"/>
      <c r="CL46" s="348"/>
      <c r="CM46" s="348"/>
      <c r="CN46" s="348"/>
      <c r="CO46" s="348"/>
      <c r="CP46" s="348"/>
      <c r="CQ46" s="348"/>
      <c r="CR46" s="348"/>
    </row>
    <row r="47" spans="1:114" x14ac:dyDescent="0.25">
      <c r="Y47" s="348"/>
      <c r="Z47" s="348"/>
      <c r="AA47" s="348"/>
      <c r="AB47" s="348"/>
      <c r="AC47" s="348"/>
      <c r="AD47" s="348"/>
      <c r="AE47" s="348"/>
      <c r="AF47" s="348"/>
      <c r="AG47" s="348"/>
      <c r="AH47" s="348"/>
      <c r="AI47" s="348"/>
      <c r="AJ47" s="348"/>
      <c r="AK47" s="348"/>
      <c r="AL47" s="348"/>
      <c r="AM47" s="348"/>
      <c r="AN47" s="348"/>
      <c r="AO47" s="348"/>
      <c r="AP47" s="348"/>
      <c r="AQ47" s="348"/>
      <c r="AR47" s="348"/>
      <c r="AS47" s="348"/>
      <c r="AT47" s="348"/>
      <c r="AU47" s="348"/>
      <c r="AV47" s="348"/>
      <c r="AW47" s="348"/>
      <c r="AX47" s="348"/>
      <c r="AY47" s="348"/>
      <c r="AZ47" s="348"/>
      <c r="BA47" s="348"/>
      <c r="BB47" s="348"/>
      <c r="BC47" s="348"/>
      <c r="BD47" s="348"/>
      <c r="BE47" s="348"/>
      <c r="BF47" s="348"/>
      <c r="BG47" s="348"/>
      <c r="BH47" s="348"/>
      <c r="BI47" s="348"/>
      <c r="BJ47" s="348"/>
      <c r="BK47" s="348"/>
      <c r="BL47" s="348"/>
      <c r="BM47" s="348"/>
      <c r="BN47" s="348"/>
      <c r="BO47" s="348"/>
      <c r="BP47" s="348"/>
      <c r="BQ47" s="348"/>
      <c r="BR47" s="348"/>
      <c r="BS47" s="348"/>
      <c r="BT47" s="348"/>
      <c r="BU47" s="348"/>
      <c r="BV47" s="348"/>
      <c r="BW47" s="348"/>
      <c r="BX47" s="348"/>
      <c r="BY47" s="348"/>
      <c r="BZ47" s="348"/>
      <c r="CA47" s="348"/>
      <c r="CB47" s="348"/>
      <c r="CC47" s="348"/>
      <c r="CD47" s="348"/>
      <c r="CE47" s="348"/>
      <c r="CF47" s="348"/>
      <c r="CG47" s="348"/>
      <c r="CH47" s="348"/>
      <c r="CI47" s="348"/>
      <c r="CJ47" s="348"/>
      <c r="CK47" s="348"/>
      <c r="CL47" s="348"/>
      <c r="CM47" s="348"/>
      <c r="CN47" s="348"/>
      <c r="CO47" s="348"/>
      <c r="CP47" s="348"/>
      <c r="CQ47" s="348"/>
      <c r="CR47" s="348"/>
    </row>
    <row r="48" spans="1:114" x14ac:dyDescent="0.25">
      <c r="Y48" s="348"/>
      <c r="Z48" s="348"/>
      <c r="AA48" s="348"/>
      <c r="AB48" s="348"/>
      <c r="AC48" s="348"/>
      <c r="AD48" s="348"/>
      <c r="AE48" s="348"/>
      <c r="AF48" s="348"/>
      <c r="AG48" s="348"/>
      <c r="AH48" s="348"/>
      <c r="AI48" s="348"/>
      <c r="AJ48" s="348"/>
      <c r="AK48" s="348"/>
      <c r="AL48" s="348"/>
      <c r="AM48" s="348"/>
      <c r="AN48" s="348"/>
      <c r="AO48" s="348"/>
      <c r="AP48" s="348"/>
      <c r="AQ48" s="348"/>
      <c r="AR48" s="348"/>
      <c r="AS48" s="348"/>
      <c r="AT48" s="348"/>
      <c r="AU48" s="348"/>
      <c r="AV48" s="348"/>
      <c r="AW48" s="348"/>
      <c r="AX48" s="348"/>
      <c r="AY48" s="348"/>
      <c r="AZ48" s="348"/>
      <c r="BA48" s="348"/>
      <c r="BB48" s="348"/>
      <c r="BC48" s="348"/>
      <c r="BD48" s="348"/>
      <c r="BE48" s="348"/>
      <c r="BF48" s="348"/>
      <c r="BG48" s="348"/>
      <c r="BH48" s="348"/>
      <c r="BI48" s="348"/>
      <c r="BJ48" s="348"/>
      <c r="BK48" s="348"/>
      <c r="BL48" s="348"/>
      <c r="BM48" s="348"/>
      <c r="BN48" s="348"/>
      <c r="BO48" s="348"/>
      <c r="BP48" s="348"/>
      <c r="BQ48" s="348"/>
      <c r="BR48" s="348"/>
      <c r="BS48" s="348"/>
      <c r="BT48" s="348"/>
      <c r="BU48" s="348"/>
      <c r="BV48" s="348"/>
      <c r="BW48" s="348"/>
      <c r="BX48" s="348"/>
      <c r="BY48" s="348"/>
      <c r="BZ48" s="348"/>
      <c r="CA48" s="348"/>
      <c r="CB48" s="348"/>
      <c r="CC48" s="348"/>
      <c r="CD48" s="348"/>
      <c r="CE48" s="348"/>
      <c r="CF48" s="348"/>
      <c r="CG48" s="348"/>
      <c r="CH48" s="348"/>
      <c r="CI48" s="348"/>
      <c r="CJ48" s="348"/>
      <c r="CK48" s="348"/>
      <c r="CL48" s="348"/>
      <c r="CM48" s="348"/>
      <c r="CN48" s="348"/>
      <c r="CO48" s="348"/>
      <c r="CP48" s="348"/>
      <c r="CQ48" s="348"/>
      <c r="CR48" s="348"/>
    </row>
    <row r="49" spans="25:96" x14ac:dyDescent="0.25">
      <c r="Y49" s="348"/>
      <c r="Z49" s="348"/>
      <c r="AA49" s="348"/>
      <c r="AB49" s="348"/>
      <c r="AC49" s="348"/>
      <c r="AD49" s="348"/>
      <c r="AE49" s="348"/>
      <c r="AF49" s="348"/>
      <c r="AG49" s="348"/>
      <c r="AH49" s="348"/>
      <c r="AI49" s="348"/>
      <c r="AJ49" s="348"/>
      <c r="AK49" s="348"/>
      <c r="AL49" s="348"/>
      <c r="AM49" s="348"/>
      <c r="AN49" s="348"/>
      <c r="AO49" s="348"/>
      <c r="AP49" s="348"/>
      <c r="AQ49" s="348"/>
      <c r="AR49" s="348"/>
      <c r="AS49" s="348"/>
      <c r="AT49" s="348"/>
      <c r="AU49" s="348"/>
      <c r="AV49" s="348"/>
      <c r="AW49" s="348"/>
      <c r="AX49" s="348"/>
      <c r="AY49" s="348"/>
      <c r="AZ49" s="348"/>
      <c r="BA49" s="348"/>
      <c r="BB49" s="348"/>
      <c r="BC49" s="348"/>
      <c r="BD49" s="348"/>
      <c r="BE49" s="348"/>
      <c r="BF49" s="348"/>
      <c r="BG49" s="348"/>
      <c r="BH49" s="348"/>
      <c r="BI49" s="348"/>
      <c r="BJ49" s="348"/>
      <c r="BK49" s="348"/>
      <c r="BL49" s="348"/>
      <c r="BM49" s="348"/>
      <c r="BN49" s="348"/>
      <c r="BO49" s="348"/>
      <c r="BP49" s="348"/>
      <c r="BQ49" s="348"/>
      <c r="BR49" s="348"/>
      <c r="BS49" s="348"/>
      <c r="BT49" s="348"/>
      <c r="BU49" s="348"/>
      <c r="BV49" s="348"/>
      <c r="BW49" s="348"/>
      <c r="BX49" s="348"/>
      <c r="BY49" s="348"/>
      <c r="BZ49" s="348"/>
      <c r="CA49" s="348"/>
      <c r="CB49" s="348"/>
      <c r="CC49" s="348"/>
      <c r="CD49" s="348"/>
      <c r="CE49" s="348"/>
      <c r="CF49" s="348"/>
      <c r="CG49" s="348"/>
      <c r="CH49" s="348"/>
      <c r="CI49" s="348"/>
      <c r="CJ49" s="348"/>
      <c r="CK49" s="348"/>
      <c r="CL49" s="348"/>
      <c r="CM49" s="348"/>
      <c r="CN49" s="348"/>
      <c r="CO49" s="348"/>
      <c r="CP49" s="348"/>
      <c r="CQ49" s="348"/>
      <c r="CR49" s="348"/>
    </row>
    <row r="50" spans="25:96" x14ac:dyDescent="0.25">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348"/>
      <c r="AY50" s="348"/>
      <c r="AZ50" s="348"/>
      <c r="BA50" s="348"/>
      <c r="BB50" s="348"/>
      <c r="BC50" s="348"/>
      <c r="BD50" s="348"/>
      <c r="BE50" s="348"/>
      <c r="BF50" s="348"/>
      <c r="BG50" s="348"/>
      <c r="BH50" s="348"/>
      <c r="BI50" s="348"/>
      <c r="BJ50" s="348"/>
      <c r="BK50" s="348"/>
      <c r="BL50" s="348"/>
      <c r="BM50" s="348"/>
      <c r="BN50" s="348"/>
      <c r="BO50" s="348"/>
      <c r="BP50" s="348"/>
      <c r="BQ50" s="348"/>
      <c r="BR50" s="348"/>
      <c r="BS50" s="348"/>
      <c r="BT50" s="348"/>
      <c r="BU50" s="348"/>
      <c r="BV50" s="348"/>
      <c r="BW50" s="348"/>
      <c r="BX50" s="348"/>
      <c r="BY50" s="348"/>
      <c r="BZ50" s="348"/>
      <c r="CA50" s="348"/>
      <c r="CB50" s="348"/>
      <c r="CC50" s="348"/>
      <c r="CD50" s="348"/>
      <c r="CE50" s="348"/>
      <c r="CF50" s="348"/>
      <c r="CG50" s="348"/>
      <c r="CH50" s="348"/>
      <c r="CI50" s="348"/>
      <c r="CJ50" s="348"/>
      <c r="CK50" s="348"/>
      <c r="CL50" s="348"/>
      <c r="CM50" s="348"/>
      <c r="CN50" s="348"/>
      <c r="CO50" s="348"/>
      <c r="CP50" s="348"/>
      <c r="CQ50" s="348"/>
      <c r="CR50" s="348"/>
    </row>
    <row r="51" spans="25:96" x14ac:dyDescent="0.25">
      <c r="Y51" s="348"/>
      <c r="Z51" s="348"/>
      <c r="AA51" s="348"/>
      <c r="AB51" s="348"/>
      <c r="AC51" s="348"/>
      <c r="AD51" s="348"/>
      <c r="AE51" s="348"/>
      <c r="AF51" s="348"/>
      <c r="AG51" s="348"/>
      <c r="AH51" s="348"/>
      <c r="AI51" s="348"/>
      <c r="AJ51" s="348"/>
      <c r="AK51" s="348"/>
      <c r="AL51" s="348"/>
      <c r="AM51" s="348"/>
      <c r="AN51" s="348"/>
      <c r="AO51" s="348"/>
      <c r="AP51" s="348"/>
      <c r="AQ51" s="348"/>
      <c r="AR51" s="348"/>
      <c r="AS51" s="348"/>
      <c r="AT51" s="348"/>
      <c r="AU51" s="348"/>
      <c r="AV51" s="348"/>
      <c r="AW51" s="348"/>
      <c r="AX51" s="348"/>
      <c r="AY51" s="348"/>
      <c r="AZ51" s="348"/>
      <c r="BA51" s="348"/>
      <c r="BB51" s="348"/>
      <c r="BC51" s="348"/>
      <c r="BD51" s="348"/>
      <c r="BE51" s="348"/>
      <c r="BF51" s="348"/>
      <c r="BG51" s="348"/>
      <c r="BH51" s="348"/>
      <c r="BI51" s="348"/>
      <c r="BJ51" s="348"/>
      <c r="BK51" s="348"/>
      <c r="BL51" s="348"/>
      <c r="BM51" s="348"/>
      <c r="BN51" s="348"/>
      <c r="BO51" s="348"/>
      <c r="BP51" s="348"/>
      <c r="BQ51" s="348"/>
      <c r="BR51" s="348"/>
      <c r="BS51" s="348"/>
      <c r="BT51" s="348"/>
      <c r="BU51" s="348"/>
      <c r="BV51" s="348"/>
      <c r="BW51" s="348"/>
      <c r="BX51" s="348"/>
      <c r="BY51" s="348"/>
      <c r="BZ51" s="348"/>
      <c r="CA51" s="348"/>
      <c r="CB51" s="348"/>
      <c r="CC51" s="348"/>
      <c r="CD51" s="348"/>
      <c r="CE51" s="348"/>
      <c r="CF51" s="348"/>
      <c r="CG51" s="348"/>
      <c r="CH51" s="348"/>
      <c r="CI51" s="348"/>
      <c r="CJ51" s="348"/>
      <c r="CK51" s="348"/>
      <c r="CL51" s="348"/>
      <c r="CM51" s="348"/>
      <c r="CN51" s="348"/>
      <c r="CO51" s="348"/>
      <c r="CP51" s="348"/>
      <c r="CQ51" s="348"/>
      <c r="CR51" s="348"/>
    </row>
    <row r="52" spans="25:96" x14ac:dyDescent="0.25">
      <c r="Y52" s="348"/>
      <c r="Z52" s="348"/>
      <c r="AA52" s="348"/>
      <c r="AB52" s="348"/>
      <c r="AC52" s="348"/>
      <c r="AD52" s="348"/>
      <c r="AE52" s="348"/>
      <c r="AF52" s="348"/>
      <c r="AG52" s="348"/>
      <c r="AH52" s="348"/>
      <c r="AI52" s="348"/>
      <c r="AJ52" s="348"/>
      <c r="AK52" s="348"/>
      <c r="AL52" s="348"/>
      <c r="AM52" s="348"/>
      <c r="AN52" s="348"/>
      <c r="AO52" s="348"/>
      <c r="AP52" s="348"/>
      <c r="AQ52" s="348"/>
      <c r="AR52" s="348"/>
      <c r="AS52" s="348"/>
      <c r="AT52" s="348"/>
      <c r="AU52" s="348"/>
      <c r="AV52" s="348"/>
      <c r="AW52" s="348"/>
      <c r="AX52" s="348"/>
      <c r="AY52" s="348"/>
      <c r="AZ52" s="348"/>
      <c r="BA52" s="348"/>
      <c r="BB52" s="348"/>
      <c r="BC52" s="348"/>
      <c r="BD52" s="348"/>
      <c r="BE52" s="348"/>
      <c r="BF52" s="348"/>
      <c r="BG52" s="348"/>
      <c r="BH52" s="348"/>
      <c r="BI52" s="348"/>
      <c r="BJ52" s="348"/>
      <c r="BK52" s="348"/>
      <c r="BL52" s="348"/>
      <c r="BM52" s="348"/>
      <c r="BN52" s="348"/>
      <c r="BO52" s="348"/>
      <c r="BP52" s="348"/>
      <c r="BQ52" s="348"/>
      <c r="BR52" s="348"/>
      <c r="BS52" s="348"/>
      <c r="BT52" s="348"/>
      <c r="BU52" s="348"/>
      <c r="BV52" s="348"/>
      <c r="BW52" s="348"/>
      <c r="BX52" s="348"/>
      <c r="BY52" s="348"/>
      <c r="BZ52" s="348"/>
      <c r="CA52" s="348"/>
      <c r="CB52" s="348"/>
      <c r="CC52" s="348"/>
      <c r="CD52" s="348"/>
      <c r="CE52" s="348"/>
      <c r="CF52" s="348"/>
      <c r="CG52" s="348"/>
      <c r="CH52" s="348"/>
      <c r="CI52" s="348"/>
      <c r="CJ52" s="348"/>
      <c r="CK52" s="348"/>
      <c r="CL52" s="348"/>
      <c r="CM52" s="348"/>
      <c r="CN52" s="348"/>
      <c r="CO52" s="348"/>
      <c r="CP52" s="348"/>
      <c r="CQ52" s="348"/>
      <c r="CR52" s="348"/>
    </row>
    <row r="53" spans="25:96" x14ac:dyDescent="0.25">
      <c r="Y53" s="348"/>
      <c r="Z53" s="348"/>
      <c r="AA53" s="348"/>
      <c r="AB53" s="348"/>
      <c r="AC53" s="348"/>
      <c r="AD53" s="348"/>
      <c r="AE53" s="348"/>
      <c r="AF53" s="348"/>
      <c r="AG53" s="348"/>
      <c r="AH53" s="348"/>
      <c r="AI53" s="348"/>
      <c r="AJ53" s="348"/>
      <c r="AK53" s="348"/>
      <c r="AL53" s="348"/>
      <c r="AM53" s="348"/>
      <c r="AN53" s="348"/>
      <c r="AO53" s="348"/>
      <c r="AP53" s="348"/>
      <c r="AQ53" s="348"/>
      <c r="AR53" s="348"/>
      <c r="AS53" s="348"/>
      <c r="AT53" s="348"/>
      <c r="AU53" s="348"/>
      <c r="AV53" s="348"/>
      <c r="AW53" s="348"/>
      <c r="AX53" s="348"/>
      <c r="AY53" s="348"/>
      <c r="AZ53" s="348"/>
      <c r="BA53" s="348"/>
      <c r="BB53" s="348"/>
      <c r="BC53" s="348"/>
      <c r="BD53" s="348"/>
      <c r="BE53" s="348"/>
      <c r="BF53" s="348"/>
      <c r="BG53" s="348"/>
      <c r="BH53" s="348"/>
      <c r="BI53" s="348"/>
      <c r="BJ53" s="348"/>
      <c r="BK53" s="348"/>
      <c r="BL53" s="348"/>
      <c r="BM53" s="348"/>
      <c r="BN53" s="348"/>
      <c r="BO53" s="348"/>
      <c r="BP53" s="348"/>
      <c r="BQ53" s="348"/>
      <c r="BR53" s="348"/>
      <c r="BS53" s="348"/>
      <c r="BT53" s="348"/>
      <c r="BU53" s="348"/>
      <c r="BV53" s="348"/>
      <c r="BW53" s="348"/>
      <c r="BX53" s="348"/>
      <c r="BY53" s="348"/>
      <c r="BZ53" s="348"/>
      <c r="CA53" s="348"/>
      <c r="CB53" s="348"/>
      <c r="CC53" s="348"/>
      <c r="CD53" s="348"/>
      <c r="CE53" s="348"/>
      <c r="CF53" s="348"/>
      <c r="CG53" s="348"/>
      <c r="CH53" s="348"/>
      <c r="CI53" s="348"/>
      <c r="CJ53" s="348"/>
      <c r="CK53" s="348"/>
      <c r="CL53" s="348"/>
      <c r="CM53" s="348"/>
      <c r="CN53" s="348"/>
      <c r="CO53" s="348"/>
      <c r="CP53" s="348"/>
      <c r="CQ53" s="348"/>
      <c r="CR53" s="348"/>
    </row>
    <row r="54" spans="25:96" x14ac:dyDescent="0.25">
      <c r="Y54" s="348"/>
      <c r="Z54" s="348"/>
      <c r="AA54" s="348"/>
      <c r="AB54" s="348"/>
      <c r="AC54" s="348"/>
      <c r="AD54" s="348"/>
      <c r="AE54" s="348"/>
      <c r="AF54" s="348"/>
      <c r="AG54" s="348"/>
      <c r="AH54" s="348"/>
      <c r="AI54" s="348"/>
      <c r="AJ54" s="348"/>
      <c r="AK54" s="348"/>
      <c r="AL54" s="348"/>
      <c r="AM54" s="348"/>
      <c r="AN54" s="348"/>
      <c r="AO54" s="348"/>
      <c r="AP54" s="348"/>
      <c r="AQ54" s="348"/>
      <c r="AR54" s="348"/>
      <c r="AS54" s="348"/>
      <c r="AT54" s="348"/>
      <c r="AU54" s="348"/>
      <c r="AV54" s="348"/>
      <c r="AW54" s="348"/>
      <c r="AX54" s="348"/>
      <c r="AY54" s="348"/>
      <c r="AZ54" s="348"/>
      <c r="BA54" s="348"/>
      <c r="BB54" s="348"/>
      <c r="BC54" s="348"/>
      <c r="BD54" s="348"/>
      <c r="BE54" s="348"/>
      <c r="BF54" s="348"/>
      <c r="BG54" s="348"/>
      <c r="BH54" s="348"/>
      <c r="BI54" s="348"/>
      <c r="BJ54" s="348"/>
      <c r="BK54" s="348"/>
      <c r="BL54" s="348"/>
      <c r="BM54" s="348"/>
      <c r="BN54" s="348"/>
      <c r="BO54" s="348"/>
      <c r="BP54" s="348"/>
      <c r="BQ54" s="348"/>
      <c r="BR54" s="348"/>
      <c r="BS54" s="348"/>
      <c r="BT54" s="348"/>
      <c r="BU54" s="348"/>
      <c r="BV54" s="348"/>
      <c r="BW54" s="348"/>
      <c r="BX54" s="348"/>
      <c r="BY54" s="348"/>
      <c r="BZ54" s="348"/>
      <c r="CA54" s="348"/>
      <c r="CB54" s="348"/>
      <c r="CC54" s="348"/>
      <c r="CD54" s="348"/>
      <c r="CE54" s="348"/>
      <c r="CF54" s="348"/>
      <c r="CG54" s="348"/>
      <c r="CH54" s="348"/>
      <c r="CI54" s="348"/>
      <c r="CJ54" s="348"/>
      <c r="CK54" s="348"/>
      <c r="CL54" s="348"/>
      <c r="CM54" s="348"/>
      <c r="CN54" s="348"/>
      <c r="CO54" s="348"/>
      <c r="CP54" s="348"/>
      <c r="CQ54" s="348"/>
      <c r="CR54" s="348"/>
    </row>
    <row r="55" spans="25:96" x14ac:dyDescent="0.25">
      <c r="Y55" s="348"/>
      <c r="Z55" s="348"/>
      <c r="AA55" s="348"/>
      <c r="AB55" s="348"/>
      <c r="AC55" s="348"/>
      <c r="AD55" s="348"/>
      <c r="AE55" s="348"/>
      <c r="AF55" s="348"/>
      <c r="AG55" s="348"/>
      <c r="AH55" s="348"/>
      <c r="AI55" s="348"/>
      <c r="AJ55" s="348"/>
      <c r="AK55" s="348"/>
      <c r="AL55" s="348"/>
      <c r="AM55" s="348"/>
      <c r="AN55" s="348"/>
      <c r="AO55" s="348"/>
      <c r="AP55" s="348"/>
      <c r="AQ55" s="348"/>
      <c r="AR55" s="348"/>
      <c r="AS55" s="348"/>
      <c r="AT55" s="348"/>
      <c r="AU55" s="348"/>
      <c r="AV55" s="348"/>
      <c r="AW55" s="348"/>
      <c r="AX55" s="348"/>
      <c r="AY55" s="348"/>
      <c r="AZ55" s="348"/>
      <c r="BA55" s="348"/>
      <c r="BB55" s="348"/>
      <c r="BC55" s="348"/>
      <c r="BD55" s="348"/>
      <c r="BE55" s="348"/>
      <c r="BF55" s="348"/>
      <c r="BG55" s="348"/>
      <c r="BH55" s="348"/>
      <c r="BI55" s="348"/>
      <c r="BJ55" s="348"/>
      <c r="BK55" s="348"/>
      <c r="BL55" s="348"/>
      <c r="BM55" s="348"/>
      <c r="BN55" s="348"/>
      <c r="BO55" s="348"/>
      <c r="BP55" s="348"/>
      <c r="BQ55" s="348"/>
      <c r="BR55" s="348"/>
      <c r="BS55" s="348"/>
      <c r="BT55" s="348"/>
      <c r="BU55" s="348"/>
      <c r="BV55" s="348"/>
      <c r="BW55" s="348"/>
      <c r="BX55" s="348"/>
      <c r="BY55" s="348"/>
      <c r="BZ55" s="348"/>
      <c r="CA55" s="348"/>
      <c r="CB55" s="348"/>
      <c r="CC55" s="348"/>
      <c r="CD55" s="348"/>
      <c r="CE55" s="348"/>
      <c r="CF55" s="348"/>
      <c r="CG55" s="348"/>
      <c r="CH55" s="348"/>
      <c r="CI55" s="348"/>
      <c r="CJ55" s="348"/>
      <c r="CK55" s="348"/>
      <c r="CL55" s="348"/>
      <c r="CM55" s="348"/>
      <c r="CN55" s="348"/>
      <c r="CO55" s="348"/>
      <c r="CP55" s="348"/>
      <c r="CQ55" s="348"/>
      <c r="CR55" s="348"/>
    </row>
    <row r="56" spans="25:96" x14ac:dyDescent="0.25">
      <c r="Y56" s="348"/>
      <c r="Z56" s="348"/>
      <c r="AA56" s="348"/>
      <c r="AB56" s="348"/>
      <c r="AC56" s="348"/>
      <c r="AD56" s="348"/>
      <c r="AE56" s="348"/>
      <c r="AF56" s="348"/>
      <c r="AG56" s="348"/>
      <c r="AH56" s="348"/>
      <c r="AI56" s="348"/>
      <c r="AJ56" s="348"/>
      <c r="AK56" s="348"/>
      <c r="AL56" s="348"/>
      <c r="AM56" s="348"/>
      <c r="AN56" s="348"/>
      <c r="AO56" s="348"/>
      <c r="AP56" s="348"/>
      <c r="AQ56" s="348"/>
      <c r="AR56" s="348"/>
      <c r="AS56" s="348"/>
      <c r="AT56" s="348"/>
      <c r="AU56" s="348"/>
      <c r="AV56" s="348"/>
      <c r="AW56" s="348"/>
      <c r="AX56" s="348"/>
      <c r="AY56" s="348"/>
      <c r="AZ56" s="348"/>
      <c r="BA56" s="348"/>
      <c r="BB56" s="348"/>
      <c r="BC56" s="348"/>
      <c r="BD56" s="348"/>
      <c r="BE56" s="348"/>
      <c r="BF56" s="348"/>
      <c r="BG56" s="348"/>
      <c r="BH56" s="348"/>
      <c r="BI56" s="348"/>
      <c r="BJ56" s="348"/>
      <c r="BK56" s="348"/>
      <c r="BL56" s="348"/>
      <c r="BM56" s="348"/>
      <c r="BN56" s="348"/>
      <c r="BO56" s="348"/>
      <c r="BP56" s="348"/>
      <c r="BQ56" s="348"/>
      <c r="BR56" s="348"/>
      <c r="BS56" s="348"/>
      <c r="BT56" s="348"/>
      <c r="BU56" s="348"/>
      <c r="BV56" s="348"/>
      <c r="BW56" s="348"/>
      <c r="BX56" s="348"/>
      <c r="BY56" s="348"/>
      <c r="BZ56" s="348"/>
      <c r="CA56" s="348"/>
      <c r="CB56" s="348"/>
      <c r="CC56" s="348"/>
      <c r="CD56" s="348"/>
      <c r="CE56" s="348"/>
      <c r="CF56" s="348"/>
      <c r="CG56" s="348"/>
      <c r="CH56" s="348"/>
      <c r="CI56" s="348"/>
      <c r="CJ56" s="348"/>
      <c r="CK56" s="348"/>
      <c r="CL56" s="348"/>
      <c r="CM56" s="348"/>
      <c r="CN56" s="348"/>
      <c r="CO56" s="348"/>
      <c r="CP56" s="348"/>
      <c r="CQ56" s="348"/>
      <c r="CR56" s="348"/>
    </row>
    <row r="57" spans="25:96" x14ac:dyDescent="0.25">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348"/>
      <c r="AY57" s="348"/>
      <c r="AZ57" s="348"/>
      <c r="BA57" s="348"/>
      <c r="BB57" s="348"/>
      <c r="BC57" s="348"/>
      <c r="BD57" s="348"/>
      <c r="BE57" s="348"/>
      <c r="BF57" s="348"/>
      <c r="BG57" s="348"/>
      <c r="BH57" s="348"/>
      <c r="BI57" s="348"/>
      <c r="BJ57" s="348"/>
      <c r="BK57" s="348"/>
      <c r="BL57" s="348"/>
      <c r="BM57" s="348"/>
      <c r="BN57" s="348"/>
      <c r="BO57" s="348"/>
      <c r="BP57" s="348"/>
      <c r="BQ57" s="348"/>
      <c r="BR57" s="348"/>
      <c r="BS57" s="348"/>
      <c r="BT57" s="348"/>
      <c r="BU57" s="348"/>
      <c r="BV57" s="348"/>
      <c r="BW57" s="348"/>
      <c r="BX57" s="348"/>
      <c r="BY57" s="348"/>
      <c r="BZ57" s="348"/>
      <c r="CA57" s="348"/>
      <c r="CB57" s="348"/>
      <c r="CC57" s="348"/>
      <c r="CD57" s="348"/>
      <c r="CE57" s="348"/>
      <c r="CF57" s="348"/>
      <c r="CG57" s="348"/>
      <c r="CH57" s="348"/>
      <c r="CI57" s="348"/>
      <c r="CJ57" s="348"/>
      <c r="CK57" s="348"/>
      <c r="CL57" s="348"/>
      <c r="CM57" s="348"/>
      <c r="CN57" s="348"/>
      <c r="CO57" s="348"/>
      <c r="CP57" s="348"/>
      <c r="CQ57" s="348"/>
      <c r="CR57" s="348"/>
    </row>
    <row r="58" spans="25:96" x14ac:dyDescent="0.25">
      <c r="Y58" s="348"/>
      <c r="Z58" s="348"/>
      <c r="AA58" s="348"/>
      <c r="AB58" s="348"/>
      <c r="AC58" s="348"/>
      <c r="AD58" s="348"/>
      <c r="AE58" s="348"/>
      <c r="AF58" s="348"/>
      <c r="AG58" s="348"/>
      <c r="AH58" s="348"/>
      <c r="AI58" s="348"/>
      <c r="AJ58" s="348"/>
      <c r="AK58" s="348"/>
      <c r="AL58" s="348"/>
      <c r="AM58" s="348"/>
      <c r="AN58" s="348"/>
      <c r="AO58" s="348"/>
      <c r="AP58" s="348"/>
      <c r="AQ58" s="348"/>
      <c r="AR58" s="348"/>
      <c r="AS58" s="348"/>
      <c r="AT58" s="348"/>
      <c r="AU58" s="348"/>
      <c r="AV58" s="348"/>
      <c r="AW58" s="348"/>
      <c r="AX58" s="348"/>
      <c r="AY58" s="348"/>
      <c r="AZ58" s="348"/>
      <c r="BA58" s="348"/>
      <c r="BB58" s="348"/>
      <c r="BC58" s="348"/>
      <c r="BD58" s="348"/>
      <c r="BE58" s="348"/>
      <c r="BF58" s="348"/>
      <c r="BG58" s="348"/>
      <c r="BH58" s="348"/>
      <c r="BI58" s="348"/>
      <c r="BJ58" s="348"/>
      <c r="BK58" s="348"/>
      <c r="BL58" s="348"/>
      <c r="BM58" s="348"/>
      <c r="BN58" s="348"/>
      <c r="BO58" s="348"/>
      <c r="BP58" s="348"/>
      <c r="BQ58" s="348"/>
      <c r="BR58" s="348"/>
      <c r="BS58" s="348"/>
      <c r="BT58" s="348"/>
      <c r="BU58" s="348"/>
      <c r="BV58" s="348"/>
      <c r="BW58" s="348"/>
      <c r="BX58" s="348"/>
      <c r="BY58" s="348"/>
      <c r="BZ58" s="348"/>
      <c r="CA58" s="348"/>
      <c r="CB58" s="348"/>
      <c r="CC58" s="348"/>
      <c r="CD58" s="348"/>
      <c r="CE58" s="348"/>
      <c r="CF58" s="348"/>
      <c r="CG58" s="348"/>
      <c r="CH58" s="348"/>
      <c r="CI58" s="348"/>
      <c r="CJ58" s="348"/>
      <c r="CK58" s="348"/>
      <c r="CL58" s="348"/>
      <c r="CM58" s="348"/>
      <c r="CN58" s="348"/>
      <c r="CO58" s="348"/>
      <c r="CP58" s="348"/>
      <c r="CQ58" s="348"/>
      <c r="CR58" s="348"/>
    </row>
    <row r="59" spans="25:96" x14ac:dyDescent="0.25">
      <c r="Y59" s="348"/>
      <c r="Z59" s="348"/>
      <c r="AA59" s="348"/>
      <c r="AB59" s="348"/>
      <c r="AC59" s="348"/>
      <c r="AD59" s="348"/>
      <c r="AE59" s="348"/>
      <c r="AF59" s="348"/>
      <c r="AG59" s="348"/>
      <c r="AH59" s="348"/>
      <c r="AI59" s="348"/>
      <c r="AJ59" s="348"/>
      <c r="AK59" s="348"/>
      <c r="AL59" s="348"/>
      <c r="AM59" s="348"/>
      <c r="AN59" s="348"/>
      <c r="AO59" s="348"/>
      <c r="AP59" s="348"/>
      <c r="AQ59" s="348"/>
      <c r="AR59" s="348"/>
      <c r="AS59" s="348"/>
      <c r="AT59" s="348"/>
      <c r="AU59" s="348"/>
      <c r="AV59" s="348"/>
      <c r="AW59" s="348"/>
      <c r="AX59" s="348"/>
      <c r="AY59" s="348"/>
      <c r="AZ59" s="348"/>
      <c r="BA59" s="348"/>
      <c r="BB59" s="348"/>
      <c r="BC59" s="348"/>
      <c r="BD59" s="348"/>
      <c r="BE59" s="348"/>
      <c r="BF59" s="348"/>
      <c r="BG59" s="348"/>
      <c r="BH59" s="348"/>
      <c r="BI59" s="348"/>
      <c r="BJ59" s="348"/>
      <c r="BK59" s="348"/>
      <c r="BL59" s="348"/>
      <c r="BM59" s="348"/>
      <c r="BN59" s="348"/>
      <c r="BO59" s="348"/>
      <c r="BP59" s="348"/>
      <c r="BQ59" s="348"/>
      <c r="BR59" s="348"/>
      <c r="BS59" s="348"/>
      <c r="BT59" s="348"/>
      <c r="BU59" s="348"/>
      <c r="BV59" s="348"/>
      <c r="BW59" s="348"/>
      <c r="BX59" s="348"/>
      <c r="BY59" s="348"/>
      <c r="BZ59" s="348"/>
      <c r="CA59" s="348"/>
      <c r="CB59" s="348"/>
      <c r="CC59" s="348"/>
      <c r="CD59" s="348"/>
      <c r="CE59" s="348"/>
      <c r="CF59" s="348"/>
      <c r="CG59" s="348"/>
      <c r="CH59" s="348"/>
      <c r="CI59" s="348"/>
      <c r="CJ59" s="348"/>
      <c r="CK59" s="348"/>
      <c r="CL59" s="348"/>
      <c r="CM59" s="348"/>
      <c r="CN59" s="348"/>
      <c r="CO59" s="348"/>
      <c r="CP59" s="348"/>
      <c r="CQ59" s="348"/>
      <c r="CR59" s="348"/>
    </row>
    <row r="60" spans="25:96" x14ac:dyDescent="0.25">
      <c r="Y60" s="348"/>
      <c r="Z60" s="348"/>
      <c r="AA60" s="348"/>
      <c r="AB60" s="348"/>
      <c r="AC60" s="348"/>
      <c r="AD60" s="348"/>
      <c r="AE60" s="348"/>
      <c r="AF60" s="348"/>
      <c r="AG60" s="348"/>
      <c r="AH60" s="348"/>
      <c r="AI60" s="348"/>
      <c r="AJ60" s="348"/>
      <c r="AK60" s="348"/>
      <c r="AL60" s="348"/>
      <c r="AM60" s="348"/>
      <c r="AN60" s="348"/>
      <c r="AO60" s="348"/>
      <c r="AP60" s="348"/>
      <c r="AQ60" s="348"/>
      <c r="AR60" s="348"/>
      <c r="AS60" s="348"/>
      <c r="AT60" s="348"/>
      <c r="AU60" s="348"/>
      <c r="AV60" s="348"/>
      <c r="AW60" s="348"/>
      <c r="AX60" s="348"/>
      <c r="AY60" s="348"/>
      <c r="AZ60" s="348"/>
      <c r="BA60" s="348"/>
      <c r="BB60" s="348"/>
      <c r="BC60" s="348"/>
      <c r="BD60" s="348"/>
      <c r="BE60" s="348"/>
      <c r="BF60" s="348"/>
      <c r="BG60" s="348"/>
      <c r="BH60" s="348"/>
      <c r="BI60" s="348"/>
      <c r="BJ60" s="348"/>
      <c r="BK60" s="348"/>
      <c r="BL60" s="348"/>
      <c r="BM60" s="348"/>
      <c r="BN60" s="348"/>
      <c r="BO60" s="348"/>
      <c r="BP60" s="348"/>
      <c r="BQ60" s="348"/>
      <c r="BR60" s="348"/>
      <c r="BS60" s="348"/>
      <c r="BT60" s="348"/>
      <c r="BU60" s="348"/>
      <c r="BV60" s="348"/>
      <c r="BW60" s="348"/>
      <c r="BX60" s="348"/>
      <c r="BY60" s="348"/>
      <c r="BZ60" s="348"/>
      <c r="CA60" s="348"/>
      <c r="CB60" s="348"/>
      <c r="CC60" s="348"/>
      <c r="CD60" s="348"/>
      <c r="CE60" s="348"/>
      <c r="CF60" s="348"/>
      <c r="CG60" s="348"/>
      <c r="CH60" s="348"/>
      <c r="CI60" s="348"/>
      <c r="CJ60" s="348"/>
      <c r="CK60" s="348"/>
      <c r="CL60" s="348"/>
      <c r="CM60" s="348"/>
      <c r="CN60" s="348"/>
      <c r="CO60" s="348"/>
      <c r="CP60" s="348"/>
      <c r="CQ60" s="348"/>
      <c r="CR60" s="348"/>
    </row>
    <row r="61" spans="25:96" x14ac:dyDescent="0.25">
      <c r="Y61" s="348"/>
      <c r="Z61" s="348"/>
      <c r="AA61" s="348"/>
      <c r="AB61" s="348"/>
      <c r="AC61" s="348"/>
      <c r="AD61" s="348"/>
      <c r="AE61" s="348"/>
      <c r="AF61" s="348"/>
      <c r="AG61" s="348"/>
      <c r="AH61" s="348"/>
      <c r="AI61" s="348"/>
      <c r="AJ61" s="348"/>
      <c r="AK61" s="348"/>
      <c r="AL61" s="348"/>
      <c r="AM61" s="348"/>
      <c r="AN61" s="348"/>
      <c r="AO61" s="348"/>
      <c r="AP61" s="348"/>
      <c r="AQ61" s="348"/>
      <c r="AR61" s="348"/>
      <c r="AS61" s="348"/>
      <c r="AT61" s="348"/>
      <c r="AU61" s="348"/>
      <c r="AV61" s="348"/>
      <c r="AW61" s="348"/>
      <c r="AX61" s="348"/>
      <c r="AY61" s="348"/>
      <c r="AZ61" s="348"/>
      <c r="BA61" s="348"/>
      <c r="BB61" s="348"/>
      <c r="BC61" s="348"/>
      <c r="BD61" s="348"/>
      <c r="BE61" s="348"/>
      <c r="BF61" s="348"/>
      <c r="BG61" s="348"/>
      <c r="BH61" s="348"/>
      <c r="BI61" s="348"/>
      <c r="BJ61" s="348"/>
      <c r="BK61" s="348"/>
      <c r="BL61" s="348"/>
      <c r="BM61" s="348"/>
      <c r="BN61" s="348"/>
      <c r="BO61" s="348"/>
      <c r="BP61" s="348"/>
      <c r="BQ61" s="348"/>
      <c r="BR61" s="348"/>
      <c r="BS61" s="348"/>
      <c r="BT61" s="348"/>
      <c r="BU61" s="348"/>
      <c r="BV61" s="348"/>
      <c r="BW61" s="348"/>
      <c r="BX61" s="348"/>
      <c r="BY61" s="348"/>
      <c r="BZ61" s="348"/>
      <c r="CA61" s="348"/>
      <c r="CB61" s="348"/>
      <c r="CC61" s="348"/>
      <c r="CD61" s="348"/>
      <c r="CE61" s="348"/>
      <c r="CF61" s="348"/>
      <c r="CG61" s="348"/>
      <c r="CH61" s="348"/>
      <c r="CI61" s="348"/>
      <c r="CJ61" s="348"/>
      <c r="CK61" s="348"/>
      <c r="CL61" s="348"/>
      <c r="CM61" s="348"/>
      <c r="CN61" s="348"/>
      <c r="CO61" s="348"/>
      <c r="CP61" s="348"/>
      <c r="CQ61" s="348"/>
      <c r="CR61" s="348"/>
    </row>
    <row r="62" spans="25:96" x14ac:dyDescent="0.25">
      <c r="Y62" s="348"/>
      <c r="Z62" s="348"/>
      <c r="AA62" s="348"/>
      <c r="AB62" s="348"/>
      <c r="AC62" s="348"/>
      <c r="AD62" s="348"/>
      <c r="AE62" s="348"/>
      <c r="AF62" s="348"/>
      <c r="AG62" s="348"/>
      <c r="AH62" s="348"/>
      <c r="AI62" s="348"/>
      <c r="AJ62" s="348"/>
      <c r="AK62" s="348"/>
      <c r="AL62" s="348"/>
      <c r="AM62" s="348"/>
      <c r="AN62" s="348"/>
      <c r="AO62" s="348"/>
      <c r="AP62" s="348"/>
      <c r="AQ62" s="348"/>
      <c r="AR62" s="348"/>
      <c r="AS62" s="348"/>
      <c r="AT62" s="348"/>
      <c r="AU62" s="348"/>
      <c r="AV62" s="348"/>
      <c r="AW62" s="348"/>
      <c r="AX62" s="348"/>
      <c r="AY62" s="348"/>
      <c r="AZ62" s="348"/>
      <c r="BA62" s="348"/>
      <c r="BB62" s="348"/>
      <c r="BC62" s="348"/>
      <c r="BD62" s="348"/>
      <c r="BE62" s="348"/>
      <c r="BF62" s="348"/>
      <c r="BG62" s="348"/>
      <c r="BH62" s="348"/>
      <c r="BI62" s="348"/>
      <c r="BJ62" s="348"/>
      <c r="BK62" s="348"/>
      <c r="BL62" s="348"/>
      <c r="BM62" s="348"/>
      <c r="BN62" s="348"/>
      <c r="BO62" s="348"/>
      <c r="BP62" s="348"/>
      <c r="BQ62" s="348"/>
      <c r="BR62" s="348"/>
      <c r="BS62" s="348"/>
      <c r="BT62" s="348"/>
      <c r="BU62" s="348"/>
      <c r="BV62" s="348"/>
      <c r="BW62" s="348"/>
      <c r="BX62" s="348"/>
      <c r="BY62" s="348"/>
      <c r="BZ62" s="348"/>
      <c r="CA62" s="348"/>
      <c r="CB62" s="348"/>
      <c r="CC62" s="348"/>
      <c r="CD62" s="348"/>
      <c r="CE62" s="348"/>
      <c r="CF62" s="348"/>
      <c r="CG62" s="348"/>
      <c r="CH62" s="348"/>
      <c r="CI62" s="348"/>
      <c r="CJ62" s="348"/>
      <c r="CK62" s="348"/>
      <c r="CL62" s="348"/>
      <c r="CM62" s="348"/>
      <c r="CN62" s="348"/>
      <c r="CO62" s="348"/>
      <c r="CP62" s="348"/>
      <c r="CQ62" s="348"/>
      <c r="CR62" s="348"/>
    </row>
    <row r="63" spans="25:96" x14ac:dyDescent="0.25">
      <c r="Y63" s="348"/>
      <c r="Z63" s="348"/>
      <c r="AA63" s="348"/>
      <c r="AB63" s="348"/>
      <c r="AC63" s="348"/>
      <c r="AD63" s="348"/>
      <c r="AE63" s="348"/>
      <c r="AF63" s="348"/>
      <c r="AG63" s="348"/>
      <c r="AH63" s="348"/>
      <c r="AI63" s="348"/>
      <c r="AJ63" s="348"/>
      <c r="AK63" s="348"/>
      <c r="AL63" s="348"/>
      <c r="AM63" s="348"/>
      <c r="AN63" s="348"/>
      <c r="AO63" s="348"/>
      <c r="AP63" s="348"/>
      <c r="AQ63" s="348"/>
      <c r="AR63" s="348"/>
      <c r="AS63" s="348"/>
      <c r="AT63" s="348"/>
      <c r="AU63" s="348"/>
      <c r="AV63" s="348"/>
      <c r="AW63" s="348"/>
      <c r="AX63" s="348"/>
      <c r="AY63" s="348"/>
      <c r="AZ63" s="348"/>
      <c r="BA63" s="348"/>
      <c r="BB63" s="348"/>
      <c r="BC63" s="348"/>
      <c r="BD63" s="348"/>
      <c r="BE63" s="348"/>
      <c r="BF63" s="348"/>
      <c r="BG63" s="348"/>
      <c r="BH63" s="348"/>
      <c r="BI63" s="348"/>
      <c r="BJ63" s="348"/>
      <c r="BK63" s="348"/>
      <c r="BL63" s="348"/>
      <c r="BM63" s="348"/>
      <c r="BN63" s="348"/>
      <c r="BO63" s="348"/>
      <c r="BP63" s="348"/>
      <c r="BQ63" s="348"/>
      <c r="BR63" s="348"/>
      <c r="BS63" s="348"/>
      <c r="BT63" s="348"/>
      <c r="BU63" s="348"/>
      <c r="BV63" s="348"/>
      <c r="BW63" s="348"/>
      <c r="BX63" s="348"/>
      <c r="BY63" s="348"/>
      <c r="BZ63" s="348"/>
      <c r="CA63" s="348"/>
      <c r="CB63" s="348"/>
      <c r="CC63" s="348"/>
      <c r="CD63" s="348"/>
      <c r="CE63" s="348"/>
      <c r="CF63" s="348"/>
      <c r="CG63" s="348"/>
      <c r="CH63" s="348"/>
      <c r="CI63" s="348"/>
      <c r="CJ63" s="348"/>
      <c r="CK63" s="348"/>
      <c r="CL63" s="348"/>
      <c r="CM63" s="348"/>
      <c r="CN63" s="348"/>
      <c r="CO63" s="348"/>
      <c r="CP63" s="348"/>
      <c r="CQ63" s="348"/>
      <c r="CR63" s="348"/>
    </row>
    <row r="64" spans="25:96" x14ac:dyDescent="0.25">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348"/>
      <c r="AY64" s="348"/>
      <c r="AZ64" s="348"/>
      <c r="BA64" s="348"/>
      <c r="BB64" s="348"/>
      <c r="BC64" s="348"/>
      <c r="BD64" s="348"/>
      <c r="BE64" s="348"/>
      <c r="BF64" s="348"/>
      <c r="BG64" s="348"/>
      <c r="BH64" s="348"/>
      <c r="BI64" s="348"/>
      <c r="BJ64" s="348"/>
      <c r="BK64" s="348"/>
      <c r="BL64" s="348"/>
      <c r="BM64" s="348"/>
      <c r="BN64" s="348"/>
      <c r="BO64" s="348"/>
      <c r="BP64" s="348"/>
      <c r="BQ64" s="348"/>
      <c r="BR64" s="348"/>
      <c r="BS64" s="348"/>
      <c r="BT64" s="348"/>
      <c r="BU64" s="348"/>
      <c r="BV64" s="348"/>
      <c r="BW64" s="348"/>
      <c r="BX64" s="348"/>
      <c r="BY64" s="348"/>
      <c r="BZ64" s="348"/>
      <c r="CA64" s="348"/>
      <c r="CB64" s="348"/>
      <c r="CC64" s="348"/>
      <c r="CD64" s="348"/>
      <c r="CE64" s="348"/>
      <c r="CF64" s="348"/>
      <c r="CG64" s="348"/>
      <c r="CH64" s="348"/>
      <c r="CI64" s="348"/>
      <c r="CJ64" s="348"/>
      <c r="CK64" s="348"/>
      <c r="CL64" s="348"/>
      <c r="CM64" s="348"/>
      <c r="CN64" s="348"/>
      <c r="CO64" s="348"/>
      <c r="CP64" s="348"/>
      <c r="CQ64" s="348"/>
      <c r="CR64" s="348"/>
    </row>
    <row r="65" spans="25:96" x14ac:dyDescent="0.25">
      <c r="Y65" s="348"/>
      <c r="Z65" s="348"/>
      <c r="AA65" s="348"/>
      <c r="AB65" s="348"/>
      <c r="AC65" s="348"/>
      <c r="AD65" s="348"/>
      <c r="AE65" s="348"/>
      <c r="AF65" s="348"/>
      <c r="AG65" s="348"/>
      <c r="AH65" s="348"/>
      <c r="AI65" s="348"/>
      <c r="AJ65" s="348"/>
      <c r="AK65" s="348"/>
      <c r="AL65" s="348"/>
      <c r="AM65" s="348"/>
      <c r="AN65" s="348"/>
      <c r="AO65" s="348"/>
      <c r="AP65" s="348"/>
      <c r="AQ65" s="348"/>
      <c r="AR65" s="348"/>
      <c r="AS65" s="348"/>
      <c r="AT65" s="348"/>
      <c r="AU65" s="348"/>
      <c r="AV65" s="348"/>
      <c r="AW65" s="348"/>
      <c r="AX65" s="348"/>
      <c r="AY65" s="348"/>
      <c r="AZ65" s="348"/>
      <c r="BA65" s="348"/>
      <c r="BB65" s="348"/>
      <c r="BC65" s="348"/>
      <c r="BD65" s="348"/>
      <c r="BE65" s="348"/>
      <c r="BF65" s="348"/>
      <c r="BG65" s="348"/>
      <c r="BH65" s="348"/>
      <c r="BI65" s="348"/>
      <c r="BJ65" s="348"/>
      <c r="BK65" s="348"/>
      <c r="BL65" s="348"/>
      <c r="BM65" s="348"/>
      <c r="BN65" s="348"/>
      <c r="BO65" s="348"/>
      <c r="BP65" s="348"/>
      <c r="BQ65" s="348"/>
      <c r="BR65" s="348"/>
      <c r="BS65" s="348"/>
      <c r="BT65" s="348"/>
      <c r="BU65" s="348"/>
      <c r="BV65" s="348"/>
      <c r="BW65" s="348"/>
      <c r="BX65" s="348"/>
      <c r="BY65" s="348"/>
      <c r="BZ65" s="348"/>
      <c r="CA65" s="348"/>
      <c r="CB65" s="348"/>
      <c r="CC65" s="348"/>
      <c r="CD65" s="348"/>
      <c r="CE65" s="348"/>
      <c r="CF65" s="348"/>
      <c r="CG65" s="348"/>
      <c r="CH65" s="348"/>
      <c r="CI65" s="348"/>
      <c r="CJ65" s="348"/>
      <c r="CK65" s="348"/>
      <c r="CL65" s="348"/>
      <c r="CM65" s="348"/>
      <c r="CN65" s="348"/>
      <c r="CO65" s="348"/>
      <c r="CP65" s="348"/>
      <c r="CQ65" s="348"/>
      <c r="CR65" s="348"/>
    </row>
    <row r="66" spans="25:96" x14ac:dyDescent="0.25">
      <c r="Y66" s="348"/>
      <c r="Z66" s="348"/>
      <c r="AA66" s="348"/>
      <c r="AB66" s="348"/>
      <c r="AC66" s="348"/>
      <c r="AD66" s="348"/>
      <c r="AE66" s="348"/>
      <c r="AF66" s="348"/>
      <c r="AG66" s="348"/>
      <c r="AH66" s="348"/>
      <c r="AI66" s="348"/>
      <c r="AJ66" s="348"/>
      <c r="AK66" s="348"/>
      <c r="AL66" s="348"/>
      <c r="AM66" s="348"/>
      <c r="AN66" s="348"/>
      <c r="AO66" s="348"/>
      <c r="AP66" s="348"/>
      <c r="AQ66" s="348"/>
      <c r="AR66" s="348"/>
      <c r="AS66" s="348"/>
      <c r="AT66" s="348"/>
      <c r="AU66" s="348"/>
      <c r="AV66" s="348"/>
      <c r="AW66" s="348"/>
      <c r="AX66" s="348"/>
      <c r="AY66" s="348"/>
      <c r="AZ66" s="348"/>
      <c r="BA66" s="348"/>
      <c r="BB66" s="348"/>
      <c r="BC66" s="348"/>
      <c r="BD66" s="348"/>
      <c r="BE66" s="348"/>
      <c r="BF66" s="348"/>
      <c r="BG66" s="348"/>
      <c r="BH66" s="348"/>
      <c r="BI66" s="348"/>
      <c r="BJ66" s="348"/>
      <c r="BK66" s="348"/>
      <c r="BL66" s="348"/>
      <c r="BM66" s="348"/>
      <c r="BN66" s="348"/>
      <c r="BO66" s="348"/>
      <c r="BP66" s="348"/>
      <c r="BQ66" s="348"/>
      <c r="BR66" s="348"/>
      <c r="BS66" s="348"/>
      <c r="BT66" s="348"/>
      <c r="BU66" s="348"/>
      <c r="BV66" s="348"/>
      <c r="BW66" s="348"/>
      <c r="BX66" s="348"/>
      <c r="BY66" s="348"/>
      <c r="BZ66" s="348"/>
      <c r="CA66" s="348"/>
      <c r="CB66" s="348"/>
      <c r="CC66" s="348"/>
      <c r="CD66" s="348"/>
      <c r="CE66" s="348"/>
      <c r="CF66" s="348"/>
      <c r="CG66" s="348"/>
      <c r="CH66" s="348"/>
      <c r="CI66" s="348"/>
      <c r="CJ66" s="348"/>
      <c r="CK66" s="348"/>
      <c r="CL66" s="348"/>
      <c r="CM66" s="348"/>
      <c r="CN66" s="348"/>
      <c r="CO66" s="348"/>
      <c r="CP66" s="348"/>
      <c r="CQ66" s="348"/>
      <c r="CR66" s="348"/>
    </row>
    <row r="67" spans="25:96" x14ac:dyDescent="0.25">
      <c r="Y67" s="348"/>
      <c r="Z67" s="348"/>
      <c r="AA67" s="348"/>
      <c r="AB67" s="348"/>
      <c r="AC67" s="348"/>
      <c r="AD67" s="348"/>
      <c r="AE67" s="348"/>
      <c r="AF67" s="348"/>
      <c r="AG67" s="348"/>
      <c r="AH67" s="348"/>
      <c r="AI67" s="348"/>
      <c r="AJ67" s="348"/>
      <c r="AK67" s="348"/>
      <c r="AL67" s="348"/>
      <c r="AM67" s="348"/>
      <c r="AN67" s="348"/>
      <c r="AO67" s="348"/>
      <c r="AP67" s="348"/>
      <c r="AQ67" s="348"/>
      <c r="AR67" s="348"/>
      <c r="AS67" s="348"/>
      <c r="AT67" s="348"/>
      <c r="AU67" s="348"/>
      <c r="AV67" s="348"/>
      <c r="AW67" s="348"/>
      <c r="AX67" s="348"/>
      <c r="AY67" s="348"/>
      <c r="AZ67" s="348"/>
      <c r="BA67" s="348"/>
      <c r="BB67" s="348"/>
      <c r="BC67" s="348"/>
      <c r="BD67" s="348"/>
      <c r="BE67" s="348"/>
      <c r="BF67" s="348"/>
      <c r="BG67" s="348"/>
      <c r="BH67" s="348"/>
      <c r="BI67" s="348"/>
      <c r="BJ67" s="348"/>
      <c r="BK67" s="348"/>
      <c r="BL67" s="348"/>
      <c r="BM67" s="348"/>
      <c r="BN67" s="348"/>
      <c r="BO67" s="348"/>
      <c r="BP67" s="348"/>
      <c r="BQ67" s="348"/>
      <c r="BR67" s="348"/>
      <c r="BS67" s="348"/>
      <c r="BT67" s="348"/>
      <c r="BU67" s="348"/>
      <c r="BV67" s="348"/>
      <c r="BW67" s="348"/>
      <c r="BX67" s="348"/>
      <c r="BY67" s="348"/>
      <c r="BZ67" s="348"/>
      <c r="CA67" s="348"/>
      <c r="CB67" s="348"/>
      <c r="CC67" s="348"/>
      <c r="CD67" s="348"/>
      <c r="CE67" s="348"/>
      <c r="CF67" s="348"/>
      <c r="CG67" s="348"/>
      <c r="CH67" s="348"/>
      <c r="CI67" s="348"/>
      <c r="CJ67" s="348"/>
      <c r="CK67" s="348"/>
      <c r="CL67" s="348"/>
      <c r="CM67" s="348"/>
      <c r="CN67" s="348"/>
      <c r="CO67" s="348"/>
      <c r="CP67" s="348"/>
      <c r="CQ67" s="348"/>
      <c r="CR67" s="348"/>
    </row>
    <row r="68" spans="25:96" x14ac:dyDescent="0.25">
      <c r="Y68" s="348"/>
      <c r="Z68" s="348"/>
      <c r="AA68" s="348"/>
      <c r="AB68" s="348"/>
      <c r="AC68" s="348"/>
      <c r="AD68" s="348"/>
      <c r="AE68" s="348"/>
      <c r="AF68" s="348"/>
      <c r="AG68" s="348"/>
      <c r="AH68" s="348"/>
      <c r="AI68" s="348"/>
      <c r="AJ68" s="348"/>
      <c r="AK68" s="348"/>
      <c r="AL68" s="348"/>
      <c r="AM68" s="348"/>
      <c r="AN68" s="348"/>
      <c r="AO68" s="348"/>
      <c r="AP68" s="348"/>
      <c r="AQ68" s="348"/>
      <c r="AR68" s="348"/>
      <c r="AS68" s="348"/>
      <c r="AT68" s="348"/>
      <c r="AU68" s="348"/>
      <c r="AV68" s="348"/>
      <c r="AW68" s="348"/>
      <c r="AX68" s="348"/>
      <c r="AY68" s="348"/>
      <c r="AZ68" s="348"/>
      <c r="BA68" s="348"/>
      <c r="BB68" s="348"/>
      <c r="BC68" s="348"/>
      <c r="BD68" s="348"/>
      <c r="BE68" s="348"/>
      <c r="BF68" s="348"/>
      <c r="BG68" s="348"/>
      <c r="BH68" s="348"/>
      <c r="BI68" s="348"/>
      <c r="BJ68" s="348"/>
      <c r="BK68" s="348"/>
      <c r="BL68" s="348"/>
      <c r="BM68" s="348"/>
      <c r="BN68" s="348"/>
      <c r="BO68" s="348"/>
      <c r="BP68" s="348"/>
      <c r="BQ68" s="348"/>
      <c r="BR68" s="348"/>
      <c r="BS68" s="348"/>
      <c r="BT68" s="348"/>
      <c r="BU68" s="348"/>
      <c r="BV68" s="348"/>
      <c r="BW68" s="348"/>
      <c r="BX68" s="348"/>
      <c r="BY68" s="348"/>
      <c r="BZ68" s="348"/>
      <c r="CA68" s="348"/>
      <c r="CB68" s="348"/>
      <c r="CC68" s="348"/>
      <c r="CD68" s="348"/>
      <c r="CE68" s="348"/>
      <c r="CF68" s="348"/>
      <c r="CG68" s="348"/>
      <c r="CH68" s="348"/>
      <c r="CI68" s="348"/>
      <c r="CJ68" s="348"/>
      <c r="CK68" s="348"/>
      <c r="CL68" s="348"/>
      <c r="CM68" s="348"/>
      <c r="CN68" s="348"/>
      <c r="CO68" s="348"/>
      <c r="CP68" s="348"/>
      <c r="CQ68" s="348"/>
      <c r="CR68" s="348"/>
    </row>
    <row r="69" spans="25:96" x14ac:dyDescent="0.25">
      <c r="Y69" s="348"/>
      <c r="Z69" s="348"/>
      <c r="AA69" s="348"/>
      <c r="AB69" s="348"/>
      <c r="AC69" s="348"/>
      <c r="AD69" s="348"/>
      <c r="AE69" s="348"/>
      <c r="AF69" s="348"/>
      <c r="AG69" s="348"/>
      <c r="AH69" s="348"/>
      <c r="AI69" s="348"/>
      <c r="AJ69" s="348"/>
      <c r="AK69" s="348"/>
      <c r="AL69" s="348"/>
      <c r="AM69" s="348"/>
      <c r="AN69" s="348"/>
      <c r="AO69" s="348"/>
      <c r="AP69" s="348"/>
      <c r="AQ69" s="348"/>
      <c r="AR69" s="348"/>
      <c r="AS69" s="348"/>
      <c r="AT69" s="348"/>
      <c r="AU69" s="348"/>
      <c r="AV69" s="348"/>
      <c r="AW69" s="348"/>
      <c r="AX69" s="348"/>
      <c r="AY69" s="348"/>
      <c r="AZ69" s="348"/>
      <c r="BA69" s="348"/>
      <c r="BB69" s="348"/>
      <c r="BC69" s="348"/>
      <c r="BD69" s="348"/>
      <c r="BE69" s="348"/>
      <c r="BF69" s="348"/>
      <c r="BG69" s="348"/>
      <c r="BH69" s="348"/>
      <c r="BI69" s="348"/>
      <c r="BJ69" s="348"/>
      <c r="BK69" s="348"/>
      <c r="BL69" s="348"/>
      <c r="BM69" s="348"/>
      <c r="BN69" s="348"/>
      <c r="BO69" s="348"/>
      <c r="BP69" s="348"/>
      <c r="BQ69" s="348"/>
      <c r="BR69" s="348"/>
      <c r="BS69" s="348"/>
      <c r="BT69" s="348"/>
      <c r="BU69" s="348"/>
      <c r="BV69" s="348"/>
      <c r="BW69" s="348"/>
      <c r="BX69" s="348"/>
      <c r="BY69" s="348"/>
      <c r="BZ69" s="348"/>
      <c r="CA69" s="348"/>
      <c r="CB69" s="348"/>
      <c r="CC69" s="348"/>
      <c r="CD69" s="348"/>
      <c r="CE69" s="348"/>
      <c r="CF69" s="348"/>
      <c r="CG69" s="348"/>
      <c r="CH69" s="348"/>
      <c r="CI69" s="348"/>
      <c r="CJ69" s="348"/>
      <c r="CK69" s="348"/>
      <c r="CL69" s="348"/>
      <c r="CM69" s="348"/>
      <c r="CN69" s="348"/>
      <c r="CO69" s="348"/>
      <c r="CP69" s="348"/>
      <c r="CQ69" s="348"/>
      <c r="CR69" s="348"/>
    </row>
    <row r="70" spans="25:96" x14ac:dyDescent="0.25">
      <c r="Y70" s="348"/>
      <c r="Z70" s="348"/>
      <c r="AA70" s="348"/>
      <c r="AB70" s="348"/>
      <c r="AC70" s="348"/>
      <c r="AD70" s="348"/>
      <c r="AE70" s="348"/>
      <c r="AF70" s="348"/>
      <c r="AG70" s="348"/>
      <c r="AH70" s="348"/>
      <c r="AI70" s="348"/>
      <c r="AJ70" s="348"/>
      <c r="AK70" s="348"/>
      <c r="AL70" s="348"/>
      <c r="AM70" s="348"/>
      <c r="AN70" s="348"/>
      <c r="AO70" s="348"/>
      <c r="AP70" s="348"/>
      <c r="AQ70" s="348"/>
      <c r="AR70" s="348"/>
      <c r="AS70" s="348"/>
      <c r="AT70" s="348"/>
      <c r="AU70" s="348"/>
      <c r="AV70" s="348"/>
      <c r="AW70" s="348"/>
      <c r="AX70" s="348"/>
      <c r="AY70" s="348"/>
      <c r="AZ70" s="348"/>
      <c r="BA70" s="348"/>
      <c r="BB70" s="348"/>
      <c r="BC70" s="348"/>
      <c r="BD70" s="348"/>
      <c r="BE70" s="348"/>
      <c r="BF70" s="348"/>
      <c r="BG70" s="348"/>
      <c r="BH70" s="348"/>
      <c r="BI70" s="348"/>
      <c r="BJ70" s="348"/>
      <c r="BK70" s="348"/>
      <c r="BL70" s="348"/>
      <c r="BM70" s="348"/>
      <c r="BN70" s="348"/>
      <c r="BO70" s="348"/>
      <c r="BP70" s="348"/>
      <c r="BQ70" s="348"/>
      <c r="BR70" s="348"/>
      <c r="BS70" s="348"/>
      <c r="BT70" s="348"/>
      <c r="BU70" s="348"/>
      <c r="BV70" s="348"/>
      <c r="BW70" s="348"/>
      <c r="BX70" s="348"/>
      <c r="BY70" s="348"/>
      <c r="BZ70" s="348"/>
      <c r="CA70" s="348"/>
      <c r="CB70" s="348"/>
      <c r="CC70" s="348"/>
      <c r="CD70" s="348"/>
      <c r="CE70" s="348"/>
      <c r="CF70" s="348"/>
      <c r="CG70" s="348"/>
      <c r="CH70" s="348"/>
      <c r="CI70" s="348"/>
      <c r="CJ70" s="348"/>
      <c r="CK70" s="348"/>
      <c r="CL70" s="348"/>
      <c r="CM70" s="348"/>
      <c r="CN70" s="348"/>
      <c r="CO70" s="348"/>
      <c r="CP70" s="348"/>
      <c r="CQ70" s="348"/>
      <c r="CR70" s="348"/>
    </row>
    <row r="71" spans="25:96" x14ac:dyDescent="0.25">
      <c r="Y71" s="348"/>
      <c r="Z71" s="348"/>
      <c r="AA71" s="348"/>
      <c r="AB71" s="348"/>
      <c r="AC71" s="348"/>
      <c r="AD71" s="348"/>
      <c r="AE71" s="348"/>
      <c r="AF71" s="348"/>
      <c r="AG71" s="348"/>
      <c r="AH71" s="348"/>
      <c r="AI71" s="348"/>
      <c r="AJ71" s="348"/>
      <c r="AK71" s="348"/>
      <c r="AL71" s="348"/>
      <c r="AM71" s="348"/>
      <c r="AN71" s="348"/>
      <c r="AO71" s="348"/>
      <c r="AP71" s="348"/>
      <c r="AQ71" s="348"/>
      <c r="AR71" s="348"/>
      <c r="AS71" s="348"/>
      <c r="AT71" s="348"/>
      <c r="AU71" s="348"/>
      <c r="AV71" s="348"/>
      <c r="AW71" s="348"/>
      <c r="AX71" s="348"/>
      <c r="AY71" s="348"/>
      <c r="AZ71" s="348"/>
      <c r="BA71" s="348"/>
      <c r="BB71" s="348"/>
      <c r="BC71" s="348"/>
      <c r="BD71" s="348"/>
      <c r="BE71" s="348"/>
      <c r="BF71" s="348"/>
      <c r="BG71" s="348"/>
      <c r="BH71" s="348"/>
      <c r="BI71" s="348"/>
      <c r="BJ71" s="348"/>
      <c r="BK71" s="348"/>
      <c r="BL71" s="348"/>
      <c r="BM71" s="348"/>
      <c r="BN71" s="348"/>
      <c r="BO71" s="348"/>
      <c r="BP71" s="348"/>
      <c r="BQ71" s="348"/>
      <c r="BR71" s="348"/>
      <c r="BS71" s="348"/>
      <c r="BT71" s="348"/>
      <c r="BU71" s="348"/>
      <c r="BV71" s="348"/>
      <c r="BW71" s="348"/>
      <c r="BX71" s="348"/>
      <c r="BY71" s="348"/>
      <c r="BZ71" s="348"/>
      <c r="CA71" s="348"/>
      <c r="CB71" s="348"/>
      <c r="CC71" s="348"/>
      <c r="CD71" s="348"/>
      <c r="CE71" s="348"/>
      <c r="CF71" s="348"/>
      <c r="CG71" s="348"/>
      <c r="CH71" s="348"/>
      <c r="CI71" s="348"/>
      <c r="CJ71" s="348"/>
      <c r="CK71" s="348"/>
      <c r="CL71" s="348"/>
      <c r="CM71" s="348"/>
      <c r="CN71" s="348"/>
      <c r="CO71" s="348"/>
      <c r="CP71" s="348"/>
      <c r="CQ71" s="348"/>
      <c r="CR71" s="348"/>
    </row>
    <row r="72" spans="25:96" x14ac:dyDescent="0.25">
      <c r="Y72" s="348"/>
      <c r="Z72" s="348"/>
      <c r="AA72" s="348"/>
      <c r="AB72" s="348"/>
      <c r="AC72" s="348"/>
      <c r="AD72" s="348"/>
      <c r="AE72" s="348"/>
      <c r="AF72" s="348"/>
      <c r="AG72" s="348"/>
      <c r="AH72" s="348"/>
      <c r="AI72" s="348"/>
      <c r="AJ72" s="348"/>
      <c r="AK72" s="348"/>
      <c r="AL72" s="348"/>
      <c r="AM72" s="348"/>
      <c r="AN72" s="348"/>
      <c r="AO72" s="348"/>
      <c r="AP72" s="348"/>
      <c r="AQ72" s="348"/>
      <c r="AR72" s="348"/>
      <c r="AS72" s="348"/>
      <c r="AT72" s="348"/>
      <c r="AU72" s="348"/>
      <c r="AV72" s="348"/>
      <c r="AW72" s="348"/>
      <c r="AX72" s="348"/>
      <c r="AY72" s="348"/>
      <c r="AZ72" s="348"/>
      <c r="BA72" s="348"/>
      <c r="BB72" s="348"/>
      <c r="BC72" s="348"/>
      <c r="BD72" s="348"/>
      <c r="BE72" s="348"/>
      <c r="BF72" s="348"/>
      <c r="BG72" s="348"/>
      <c r="BH72" s="348"/>
      <c r="BI72" s="348"/>
      <c r="BJ72" s="348"/>
      <c r="BK72" s="348"/>
      <c r="BL72" s="348"/>
      <c r="BM72" s="348"/>
      <c r="BN72" s="348"/>
      <c r="BO72" s="348"/>
      <c r="BP72" s="348"/>
      <c r="BQ72" s="348"/>
      <c r="BR72" s="348"/>
      <c r="BS72" s="348"/>
      <c r="BT72" s="348"/>
      <c r="BU72" s="348"/>
      <c r="BV72" s="348"/>
      <c r="BW72" s="348"/>
      <c r="BX72" s="348"/>
      <c r="BY72" s="348"/>
      <c r="BZ72" s="348"/>
      <c r="CA72" s="348"/>
      <c r="CB72" s="348"/>
      <c r="CC72" s="348"/>
      <c r="CD72" s="348"/>
      <c r="CE72" s="348"/>
      <c r="CF72" s="348"/>
      <c r="CG72" s="348"/>
      <c r="CH72" s="348"/>
      <c r="CI72" s="348"/>
      <c r="CJ72" s="348"/>
      <c r="CK72" s="348"/>
      <c r="CL72" s="348"/>
      <c r="CM72" s="348"/>
      <c r="CN72" s="348"/>
      <c r="CO72" s="348"/>
      <c r="CP72" s="348"/>
      <c r="CQ72" s="348"/>
      <c r="CR72" s="348"/>
    </row>
    <row r="73" spans="25:96" x14ac:dyDescent="0.25">
      <c r="Y73" s="348"/>
      <c r="Z73" s="348"/>
      <c r="AA73" s="348"/>
      <c r="AB73" s="348"/>
      <c r="AC73" s="348"/>
      <c r="AD73" s="348"/>
      <c r="AE73" s="348"/>
      <c r="AF73" s="348"/>
      <c r="AG73" s="348"/>
      <c r="AH73" s="348"/>
      <c r="AI73" s="348"/>
      <c r="AJ73" s="348"/>
      <c r="AK73" s="348"/>
      <c r="AL73" s="348"/>
      <c r="AM73" s="348"/>
      <c r="AN73" s="348"/>
      <c r="AO73" s="348"/>
      <c r="AP73" s="348"/>
      <c r="AQ73" s="348"/>
      <c r="AR73" s="348"/>
      <c r="AS73" s="348"/>
      <c r="AT73" s="348"/>
      <c r="AU73" s="348"/>
      <c r="AV73" s="348"/>
      <c r="AW73" s="348"/>
      <c r="AX73" s="348"/>
      <c r="AY73" s="348"/>
      <c r="AZ73" s="348"/>
      <c r="BA73" s="348"/>
      <c r="BB73" s="348"/>
      <c r="BC73" s="348"/>
      <c r="BD73" s="348"/>
      <c r="BE73" s="348"/>
      <c r="BF73" s="348"/>
      <c r="BG73" s="348"/>
      <c r="BH73" s="348"/>
      <c r="BI73" s="348"/>
      <c r="BJ73" s="348"/>
      <c r="BK73" s="348"/>
      <c r="BL73" s="348"/>
      <c r="BM73" s="348"/>
      <c r="BN73" s="348"/>
      <c r="BO73" s="348"/>
      <c r="BP73" s="348"/>
      <c r="BQ73" s="348"/>
      <c r="BR73" s="348"/>
      <c r="BS73" s="348"/>
      <c r="BT73" s="348"/>
      <c r="BU73" s="348"/>
      <c r="BV73" s="348"/>
      <c r="BW73" s="348"/>
      <c r="BX73" s="348"/>
      <c r="BY73" s="348"/>
      <c r="BZ73" s="348"/>
      <c r="CA73" s="348"/>
      <c r="CB73" s="348"/>
      <c r="CC73" s="348"/>
      <c r="CD73" s="348"/>
      <c r="CE73" s="348"/>
      <c r="CF73" s="348"/>
      <c r="CG73" s="348"/>
      <c r="CH73" s="348"/>
      <c r="CI73" s="348"/>
      <c r="CJ73" s="348"/>
      <c r="CK73" s="348"/>
      <c r="CL73" s="348"/>
      <c r="CM73" s="348"/>
      <c r="CN73" s="348"/>
      <c r="CO73" s="348"/>
      <c r="CP73" s="348"/>
      <c r="CQ73" s="348"/>
      <c r="CR73" s="348"/>
    </row>
    <row r="74" spans="25:96" x14ac:dyDescent="0.25">
      <c r="Y74" s="348"/>
      <c r="Z74" s="348"/>
      <c r="AA74" s="348"/>
      <c r="AB74" s="348"/>
      <c r="AC74" s="348"/>
      <c r="AD74" s="348"/>
      <c r="AE74" s="348"/>
      <c r="AF74" s="348"/>
      <c r="AG74" s="348"/>
      <c r="AH74" s="348"/>
      <c r="AI74" s="348"/>
      <c r="AJ74" s="348"/>
      <c r="AK74" s="348"/>
      <c r="AL74" s="348"/>
      <c r="AM74" s="348"/>
      <c r="AN74" s="348"/>
      <c r="AO74" s="348"/>
      <c r="AP74" s="348"/>
      <c r="AQ74" s="348"/>
      <c r="AR74" s="348"/>
      <c r="AS74" s="348"/>
      <c r="AT74" s="348"/>
      <c r="AU74" s="348"/>
      <c r="AV74" s="348"/>
      <c r="AW74" s="348"/>
      <c r="AX74" s="348"/>
      <c r="AY74" s="348"/>
      <c r="AZ74" s="348"/>
      <c r="BA74" s="348"/>
      <c r="BB74" s="348"/>
      <c r="BC74" s="348"/>
      <c r="BD74" s="348"/>
      <c r="BE74" s="348"/>
      <c r="BF74" s="348"/>
      <c r="BG74" s="348"/>
      <c r="BH74" s="348"/>
      <c r="BI74" s="348"/>
      <c r="BJ74" s="348"/>
      <c r="BK74" s="348"/>
      <c r="BL74" s="348"/>
      <c r="BM74" s="348"/>
      <c r="BN74" s="348"/>
      <c r="BO74" s="348"/>
      <c r="BP74" s="348"/>
      <c r="BQ74" s="348"/>
      <c r="BR74" s="348"/>
      <c r="BS74" s="348"/>
      <c r="BT74" s="348"/>
      <c r="BU74" s="348"/>
      <c r="BV74" s="348"/>
      <c r="BW74" s="348"/>
      <c r="BX74" s="348"/>
      <c r="BY74" s="348"/>
      <c r="BZ74" s="348"/>
      <c r="CA74" s="348"/>
      <c r="CB74" s="348"/>
      <c r="CC74" s="348"/>
      <c r="CD74" s="348"/>
      <c r="CE74" s="348"/>
      <c r="CF74" s="348"/>
      <c r="CG74" s="348"/>
      <c r="CH74" s="348"/>
      <c r="CI74" s="348"/>
      <c r="CJ74" s="348"/>
      <c r="CK74" s="348"/>
      <c r="CL74" s="348"/>
      <c r="CM74" s="348"/>
      <c r="CN74" s="348"/>
      <c r="CO74" s="348"/>
      <c r="CP74" s="348"/>
      <c r="CQ74" s="348"/>
      <c r="CR74" s="348"/>
    </row>
    <row r="75" spans="25:96" x14ac:dyDescent="0.25">
      <c r="Y75" s="348"/>
      <c r="Z75" s="348"/>
      <c r="AA75" s="348"/>
      <c r="AB75" s="348"/>
      <c r="AC75" s="348"/>
      <c r="AD75" s="348"/>
      <c r="AE75" s="348"/>
      <c r="AF75" s="348"/>
      <c r="AG75" s="348"/>
      <c r="AH75" s="348"/>
      <c r="AI75" s="348"/>
      <c r="AJ75" s="348"/>
      <c r="AK75" s="348"/>
      <c r="AL75" s="348"/>
      <c r="AM75" s="348"/>
      <c r="AN75" s="348"/>
      <c r="AO75" s="348"/>
      <c r="AP75" s="348"/>
      <c r="AQ75" s="348"/>
      <c r="AR75" s="348"/>
      <c r="AS75" s="348"/>
      <c r="AT75" s="348"/>
      <c r="AU75" s="348"/>
      <c r="AV75" s="348"/>
      <c r="AW75" s="348"/>
      <c r="AX75" s="348"/>
      <c r="AY75" s="348"/>
      <c r="AZ75" s="348"/>
      <c r="BA75" s="348"/>
      <c r="BB75" s="348"/>
      <c r="BC75" s="348"/>
      <c r="BD75" s="348"/>
      <c r="BE75" s="348"/>
      <c r="BF75" s="348"/>
      <c r="BG75" s="348"/>
      <c r="BH75" s="348"/>
      <c r="BI75" s="348"/>
      <c r="BJ75" s="348"/>
      <c r="BK75" s="348"/>
      <c r="BL75" s="348"/>
      <c r="BM75" s="348"/>
      <c r="BN75" s="348"/>
      <c r="BO75" s="348"/>
      <c r="BP75" s="348"/>
      <c r="BQ75" s="348"/>
      <c r="BR75" s="348"/>
      <c r="BS75" s="348"/>
      <c r="BT75" s="348"/>
      <c r="BU75" s="348"/>
      <c r="BV75" s="348"/>
      <c r="BW75" s="348"/>
      <c r="BX75" s="348"/>
      <c r="BY75" s="348"/>
      <c r="BZ75" s="348"/>
      <c r="CA75" s="348"/>
      <c r="CB75" s="348"/>
      <c r="CC75" s="348"/>
      <c r="CD75" s="348"/>
      <c r="CE75" s="348"/>
      <c r="CF75" s="348"/>
      <c r="CG75" s="348"/>
      <c r="CH75" s="348"/>
      <c r="CI75" s="348"/>
      <c r="CJ75" s="348"/>
      <c r="CK75" s="348"/>
      <c r="CL75" s="348"/>
      <c r="CM75" s="348"/>
      <c r="CN75" s="348"/>
      <c r="CO75" s="348"/>
      <c r="CP75" s="348"/>
      <c r="CQ75" s="348"/>
      <c r="CR75" s="348"/>
    </row>
    <row r="76" spans="25:96" x14ac:dyDescent="0.25">
      <c r="Y76" s="348"/>
      <c r="Z76" s="348"/>
      <c r="AA76" s="348"/>
      <c r="AB76" s="348"/>
      <c r="AC76" s="348"/>
      <c r="AD76" s="348"/>
      <c r="AE76" s="348"/>
      <c r="AF76" s="348"/>
      <c r="AG76" s="348"/>
      <c r="AH76" s="348"/>
      <c r="AI76" s="348"/>
      <c r="AJ76" s="348"/>
      <c r="AK76" s="348"/>
      <c r="AL76" s="348"/>
      <c r="AM76" s="348"/>
      <c r="AN76" s="348"/>
      <c r="AO76" s="348"/>
      <c r="AP76" s="348"/>
      <c r="AQ76" s="348"/>
      <c r="AR76" s="348"/>
      <c r="AS76" s="348"/>
      <c r="AT76" s="348"/>
      <c r="AU76" s="348"/>
      <c r="AV76" s="348"/>
      <c r="AW76" s="348"/>
      <c r="AX76" s="348"/>
      <c r="AY76" s="348"/>
      <c r="AZ76" s="348"/>
      <c r="BA76" s="348"/>
      <c r="BB76" s="348"/>
      <c r="BC76" s="348"/>
      <c r="BD76" s="348"/>
      <c r="BE76" s="348"/>
      <c r="BF76" s="348"/>
      <c r="BG76" s="348"/>
      <c r="BH76" s="348"/>
      <c r="BI76" s="348"/>
      <c r="BJ76" s="348"/>
      <c r="BK76" s="348"/>
      <c r="BL76" s="348"/>
      <c r="BM76" s="348"/>
      <c r="BN76" s="348"/>
      <c r="BO76" s="348"/>
      <c r="BP76" s="348"/>
      <c r="BQ76" s="348"/>
      <c r="BR76" s="348"/>
      <c r="BS76" s="348"/>
      <c r="BT76" s="348"/>
      <c r="BU76" s="348"/>
      <c r="BV76" s="348"/>
      <c r="BW76" s="348"/>
      <c r="BX76" s="348"/>
      <c r="BY76" s="348"/>
      <c r="BZ76" s="348"/>
      <c r="CA76" s="348"/>
      <c r="CB76" s="348"/>
      <c r="CC76" s="348"/>
      <c r="CD76" s="348"/>
      <c r="CE76" s="348"/>
      <c r="CF76" s="348"/>
      <c r="CG76" s="348"/>
      <c r="CH76" s="348"/>
      <c r="CI76" s="348"/>
      <c r="CJ76" s="348"/>
      <c r="CK76" s="348"/>
      <c r="CL76" s="348"/>
      <c r="CM76" s="348"/>
      <c r="CN76" s="348"/>
      <c r="CO76" s="348"/>
      <c r="CP76" s="348"/>
      <c r="CQ76" s="348"/>
      <c r="CR76" s="348"/>
    </row>
    <row r="77" spans="25:96" x14ac:dyDescent="0.25">
      <c r="Y77" s="348"/>
      <c r="Z77" s="348"/>
      <c r="AA77" s="348"/>
      <c r="AB77" s="348"/>
      <c r="AC77" s="348"/>
      <c r="AD77" s="348"/>
      <c r="AE77" s="348"/>
      <c r="AF77" s="348"/>
      <c r="AG77" s="348"/>
      <c r="AH77" s="348"/>
      <c r="AI77" s="348"/>
      <c r="AJ77" s="348"/>
      <c r="AK77" s="348"/>
      <c r="AL77" s="348"/>
      <c r="AM77" s="348"/>
      <c r="AN77" s="348"/>
      <c r="AO77" s="348"/>
      <c r="AP77" s="348"/>
      <c r="AQ77" s="348"/>
      <c r="AR77" s="348"/>
      <c r="AS77" s="348"/>
      <c r="AT77" s="348"/>
      <c r="AU77" s="348"/>
      <c r="AV77" s="348"/>
      <c r="AW77" s="348"/>
      <c r="AX77" s="348"/>
      <c r="AY77" s="348"/>
      <c r="AZ77" s="348"/>
      <c r="BA77" s="348"/>
      <c r="BB77" s="348"/>
      <c r="BC77" s="348"/>
      <c r="BD77" s="348"/>
      <c r="BE77" s="348"/>
      <c r="BF77" s="348"/>
      <c r="BG77" s="348"/>
      <c r="BH77" s="348"/>
      <c r="BI77" s="348"/>
      <c r="BJ77" s="348"/>
      <c r="BK77" s="348"/>
      <c r="BL77" s="348"/>
      <c r="BM77" s="348"/>
      <c r="BN77" s="348"/>
      <c r="BO77" s="348"/>
      <c r="BP77" s="348"/>
      <c r="BQ77" s="348"/>
      <c r="BR77" s="348"/>
      <c r="BS77" s="348"/>
      <c r="BT77" s="348"/>
      <c r="BU77" s="348"/>
      <c r="BV77" s="348"/>
      <c r="BW77" s="348"/>
      <c r="BX77" s="348"/>
      <c r="BY77" s="348"/>
      <c r="BZ77" s="348"/>
      <c r="CA77" s="348"/>
      <c r="CB77" s="348"/>
      <c r="CC77" s="348"/>
      <c r="CD77" s="348"/>
      <c r="CE77" s="348"/>
      <c r="CF77" s="348"/>
      <c r="CG77" s="348"/>
      <c r="CH77" s="348"/>
      <c r="CI77" s="348"/>
      <c r="CJ77" s="348"/>
      <c r="CK77" s="348"/>
      <c r="CL77" s="348"/>
      <c r="CM77" s="348"/>
      <c r="CN77" s="348"/>
      <c r="CO77" s="348"/>
      <c r="CP77" s="348"/>
      <c r="CQ77" s="348"/>
      <c r="CR77" s="348"/>
    </row>
    <row r="78" spans="25:96" x14ac:dyDescent="0.25">
      <c r="Y78" s="348"/>
      <c r="Z78" s="348"/>
      <c r="AA78" s="348"/>
      <c r="AB78" s="348"/>
      <c r="AC78" s="348"/>
      <c r="AD78" s="348"/>
      <c r="AE78" s="348"/>
      <c r="AF78" s="348"/>
      <c r="AG78" s="348"/>
      <c r="AH78" s="348"/>
      <c r="AI78" s="348"/>
      <c r="AJ78" s="348"/>
      <c r="AK78" s="348"/>
      <c r="AL78" s="348"/>
      <c r="AM78" s="348"/>
      <c r="AN78" s="348"/>
      <c r="AO78" s="348"/>
      <c r="AP78" s="348"/>
      <c r="AQ78" s="348"/>
      <c r="AR78" s="348"/>
      <c r="AS78" s="348"/>
      <c r="AT78" s="348"/>
      <c r="AU78" s="348"/>
      <c r="AV78" s="348"/>
      <c r="AW78" s="348"/>
      <c r="AX78" s="348"/>
      <c r="AY78" s="348"/>
      <c r="AZ78" s="348"/>
      <c r="BA78" s="348"/>
      <c r="BB78" s="348"/>
      <c r="BC78" s="348"/>
      <c r="BD78" s="348"/>
      <c r="BE78" s="348"/>
      <c r="BF78" s="348"/>
      <c r="BG78" s="348"/>
      <c r="BH78" s="348"/>
      <c r="BI78" s="348"/>
      <c r="BJ78" s="348"/>
      <c r="BK78" s="348"/>
      <c r="BL78" s="348"/>
      <c r="BM78" s="348"/>
      <c r="BN78" s="348"/>
      <c r="BO78" s="348"/>
      <c r="BP78" s="348"/>
      <c r="BQ78" s="348"/>
      <c r="BR78" s="348"/>
      <c r="BS78" s="348"/>
      <c r="BT78" s="348"/>
      <c r="BU78" s="348"/>
      <c r="BV78" s="348"/>
      <c r="BW78" s="348"/>
      <c r="BX78" s="348"/>
      <c r="BY78" s="348"/>
      <c r="BZ78" s="348"/>
      <c r="CA78" s="348"/>
      <c r="CB78" s="348"/>
      <c r="CC78" s="348"/>
      <c r="CD78" s="348"/>
      <c r="CE78" s="348"/>
      <c r="CF78" s="348"/>
      <c r="CG78" s="348"/>
      <c r="CH78" s="348"/>
      <c r="CI78" s="348"/>
      <c r="CJ78" s="348"/>
      <c r="CK78" s="348"/>
      <c r="CL78" s="348"/>
      <c r="CM78" s="348"/>
      <c r="CN78" s="348"/>
      <c r="CO78" s="348"/>
      <c r="CP78" s="348"/>
      <c r="CQ78" s="348"/>
      <c r="CR78" s="348"/>
    </row>
    <row r="79" spans="25:96" x14ac:dyDescent="0.25">
      <c r="Y79" s="348"/>
      <c r="Z79" s="348"/>
      <c r="AA79" s="348"/>
      <c r="AB79" s="348"/>
      <c r="AC79" s="348"/>
      <c r="AD79" s="348"/>
      <c r="AE79" s="348"/>
      <c r="AF79" s="348"/>
      <c r="AG79" s="348"/>
      <c r="AH79" s="348"/>
      <c r="AI79" s="348"/>
      <c r="AJ79" s="348"/>
      <c r="AK79" s="348"/>
      <c r="AL79" s="348"/>
      <c r="AM79" s="348"/>
      <c r="AN79" s="348"/>
      <c r="AO79" s="348"/>
      <c r="AP79" s="348"/>
      <c r="AQ79" s="348"/>
      <c r="AR79" s="348"/>
      <c r="AS79" s="348"/>
      <c r="AT79" s="348"/>
      <c r="AU79" s="348"/>
      <c r="AV79" s="348"/>
      <c r="AW79" s="348"/>
      <c r="AX79" s="348"/>
      <c r="AY79" s="348"/>
      <c r="AZ79" s="348"/>
      <c r="BA79" s="348"/>
      <c r="BB79" s="348"/>
      <c r="BC79" s="348"/>
      <c r="BD79" s="348"/>
      <c r="BE79" s="348"/>
      <c r="BF79" s="348"/>
      <c r="BG79" s="348"/>
      <c r="BH79" s="348"/>
      <c r="BI79" s="348"/>
      <c r="BJ79" s="348"/>
      <c r="BK79" s="348"/>
      <c r="BL79" s="348"/>
      <c r="BM79" s="348"/>
      <c r="BN79" s="348"/>
      <c r="BO79" s="348"/>
      <c r="BP79" s="348"/>
      <c r="BQ79" s="348"/>
      <c r="BR79" s="348"/>
      <c r="BS79" s="348"/>
      <c r="BT79" s="348"/>
      <c r="BU79" s="348"/>
      <c r="BV79" s="348"/>
      <c r="BW79" s="348"/>
      <c r="BX79" s="348"/>
      <c r="BY79" s="348"/>
      <c r="BZ79" s="348"/>
      <c r="CA79" s="348"/>
      <c r="CB79" s="348"/>
      <c r="CC79" s="348"/>
      <c r="CD79" s="348"/>
      <c r="CE79" s="348"/>
      <c r="CF79" s="348"/>
      <c r="CG79" s="348"/>
      <c r="CH79" s="348"/>
      <c r="CI79" s="348"/>
      <c r="CJ79" s="348"/>
      <c r="CK79" s="348"/>
      <c r="CL79" s="348"/>
      <c r="CM79" s="348"/>
      <c r="CN79" s="348"/>
      <c r="CO79" s="348"/>
      <c r="CP79" s="348"/>
      <c r="CQ79" s="348"/>
      <c r="CR79" s="348"/>
    </row>
    <row r="80" spans="25:96" x14ac:dyDescent="0.25">
      <c r="Y80" s="348"/>
      <c r="Z80" s="348"/>
      <c r="AA80" s="348"/>
      <c r="AB80" s="348"/>
      <c r="AC80" s="348"/>
      <c r="AD80" s="348"/>
      <c r="AE80" s="348"/>
      <c r="AF80" s="348"/>
      <c r="AG80" s="348"/>
      <c r="AH80" s="348"/>
      <c r="AI80" s="348"/>
      <c r="AJ80" s="348"/>
      <c r="AK80" s="348"/>
      <c r="AL80" s="348"/>
      <c r="AM80" s="348"/>
      <c r="AN80" s="348"/>
      <c r="AO80" s="348"/>
      <c r="AP80" s="348"/>
      <c r="AQ80" s="348"/>
      <c r="AR80" s="348"/>
      <c r="AS80" s="348"/>
      <c r="AT80" s="348"/>
      <c r="AU80" s="348"/>
      <c r="AV80" s="348"/>
      <c r="AW80" s="348"/>
      <c r="AX80" s="348"/>
      <c r="AY80" s="348"/>
      <c r="AZ80" s="348"/>
      <c r="BA80" s="348"/>
      <c r="BB80" s="348"/>
      <c r="BC80" s="348"/>
      <c r="BD80" s="348"/>
      <c r="BE80" s="348"/>
      <c r="BF80" s="348"/>
      <c r="BG80" s="348"/>
      <c r="BH80" s="348"/>
      <c r="BI80" s="348"/>
      <c r="BJ80" s="348"/>
      <c r="BK80" s="348"/>
      <c r="BL80" s="348"/>
      <c r="BM80" s="348"/>
      <c r="BN80" s="348"/>
      <c r="BO80" s="348"/>
      <c r="BP80" s="348"/>
      <c r="BQ80" s="348"/>
      <c r="BR80" s="348"/>
      <c r="BS80" s="348"/>
      <c r="BT80" s="348"/>
      <c r="BU80" s="348"/>
      <c r="BV80" s="348"/>
      <c r="BW80" s="348"/>
      <c r="BX80" s="348"/>
      <c r="BY80" s="348"/>
      <c r="BZ80" s="348"/>
      <c r="CA80" s="348"/>
      <c r="CB80" s="348"/>
      <c r="CC80" s="348"/>
      <c r="CD80" s="348"/>
      <c r="CE80" s="348"/>
      <c r="CF80" s="348"/>
      <c r="CG80" s="348"/>
      <c r="CH80" s="348"/>
      <c r="CI80" s="348"/>
      <c r="CJ80" s="348"/>
      <c r="CK80" s="348"/>
      <c r="CL80" s="348"/>
      <c r="CM80" s="348"/>
      <c r="CN80" s="348"/>
      <c r="CO80" s="348"/>
      <c r="CP80" s="348"/>
      <c r="CQ80" s="348"/>
      <c r="CR80" s="348"/>
    </row>
    <row r="81" spans="25:96" x14ac:dyDescent="0.25">
      <c r="Y81" s="348"/>
      <c r="Z81" s="348"/>
      <c r="AA81" s="348"/>
      <c r="AB81" s="348"/>
      <c r="AC81" s="348"/>
      <c r="AD81" s="348"/>
      <c r="AE81" s="348"/>
      <c r="AF81" s="348"/>
      <c r="AG81" s="348"/>
      <c r="AH81" s="348"/>
      <c r="AI81" s="348"/>
      <c r="AJ81" s="348"/>
      <c r="AK81" s="348"/>
      <c r="AL81" s="348"/>
      <c r="AM81" s="348"/>
      <c r="AN81" s="348"/>
      <c r="AO81" s="348"/>
      <c r="AP81" s="348"/>
      <c r="AQ81" s="348"/>
      <c r="AR81" s="348"/>
      <c r="AS81" s="348"/>
      <c r="AT81" s="348"/>
      <c r="AU81" s="348"/>
      <c r="AV81" s="348"/>
      <c r="AW81" s="348"/>
      <c r="AX81" s="348"/>
      <c r="AY81" s="348"/>
      <c r="AZ81" s="348"/>
      <c r="BA81" s="348"/>
      <c r="BB81" s="348"/>
      <c r="BC81" s="348"/>
      <c r="BD81" s="348"/>
      <c r="BE81" s="348"/>
      <c r="BF81" s="348"/>
      <c r="BG81" s="348"/>
      <c r="BH81" s="348"/>
      <c r="BI81" s="348"/>
      <c r="BJ81" s="348"/>
      <c r="BK81" s="348"/>
      <c r="BL81" s="348"/>
      <c r="BM81" s="348"/>
      <c r="BN81" s="348"/>
      <c r="BO81" s="348"/>
      <c r="BP81" s="348"/>
      <c r="BQ81" s="348"/>
      <c r="BR81" s="348"/>
      <c r="BS81" s="348"/>
      <c r="BT81" s="348"/>
      <c r="BU81" s="348"/>
      <c r="BV81" s="348"/>
      <c r="BW81" s="348"/>
      <c r="BX81" s="348"/>
      <c r="BY81" s="348"/>
      <c r="BZ81" s="348"/>
      <c r="CA81" s="348"/>
      <c r="CB81" s="348"/>
      <c r="CC81" s="348"/>
      <c r="CD81" s="348"/>
      <c r="CE81" s="348"/>
      <c r="CF81" s="348"/>
      <c r="CG81" s="348"/>
      <c r="CH81" s="348"/>
      <c r="CI81" s="348"/>
      <c r="CJ81" s="348"/>
      <c r="CK81" s="348"/>
      <c r="CL81" s="348"/>
      <c r="CM81" s="348"/>
      <c r="CN81" s="348"/>
      <c r="CO81" s="348"/>
      <c r="CP81" s="348"/>
      <c r="CQ81" s="348"/>
      <c r="CR81" s="348"/>
    </row>
    <row r="82" spans="25:96" x14ac:dyDescent="0.25">
      <c r="Y82" s="348"/>
      <c r="Z82" s="348"/>
      <c r="AA82" s="348"/>
      <c r="AB82" s="348"/>
      <c r="AC82" s="348"/>
      <c r="AD82" s="348"/>
      <c r="AE82" s="348"/>
      <c r="AF82" s="348"/>
      <c r="AG82" s="348"/>
      <c r="AH82" s="348"/>
      <c r="AI82" s="348"/>
      <c r="AJ82" s="348"/>
      <c r="AK82" s="348"/>
      <c r="AL82" s="348"/>
      <c r="AM82" s="348"/>
      <c r="AN82" s="348"/>
      <c r="AO82" s="348"/>
      <c r="AP82" s="348"/>
      <c r="AQ82" s="348"/>
      <c r="AR82" s="348"/>
      <c r="AS82" s="348"/>
      <c r="AT82" s="348"/>
      <c r="AU82" s="348"/>
      <c r="AV82" s="348"/>
      <c r="AW82" s="348"/>
      <c r="AX82" s="348"/>
      <c r="AY82" s="348"/>
      <c r="AZ82" s="348"/>
      <c r="BA82" s="348"/>
      <c r="BB82" s="348"/>
      <c r="BC82" s="348"/>
      <c r="BD82" s="348"/>
      <c r="BE82" s="348"/>
      <c r="BF82" s="348"/>
      <c r="BG82" s="348"/>
      <c r="BH82" s="348"/>
      <c r="BI82" s="348"/>
      <c r="BJ82" s="348"/>
      <c r="BK82" s="348"/>
      <c r="BL82" s="348"/>
      <c r="BM82" s="348"/>
      <c r="BN82" s="348"/>
      <c r="BO82" s="348"/>
      <c r="BP82" s="348"/>
      <c r="BQ82" s="348"/>
      <c r="BR82" s="348"/>
      <c r="BS82" s="348"/>
      <c r="BT82" s="348"/>
      <c r="BU82" s="348"/>
      <c r="BV82" s="348"/>
      <c r="BW82" s="348"/>
      <c r="BX82" s="348"/>
      <c r="BY82" s="348"/>
      <c r="BZ82" s="348"/>
      <c r="CA82" s="348"/>
      <c r="CB82" s="348"/>
      <c r="CC82" s="348"/>
      <c r="CD82" s="348"/>
      <c r="CE82" s="348"/>
      <c r="CF82" s="348"/>
      <c r="CG82" s="348"/>
      <c r="CH82" s="348"/>
      <c r="CI82" s="348"/>
      <c r="CJ82" s="348"/>
      <c r="CK82" s="348"/>
      <c r="CL82" s="348"/>
      <c r="CM82" s="348"/>
      <c r="CN82" s="348"/>
      <c r="CO82" s="348"/>
      <c r="CP82" s="348"/>
      <c r="CQ82" s="348"/>
      <c r="CR82" s="348"/>
    </row>
    <row r="83" spans="25:96" x14ac:dyDescent="0.25">
      <c r="Y83" s="348"/>
      <c r="Z83" s="348"/>
      <c r="AA83" s="348"/>
      <c r="AB83" s="348"/>
      <c r="AC83" s="348"/>
      <c r="AD83" s="348"/>
      <c r="AE83" s="348"/>
      <c r="AF83" s="348"/>
      <c r="AG83" s="348"/>
      <c r="AH83" s="348"/>
      <c r="AI83" s="348"/>
      <c r="AJ83" s="348"/>
      <c r="AK83" s="348"/>
      <c r="AL83" s="348"/>
      <c r="AM83" s="348"/>
      <c r="AN83" s="348"/>
      <c r="AO83" s="348"/>
      <c r="AP83" s="348"/>
      <c r="AQ83" s="348"/>
      <c r="AR83" s="348"/>
      <c r="AS83" s="348"/>
      <c r="AT83" s="348"/>
      <c r="AU83" s="348"/>
      <c r="AV83" s="348"/>
      <c r="AW83" s="348"/>
      <c r="AX83" s="348"/>
      <c r="AY83" s="348"/>
      <c r="AZ83" s="348"/>
      <c r="BA83" s="348"/>
      <c r="BB83" s="348"/>
      <c r="BC83" s="348"/>
      <c r="BD83" s="348"/>
      <c r="BE83" s="348"/>
      <c r="BF83" s="348"/>
      <c r="BG83" s="348"/>
      <c r="BH83" s="348"/>
      <c r="BI83" s="348"/>
      <c r="BJ83" s="348"/>
      <c r="BK83" s="348"/>
      <c r="BL83" s="348"/>
      <c r="BM83" s="348"/>
      <c r="BN83" s="348"/>
      <c r="BO83" s="348"/>
      <c r="BP83" s="348"/>
      <c r="BQ83" s="348"/>
      <c r="BR83" s="348"/>
      <c r="BS83" s="348"/>
      <c r="BT83" s="348"/>
      <c r="BU83" s="348"/>
      <c r="BV83" s="348"/>
      <c r="BW83" s="348"/>
      <c r="BX83" s="348"/>
      <c r="BY83" s="348"/>
      <c r="BZ83" s="348"/>
      <c r="CA83" s="348"/>
      <c r="CB83" s="348"/>
      <c r="CC83" s="348"/>
      <c r="CD83" s="348"/>
      <c r="CE83" s="348"/>
      <c r="CF83" s="348"/>
      <c r="CG83" s="348"/>
      <c r="CH83" s="348"/>
      <c r="CI83" s="348"/>
      <c r="CJ83" s="348"/>
      <c r="CK83" s="348"/>
      <c r="CL83" s="348"/>
      <c r="CM83" s="348"/>
      <c r="CN83" s="348"/>
      <c r="CO83" s="348"/>
      <c r="CP83" s="348"/>
      <c r="CQ83" s="348"/>
      <c r="CR83" s="348"/>
    </row>
    <row r="84" spans="25:96" x14ac:dyDescent="0.25">
      <c r="Y84" s="348"/>
      <c r="Z84" s="348"/>
      <c r="AA84" s="348"/>
      <c r="AB84" s="348"/>
      <c r="AC84" s="348"/>
      <c r="AD84" s="348"/>
      <c r="AE84" s="348"/>
      <c r="AF84" s="348"/>
      <c r="AG84" s="348"/>
      <c r="AH84" s="348"/>
      <c r="AI84" s="348"/>
      <c r="AJ84" s="348"/>
      <c r="AK84" s="348"/>
      <c r="AL84" s="348"/>
      <c r="AM84" s="348"/>
      <c r="AN84" s="348"/>
      <c r="AO84" s="348"/>
      <c r="AP84" s="348"/>
      <c r="AQ84" s="348"/>
      <c r="AR84" s="348"/>
      <c r="AS84" s="348"/>
      <c r="AT84" s="348"/>
      <c r="AU84" s="348"/>
      <c r="AV84" s="348"/>
      <c r="AW84" s="348"/>
      <c r="AX84" s="348"/>
      <c r="AY84" s="348"/>
      <c r="AZ84" s="348"/>
      <c r="BA84" s="348"/>
      <c r="BB84" s="348"/>
      <c r="BC84" s="348"/>
      <c r="BD84" s="348"/>
      <c r="BE84" s="348"/>
      <c r="BF84" s="348"/>
      <c r="BG84" s="348"/>
      <c r="BH84" s="348"/>
      <c r="BI84" s="348"/>
      <c r="BJ84" s="348"/>
      <c r="BK84" s="348"/>
      <c r="BL84" s="348"/>
      <c r="BM84" s="348"/>
      <c r="BN84" s="348"/>
      <c r="BO84" s="348"/>
      <c r="BP84" s="348"/>
      <c r="BQ84" s="348"/>
      <c r="BR84" s="348"/>
      <c r="BS84" s="348"/>
      <c r="BT84" s="348"/>
      <c r="BU84" s="348"/>
      <c r="BV84" s="348"/>
      <c r="BW84" s="348"/>
      <c r="BX84" s="348"/>
      <c r="BY84" s="348"/>
      <c r="BZ84" s="348"/>
      <c r="CA84" s="348"/>
      <c r="CB84" s="348"/>
      <c r="CC84" s="348"/>
      <c r="CD84" s="348"/>
      <c r="CE84" s="348"/>
      <c r="CF84" s="348"/>
      <c r="CG84" s="348"/>
      <c r="CH84" s="348"/>
      <c r="CI84" s="348"/>
      <c r="CJ84" s="348"/>
      <c r="CK84" s="348"/>
      <c r="CL84" s="348"/>
      <c r="CM84" s="348"/>
      <c r="CN84" s="348"/>
      <c r="CO84" s="348"/>
      <c r="CP84" s="348"/>
      <c r="CQ84" s="348"/>
      <c r="CR84" s="348"/>
    </row>
    <row r="85" spans="25:96" x14ac:dyDescent="0.25">
      <c r="Y85" s="348"/>
      <c r="Z85" s="348"/>
      <c r="AA85" s="348"/>
      <c r="AB85" s="348"/>
      <c r="AC85" s="348"/>
      <c r="AD85" s="348"/>
      <c r="AE85" s="348"/>
      <c r="AF85" s="348"/>
      <c r="AG85" s="348"/>
      <c r="AH85" s="348"/>
      <c r="AI85" s="348"/>
      <c r="AJ85" s="348"/>
      <c r="AK85" s="348"/>
      <c r="AL85" s="348"/>
      <c r="AM85" s="348"/>
      <c r="AN85" s="348"/>
      <c r="AO85" s="348"/>
      <c r="AP85" s="348"/>
      <c r="AQ85" s="348"/>
      <c r="AR85" s="348"/>
      <c r="AS85" s="348"/>
      <c r="AT85" s="348"/>
      <c r="AU85" s="348"/>
      <c r="AV85" s="348"/>
      <c r="AW85" s="348"/>
      <c r="AX85" s="348"/>
      <c r="AY85" s="348"/>
      <c r="AZ85" s="348"/>
      <c r="BA85" s="348"/>
      <c r="BB85" s="348"/>
      <c r="BC85" s="348"/>
      <c r="BD85" s="348"/>
      <c r="BE85" s="348"/>
      <c r="BF85" s="348"/>
      <c r="BG85" s="348"/>
      <c r="BH85" s="348"/>
      <c r="BI85" s="348"/>
      <c r="BJ85" s="348"/>
      <c r="BK85" s="348"/>
      <c r="BL85" s="348"/>
      <c r="BM85" s="348"/>
      <c r="BN85" s="348"/>
      <c r="BO85" s="348"/>
      <c r="BP85" s="348"/>
      <c r="BQ85" s="348"/>
      <c r="BR85" s="348"/>
      <c r="BS85" s="348"/>
      <c r="BT85" s="348"/>
      <c r="BU85" s="348"/>
      <c r="BV85" s="348"/>
      <c r="BW85" s="348"/>
      <c r="BX85" s="348"/>
      <c r="BY85" s="348"/>
      <c r="BZ85" s="348"/>
      <c r="CA85" s="348"/>
      <c r="CB85" s="348"/>
      <c r="CC85" s="348"/>
      <c r="CD85" s="348"/>
      <c r="CE85" s="348"/>
      <c r="CF85" s="348"/>
      <c r="CG85" s="348"/>
      <c r="CH85" s="348"/>
      <c r="CI85" s="348"/>
      <c r="CJ85" s="348"/>
      <c r="CK85" s="348"/>
      <c r="CL85" s="348"/>
      <c r="CM85" s="348"/>
      <c r="CN85" s="348"/>
      <c r="CO85" s="348"/>
      <c r="CP85" s="348"/>
      <c r="CQ85" s="348"/>
      <c r="CR85" s="348"/>
    </row>
    <row r="86" spans="25:96" x14ac:dyDescent="0.25">
      <c r="Y86" s="348"/>
      <c r="Z86" s="348"/>
      <c r="AA86" s="348"/>
      <c r="AB86" s="348"/>
      <c r="AC86" s="348"/>
      <c r="AD86" s="348"/>
      <c r="AE86" s="348"/>
      <c r="AF86" s="348"/>
      <c r="AG86" s="348"/>
      <c r="AH86" s="348"/>
      <c r="AI86" s="348"/>
      <c r="AJ86" s="348"/>
      <c r="AK86" s="348"/>
      <c r="AL86" s="348"/>
      <c r="AM86" s="348"/>
      <c r="AN86" s="348"/>
      <c r="AO86" s="348"/>
      <c r="AP86" s="348"/>
      <c r="AQ86" s="348"/>
      <c r="AR86" s="348"/>
      <c r="AS86" s="348"/>
      <c r="AT86" s="348"/>
      <c r="AU86" s="348"/>
      <c r="AV86" s="348"/>
      <c r="AW86" s="348"/>
      <c r="AX86" s="348"/>
      <c r="AY86" s="348"/>
      <c r="AZ86" s="348"/>
      <c r="BA86" s="348"/>
      <c r="BB86" s="348"/>
      <c r="BC86" s="348"/>
      <c r="BD86" s="348"/>
      <c r="BE86" s="348"/>
      <c r="BF86" s="348"/>
      <c r="BG86" s="348"/>
      <c r="BH86" s="348"/>
      <c r="BI86" s="348"/>
      <c r="BJ86" s="348"/>
      <c r="BK86" s="348"/>
      <c r="BL86" s="348"/>
      <c r="BM86" s="348"/>
      <c r="BN86" s="348"/>
      <c r="BO86" s="348"/>
      <c r="BP86" s="348"/>
      <c r="BQ86" s="348"/>
      <c r="BR86" s="348"/>
      <c r="BS86" s="348"/>
      <c r="BT86" s="348"/>
      <c r="BU86" s="348"/>
      <c r="BV86" s="348"/>
      <c r="BW86" s="348"/>
      <c r="BX86" s="348"/>
      <c r="BY86" s="348"/>
      <c r="BZ86" s="348"/>
      <c r="CA86" s="348"/>
      <c r="CB86" s="348"/>
      <c r="CC86" s="348"/>
      <c r="CD86" s="348"/>
      <c r="CE86" s="348"/>
      <c r="CF86" s="348"/>
      <c r="CG86" s="348"/>
      <c r="CH86" s="348"/>
      <c r="CI86" s="348"/>
      <c r="CJ86" s="348"/>
      <c r="CK86" s="348"/>
      <c r="CL86" s="348"/>
      <c r="CM86" s="348"/>
      <c r="CN86" s="348"/>
      <c r="CO86" s="348"/>
      <c r="CP86" s="348"/>
      <c r="CQ86" s="348"/>
      <c r="CR86" s="348"/>
    </row>
    <row r="87" spans="25:96" x14ac:dyDescent="0.25">
      <c r="Y87" s="348"/>
      <c r="Z87" s="348"/>
      <c r="AA87" s="348"/>
      <c r="AB87" s="348"/>
      <c r="AC87" s="348"/>
      <c r="AD87" s="348"/>
      <c r="AE87" s="348"/>
      <c r="AF87" s="348"/>
      <c r="AG87" s="348"/>
      <c r="AH87" s="348"/>
      <c r="AI87" s="348"/>
      <c r="AJ87" s="348"/>
      <c r="AK87" s="348"/>
      <c r="AL87" s="348"/>
      <c r="AM87" s="348"/>
      <c r="AN87" s="348"/>
      <c r="AO87" s="348"/>
      <c r="AP87" s="348"/>
      <c r="AQ87" s="348"/>
      <c r="AR87" s="348"/>
      <c r="AS87" s="348"/>
      <c r="AT87" s="348"/>
      <c r="AU87" s="348"/>
      <c r="AV87" s="348"/>
      <c r="AW87" s="348"/>
      <c r="AX87" s="348"/>
      <c r="AY87" s="348"/>
      <c r="AZ87" s="348"/>
      <c r="BA87" s="348"/>
      <c r="BB87" s="348"/>
      <c r="BC87" s="348"/>
      <c r="BD87" s="348"/>
      <c r="BE87" s="348"/>
      <c r="BF87" s="348"/>
      <c r="BG87" s="348"/>
      <c r="BH87" s="348"/>
      <c r="BI87" s="348"/>
      <c r="BJ87" s="348"/>
      <c r="BK87" s="348"/>
      <c r="BL87" s="348"/>
      <c r="BM87" s="348"/>
      <c r="BN87" s="348"/>
      <c r="BO87" s="348"/>
      <c r="BP87" s="348"/>
      <c r="BQ87" s="348"/>
      <c r="BR87" s="348"/>
      <c r="BS87" s="348"/>
      <c r="BT87" s="348"/>
      <c r="BU87" s="348"/>
      <c r="BV87" s="348"/>
      <c r="BW87" s="348"/>
      <c r="BX87" s="348"/>
      <c r="BY87" s="348"/>
      <c r="BZ87" s="348"/>
      <c r="CA87" s="348"/>
      <c r="CB87" s="348"/>
      <c r="CC87" s="348"/>
      <c r="CD87" s="348"/>
      <c r="CE87" s="348"/>
      <c r="CF87" s="348"/>
      <c r="CG87" s="348"/>
      <c r="CH87" s="348"/>
      <c r="CI87" s="348"/>
      <c r="CJ87" s="348"/>
      <c r="CK87" s="348"/>
      <c r="CL87" s="348"/>
      <c r="CM87" s="348"/>
      <c r="CN87" s="348"/>
      <c r="CO87" s="348"/>
      <c r="CP87" s="348"/>
      <c r="CQ87" s="348"/>
      <c r="CR87" s="348"/>
    </row>
    <row r="88" spans="25:96" x14ac:dyDescent="0.25">
      <c r="Y88" s="348"/>
      <c r="Z88" s="348"/>
      <c r="AA88" s="348"/>
      <c r="AB88" s="348"/>
      <c r="AC88" s="348"/>
      <c r="AD88" s="348"/>
      <c r="AE88" s="348"/>
      <c r="AF88" s="348"/>
      <c r="AG88" s="348"/>
      <c r="AH88" s="348"/>
      <c r="AI88" s="348"/>
      <c r="AJ88" s="348"/>
      <c r="AK88" s="348"/>
      <c r="AL88" s="348"/>
      <c r="AM88" s="348"/>
      <c r="AN88" s="348"/>
      <c r="AO88" s="348"/>
      <c r="AP88" s="348"/>
      <c r="AQ88" s="348"/>
      <c r="AR88" s="348"/>
      <c r="AS88" s="348"/>
      <c r="AT88" s="348"/>
      <c r="AU88" s="348"/>
      <c r="AV88" s="348"/>
      <c r="AW88" s="348"/>
      <c r="AX88" s="348"/>
      <c r="AY88" s="348"/>
      <c r="AZ88" s="348"/>
      <c r="BA88" s="348"/>
      <c r="BB88" s="348"/>
      <c r="BC88" s="348"/>
      <c r="BD88" s="348"/>
      <c r="BE88" s="348"/>
      <c r="BF88" s="348"/>
      <c r="BG88" s="348"/>
      <c r="BH88" s="348"/>
      <c r="BI88" s="348"/>
      <c r="BJ88" s="348"/>
      <c r="BK88" s="348"/>
      <c r="BL88" s="348"/>
      <c r="BM88" s="348"/>
      <c r="BN88" s="348"/>
      <c r="BO88" s="348"/>
      <c r="BP88" s="348"/>
      <c r="BQ88" s="348"/>
      <c r="BR88" s="348"/>
      <c r="BS88" s="348"/>
      <c r="BT88" s="348"/>
      <c r="BU88" s="348"/>
      <c r="BV88" s="348"/>
      <c r="BW88" s="348"/>
      <c r="BX88" s="348"/>
      <c r="BY88" s="348"/>
      <c r="BZ88" s="348"/>
      <c r="CA88" s="348"/>
      <c r="CB88" s="348"/>
      <c r="CC88" s="348"/>
      <c r="CD88" s="348"/>
      <c r="CE88" s="348"/>
      <c r="CF88" s="348"/>
      <c r="CG88" s="348"/>
      <c r="CH88" s="348"/>
      <c r="CI88" s="348"/>
      <c r="CJ88" s="348"/>
      <c r="CK88" s="348"/>
      <c r="CL88" s="348"/>
      <c r="CM88" s="348"/>
      <c r="CN88" s="348"/>
      <c r="CO88" s="348"/>
      <c r="CP88" s="348"/>
      <c r="CQ88" s="348"/>
      <c r="CR88" s="348"/>
    </row>
    <row r="89" spans="25:96" x14ac:dyDescent="0.25">
      <c r="Y89" s="348"/>
      <c r="Z89" s="348"/>
      <c r="AA89" s="348"/>
      <c r="AB89" s="348"/>
      <c r="AC89" s="348"/>
      <c r="AD89" s="348"/>
      <c r="AE89" s="348"/>
      <c r="AF89" s="348"/>
      <c r="AG89" s="348"/>
      <c r="AH89" s="348"/>
      <c r="AI89" s="348"/>
      <c r="AJ89" s="348"/>
      <c r="AK89" s="348"/>
      <c r="AL89" s="348"/>
      <c r="AM89" s="348"/>
      <c r="AN89" s="348"/>
      <c r="AO89" s="348"/>
      <c r="AP89" s="348"/>
      <c r="AQ89" s="348"/>
      <c r="AR89" s="348"/>
      <c r="AS89" s="348"/>
      <c r="AT89" s="348"/>
      <c r="AU89" s="348"/>
      <c r="AV89" s="348"/>
      <c r="AW89" s="348"/>
      <c r="AX89" s="348"/>
      <c r="AY89" s="348"/>
      <c r="AZ89" s="348"/>
      <c r="BA89" s="348"/>
      <c r="BB89" s="348"/>
      <c r="BC89" s="348"/>
      <c r="BD89" s="348"/>
      <c r="BE89" s="348"/>
      <c r="BF89" s="348"/>
      <c r="BG89" s="348"/>
      <c r="BH89" s="348"/>
      <c r="BI89" s="348"/>
      <c r="BJ89" s="348"/>
      <c r="BK89" s="348"/>
      <c r="BL89" s="348"/>
      <c r="BM89" s="348"/>
      <c r="BN89" s="348"/>
      <c r="BO89" s="348"/>
      <c r="BP89" s="348"/>
      <c r="BQ89" s="348"/>
      <c r="BR89" s="348"/>
      <c r="BS89" s="348"/>
      <c r="BT89" s="348"/>
      <c r="BU89" s="348"/>
      <c r="BV89" s="348"/>
      <c r="BW89" s="348"/>
      <c r="BX89" s="348"/>
      <c r="BY89" s="348"/>
      <c r="BZ89" s="348"/>
      <c r="CA89" s="348"/>
      <c r="CB89" s="348"/>
      <c r="CC89" s="348"/>
      <c r="CD89" s="348"/>
      <c r="CE89" s="348"/>
      <c r="CF89" s="348"/>
      <c r="CG89" s="348"/>
      <c r="CH89" s="348"/>
      <c r="CI89" s="348"/>
      <c r="CJ89" s="348"/>
      <c r="CK89" s="348"/>
      <c r="CL89" s="348"/>
      <c r="CM89" s="348"/>
      <c r="CN89" s="348"/>
      <c r="CO89" s="348"/>
      <c r="CP89" s="348"/>
      <c r="CQ89" s="348"/>
      <c r="CR89" s="348"/>
    </row>
    <row r="90" spans="25:96" x14ac:dyDescent="0.25">
      <c r="Y90" s="348"/>
      <c r="Z90" s="348"/>
      <c r="AA90" s="348"/>
      <c r="AB90" s="348"/>
      <c r="AC90" s="348"/>
      <c r="AD90" s="348"/>
      <c r="AE90" s="348"/>
      <c r="AF90" s="348"/>
      <c r="AG90" s="348"/>
      <c r="AH90" s="348"/>
      <c r="AI90" s="348"/>
      <c r="AJ90" s="348"/>
      <c r="AK90" s="348"/>
      <c r="AL90" s="348"/>
      <c r="AM90" s="348"/>
      <c r="AN90" s="348"/>
      <c r="AO90" s="348"/>
      <c r="AP90" s="348"/>
      <c r="AQ90" s="348"/>
      <c r="AR90" s="348"/>
      <c r="AS90" s="348"/>
      <c r="AT90" s="348"/>
      <c r="AU90" s="348"/>
      <c r="AV90" s="348"/>
      <c r="AW90" s="348"/>
      <c r="AX90" s="348"/>
      <c r="AY90" s="348"/>
      <c r="AZ90" s="348"/>
      <c r="BA90" s="348"/>
      <c r="BB90" s="348"/>
      <c r="BC90" s="348"/>
      <c r="BD90" s="348"/>
      <c r="BE90" s="348"/>
      <c r="BF90" s="348"/>
      <c r="BG90" s="348"/>
      <c r="BH90" s="348"/>
      <c r="BI90" s="348"/>
      <c r="BJ90" s="348"/>
      <c r="BK90" s="348"/>
      <c r="BL90" s="348"/>
      <c r="BM90" s="348"/>
      <c r="BN90" s="348"/>
      <c r="BO90" s="348"/>
      <c r="BP90" s="348"/>
      <c r="BQ90" s="348"/>
      <c r="BR90" s="348"/>
      <c r="BS90" s="348"/>
      <c r="BT90" s="348"/>
      <c r="BU90" s="348"/>
      <c r="BV90" s="348"/>
      <c r="BW90" s="348"/>
      <c r="BX90" s="348"/>
      <c r="BY90" s="348"/>
      <c r="BZ90" s="348"/>
      <c r="CA90" s="348"/>
      <c r="CB90" s="348"/>
      <c r="CC90" s="348"/>
      <c r="CD90" s="348"/>
      <c r="CE90" s="348"/>
      <c r="CF90" s="348"/>
      <c r="CG90" s="348"/>
      <c r="CH90" s="348"/>
      <c r="CI90" s="348"/>
      <c r="CJ90" s="348"/>
      <c r="CK90" s="348"/>
      <c r="CL90" s="348"/>
      <c r="CM90" s="348"/>
      <c r="CN90" s="348"/>
      <c r="CO90" s="348"/>
      <c r="CP90" s="348"/>
      <c r="CQ90" s="348"/>
      <c r="CR90" s="348"/>
    </row>
    <row r="91" spans="25:96" x14ac:dyDescent="0.25">
      <c r="Y91" s="348"/>
      <c r="Z91" s="348"/>
      <c r="AA91" s="348"/>
      <c r="AB91" s="348"/>
      <c r="AC91" s="348"/>
      <c r="AD91" s="348"/>
      <c r="AE91" s="348"/>
      <c r="AF91" s="348"/>
      <c r="AG91" s="348"/>
      <c r="AH91" s="348"/>
      <c r="AI91" s="348"/>
      <c r="AJ91" s="348"/>
      <c r="AK91" s="348"/>
      <c r="AL91" s="348"/>
      <c r="AM91" s="348"/>
      <c r="AN91" s="348"/>
      <c r="AO91" s="348"/>
      <c r="AP91" s="348"/>
      <c r="AQ91" s="348"/>
      <c r="AR91" s="348"/>
      <c r="AS91" s="348"/>
      <c r="AT91" s="348"/>
      <c r="AU91" s="348"/>
      <c r="AV91" s="348"/>
      <c r="AW91" s="348"/>
      <c r="AX91" s="348"/>
      <c r="AY91" s="348"/>
      <c r="AZ91" s="348"/>
      <c r="BA91" s="348"/>
      <c r="BB91" s="348"/>
      <c r="BC91" s="348"/>
      <c r="BD91" s="348"/>
      <c r="BE91" s="348"/>
      <c r="BF91" s="348"/>
      <c r="BG91" s="348"/>
      <c r="BH91" s="348"/>
      <c r="BI91" s="348"/>
      <c r="BJ91" s="348"/>
      <c r="BK91" s="348"/>
      <c r="BL91" s="348"/>
      <c r="BM91" s="348"/>
      <c r="BN91" s="348"/>
      <c r="BO91" s="348"/>
      <c r="BP91" s="348"/>
      <c r="BQ91" s="348"/>
      <c r="BR91" s="348"/>
      <c r="BS91" s="348"/>
      <c r="BT91" s="348"/>
      <c r="BU91" s="348"/>
      <c r="BV91" s="348"/>
      <c r="BW91" s="348"/>
      <c r="BX91" s="348"/>
      <c r="BY91" s="348"/>
      <c r="BZ91" s="348"/>
      <c r="CA91" s="348"/>
      <c r="CB91" s="348"/>
      <c r="CC91" s="348"/>
      <c r="CD91" s="348"/>
      <c r="CE91" s="348"/>
      <c r="CF91" s="348"/>
      <c r="CG91" s="348"/>
      <c r="CH91" s="348"/>
      <c r="CI91" s="348"/>
      <c r="CJ91" s="348"/>
      <c r="CK91" s="348"/>
      <c r="CL91" s="348"/>
      <c r="CM91" s="348"/>
      <c r="CN91" s="348"/>
      <c r="CO91" s="348"/>
      <c r="CP91" s="348"/>
      <c r="CQ91" s="348"/>
      <c r="CR91" s="348"/>
    </row>
    <row r="92" spans="25:96" x14ac:dyDescent="0.25">
      <c r="Y92" s="348"/>
      <c r="Z92" s="348"/>
      <c r="AA92" s="348"/>
      <c r="AB92" s="348"/>
      <c r="AC92" s="348"/>
      <c r="AD92" s="348"/>
      <c r="AE92" s="348"/>
      <c r="AF92" s="348"/>
      <c r="AG92" s="348"/>
      <c r="AH92" s="348"/>
      <c r="AI92" s="348"/>
      <c r="AJ92" s="348"/>
      <c r="AK92" s="348"/>
      <c r="AL92" s="348"/>
      <c r="AM92" s="348"/>
      <c r="AN92" s="348"/>
      <c r="AO92" s="348"/>
      <c r="AP92" s="348"/>
      <c r="AQ92" s="348"/>
      <c r="AR92" s="348"/>
      <c r="AS92" s="348"/>
      <c r="AT92" s="348"/>
      <c r="AU92" s="348"/>
      <c r="AV92" s="348"/>
      <c r="AW92" s="348"/>
      <c r="AX92" s="348"/>
      <c r="AY92" s="348"/>
      <c r="AZ92" s="348"/>
      <c r="BA92" s="348"/>
      <c r="BB92" s="348"/>
      <c r="BC92" s="348"/>
      <c r="BD92" s="348"/>
      <c r="BE92" s="348"/>
      <c r="BF92" s="348"/>
      <c r="BG92" s="348"/>
      <c r="BH92" s="348"/>
      <c r="BI92" s="348"/>
      <c r="BJ92" s="348"/>
      <c r="BK92" s="348"/>
      <c r="BL92" s="348"/>
      <c r="BM92" s="348"/>
      <c r="BN92" s="348"/>
      <c r="BO92" s="348"/>
      <c r="BP92" s="348"/>
      <c r="BQ92" s="348"/>
      <c r="BR92" s="348"/>
      <c r="BS92" s="348"/>
      <c r="BT92" s="348"/>
      <c r="BU92" s="348"/>
      <c r="BV92" s="348"/>
      <c r="BW92" s="348"/>
      <c r="BX92" s="348"/>
      <c r="BY92" s="348"/>
      <c r="BZ92" s="348"/>
      <c r="CA92" s="348"/>
      <c r="CB92" s="348"/>
      <c r="CC92" s="348"/>
      <c r="CD92" s="348"/>
      <c r="CE92" s="348"/>
      <c r="CF92" s="348"/>
      <c r="CG92" s="348"/>
      <c r="CH92" s="348"/>
      <c r="CI92" s="348"/>
      <c r="CJ92" s="348"/>
      <c r="CK92" s="348"/>
      <c r="CL92" s="348"/>
      <c r="CM92" s="348"/>
      <c r="CN92" s="348"/>
      <c r="CO92" s="348"/>
      <c r="CP92" s="348"/>
      <c r="CQ92" s="348"/>
      <c r="CR92" s="348"/>
    </row>
    <row r="93" spans="25:96" x14ac:dyDescent="0.25">
      <c r="Y93" s="348"/>
      <c r="Z93" s="348"/>
      <c r="AA93" s="348"/>
      <c r="AB93" s="348"/>
      <c r="AC93" s="348"/>
      <c r="AD93" s="348"/>
      <c r="AE93" s="348"/>
      <c r="AF93" s="348"/>
      <c r="AG93" s="348"/>
      <c r="AH93" s="348"/>
      <c r="AI93" s="348"/>
      <c r="AJ93" s="348"/>
      <c r="AK93" s="348"/>
      <c r="AL93" s="348"/>
      <c r="AM93" s="348"/>
      <c r="AN93" s="348"/>
      <c r="AO93" s="348"/>
      <c r="AP93" s="348"/>
      <c r="AQ93" s="348"/>
      <c r="AR93" s="348"/>
      <c r="AS93" s="348"/>
      <c r="AT93" s="348"/>
      <c r="AU93" s="348"/>
      <c r="AV93" s="348"/>
      <c r="AW93" s="348"/>
      <c r="AX93" s="348"/>
      <c r="AY93" s="348"/>
      <c r="AZ93" s="348"/>
      <c r="BA93" s="348"/>
      <c r="BB93" s="348"/>
      <c r="BC93" s="348"/>
      <c r="BD93" s="348"/>
      <c r="BE93" s="348"/>
      <c r="BF93" s="348"/>
      <c r="BG93" s="348"/>
      <c r="BH93" s="348"/>
      <c r="BI93" s="348"/>
      <c r="BJ93" s="348"/>
      <c r="BK93" s="348"/>
      <c r="BL93" s="348"/>
      <c r="BM93" s="348"/>
      <c r="BN93" s="348"/>
      <c r="BO93" s="348"/>
      <c r="BP93" s="348"/>
      <c r="BQ93" s="348"/>
      <c r="BR93" s="348"/>
      <c r="BS93" s="348"/>
      <c r="BT93" s="348"/>
      <c r="BU93" s="348"/>
      <c r="BV93" s="348"/>
      <c r="BW93" s="348"/>
      <c r="BX93" s="348"/>
      <c r="BY93" s="348"/>
      <c r="BZ93" s="348"/>
      <c r="CA93" s="348"/>
      <c r="CB93" s="348"/>
      <c r="CC93" s="348"/>
      <c r="CD93" s="348"/>
      <c r="CE93" s="348"/>
      <c r="CF93" s="348"/>
      <c r="CG93" s="348"/>
      <c r="CH93" s="348"/>
      <c r="CI93" s="348"/>
      <c r="CJ93" s="348"/>
      <c r="CK93" s="348"/>
      <c r="CL93" s="348"/>
      <c r="CM93" s="348"/>
      <c r="CN93" s="348"/>
      <c r="CO93" s="348"/>
      <c r="CP93" s="348"/>
      <c r="CQ93" s="348"/>
      <c r="CR93" s="348"/>
    </row>
    <row r="94" spans="25:96" x14ac:dyDescent="0.25">
      <c r="Y94" s="348"/>
      <c r="Z94" s="348"/>
      <c r="AA94" s="348"/>
      <c r="AB94" s="348"/>
      <c r="AC94" s="348"/>
      <c r="AD94" s="348"/>
      <c r="AE94" s="348"/>
      <c r="AF94" s="348"/>
      <c r="AG94" s="348"/>
      <c r="AH94" s="348"/>
      <c r="AI94" s="348"/>
      <c r="AJ94" s="348"/>
      <c r="AK94" s="348"/>
      <c r="AL94" s="348"/>
      <c r="AM94" s="348"/>
      <c r="AN94" s="348"/>
      <c r="AO94" s="348"/>
      <c r="AP94" s="348"/>
      <c r="AQ94" s="348"/>
      <c r="AR94" s="348"/>
      <c r="AS94" s="348"/>
      <c r="AT94" s="348"/>
      <c r="AU94" s="348"/>
      <c r="AV94" s="348"/>
      <c r="AW94" s="348"/>
      <c r="AX94" s="348"/>
      <c r="AY94" s="348"/>
      <c r="AZ94" s="348"/>
      <c r="BA94" s="348"/>
      <c r="BB94" s="348"/>
      <c r="BC94" s="348"/>
      <c r="BD94" s="348"/>
      <c r="BE94" s="348"/>
      <c r="BF94" s="348"/>
      <c r="BG94" s="348"/>
      <c r="BH94" s="348"/>
      <c r="BI94" s="348"/>
      <c r="BJ94" s="348"/>
      <c r="BK94" s="348"/>
      <c r="BL94" s="348"/>
      <c r="BM94" s="348"/>
      <c r="BN94" s="348"/>
      <c r="BO94" s="348"/>
      <c r="BP94" s="348"/>
      <c r="BQ94" s="348"/>
      <c r="BR94" s="348"/>
      <c r="BS94" s="348"/>
      <c r="BT94" s="348"/>
      <c r="BU94" s="348"/>
      <c r="BV94" s="348"/>
      <c r="BW94" s="348"/>
      <c r="BX94" s="348"/>
      <c r="BY94" s="348"/>
      <c r="BZ94" s="348"/>
      <c r="CA94" s="348"/>
      <c r="CB94" s="348"/>
      <c r="CC94" s="348"/>
      <c r="CD94" s="348"/>
      <c r="CE94" s="348"/>
      <c r="CF94" s="348"/>
      <c r="CG94" s="348"/>
      <c r="CH94" s="348"/>
      <c r="CI94" s="348"/>
      <c r="CJ94" s="348"/>
      <c r="CK94" s="348"/>
      <c r="CL94" s="348"/>
      <c r="CM94" s="348"/>
      <c r="CN94" s="348"/>
      <c r="CO94" s="348"/>
      <c r="CP94" s="348"/>
      <c r="CQ94" s="348"/>
      <c r="CR94" s="348"/>
    </row>
    <row r="95" spans="25:96" x14ac:dyDescent="0.25">
      <c r="Y95" s="348"/>
      <c r="Z95" s="348"/>
      <c r="AA95" s="348"/>
      <c r="AB95" s="348"/>
      <c r="AC95" s="348"/>
      <c r="AD95" s="348"/>
      <c r="AE95" s="348"/>
      <c r="AF95" s="348"/>
      <c r="AG95" s="348"/>
      <c r="AH95" s="348"/>
      <c r="AI95" s="348"/>
      <c r="AJ95" s="348"/>
      <c r="AK95" s="348"/>
      <c r="AL95" s="348"/>
      <c r="AM95" s="348"/>
      <c r="AN95" s="348"/>
      <c r="AO95" s="348"/>
      <c r="AP95" s="348"/>
      <c r="AQ95" s="348"/>
      <c r="AR95" s="348"/>
      <c r="AS95" s="348"/>
      <c r="AT95" s="348"/>
      <c r="AU95" s="348"/>
      <c r="AV95" s="348"/>
      <c r="AW95" s="348"/>
      <c r="AX95" s="348"/>
      <c r="AY95" s="348"/>
      <c r="AZ95" s="348"/>
      <c r="BA95" s="348"/>
      <c r="BB95" s="348"/>
      <c r="BC95" s="348"/>
      <c r="BD95" s="348"/>
      <c r="BE95" s="348"/>
      <c r="BF95" s="348"/>
      <c r="BG95" s="348"/>
      <c r="BH95" s="348"/>
      <c r="BI95" s="348"/>
      <c r="BJ95" s="348"/>
      <c r="BK95" s="348"/>
      <c r="BL95" s="348"/>
      <c r="BM95" s="348"/>
      <c r="BN95" s="348"/>
      <c r="BO95" s="348"/>
      <c r="BP95" s="348"/>
      <c r="BQ95" s="348"/>
      <c r="BR95" s="348"/>
      <c r="BS95" s="348"/>
      <c r="BT95" s="348"/>
      <c r="BU95" s="348"/>
      <c r="BV95" s="348"/>
      <c r="BW95" s="348"/>
      <c r="BX95" s="348"/>
      <c r="BY95" s="348"/>
      <c r="BZ95" s="348"/>
      <c r="CA95" s="348"/>
      <c r="CB95" s="348"/>
      <c r="CC95" s="348"/>
      <c r="CD95" s="348"/>
      <c r="CE95" s="348"/>
      <c r="CF95" s="348"/>
      <c r="CG95" s="348"/>
      <c r="CH95" s="348"/>
      <c r="CI95" s="348"/>
      <c r="CJ95" s="348"/>
      <c r="CK95" s="348"/>
      <c r="CL95" s="348"/>
      <c r="CM95" s="348"/>
      <c r="CN95" s="348"/>
      <c r="CO95" s="348"/>
      <c r="CP95" s="348"/>
      <c r="CQ95" s="348"/>
      <c r="CR95" s="348"/>
    </row>
    <row r="96" spans="25:96" x14ac:dyDescent="0.25">
      <c r="Y96" s="348"/>
      <c r="Z96" s="348"/>
      <c r="AA96" s="348"/>
      <c r="AB96" s="348"/>
      <c r="AC96" s="348"/>
      <c r="AD96" s="348"/>
      <c r="AE96" s="348"/>
      <c r="AF96" s="348"/>
      <c r="AG96" s="348"/>
      <c r="AH96" s="348"/>
      <c r="AI96" s="348"/>
      <c r="AJ96" s="348"/>
      <c r="AK96" s="348"/>
      <c r="AL96" s="348"/>
      <c r="AM96" s="348"/>
      <c r="AN96" s="348"/>
      <c r="AO96" s="348"/>
      <c r="AP96" s="348"/>
      <c r="AQ96" s="348"/>
      <c r="AR96" s="348"/>
      <c r="AS96" s="348"/>
      <c r="AT96" s="348"/>
      <c r="AU96" s="348"/>
      <c r="AV96" s="348"/>
      <c r="AW96" s="348"/>
      <c r="AX96" s="348"/>
      <c r="AY96" s="348"/>
      <c r="AZ96" s="348"/>
      <c r="BA96" s="348"/>
      <c r="BB96" s="348"/>
      <c r="BC96" s="348"/>
      <c r="BD96" s="348"/>
      <c r="BE96" s="348"/>
      <c r="BF96" s="348"/>
      <c r="BG96" s="348"/>
      <c r="BH96" s="348"/>
      <c r="BI96" s="348"/>
      <c r="BJ96" s="348"/>
      <c r="BK96" s="348"/>
      <c r="BL96" s="348"/>
      <c r="BM96" s="348"/>
      <c r="BN96" s="348"/>
      <c r="BO96" s="348"/>
      <c r="BP96" s="348"/>
      <c r="BQ96" s="348"/>
      <c r="BR96" s="348"/>
      <c r="BS96" s="348"/>
      <c r="BT96" s="348"/>
      <c r="BU96" s="348"/>
      <c r="BV96" s="348"/>
      <c r="BW96" s="348"/>
      <c r="BX96" s="348"/>
      <c r="BY96" s="348"/>
      <c r="BZ96" s="348"/>
      <c r="CA96" s="348"/>
      <c r="CB96" s="348"/>
      <c r="CC96" s="348"/>
      <c r="CD96" s="348"/>
      <c r="CE96" s="348"/>
      <c r="CF96" s="348"/>
      <c r="CG96" s="348"/>
      <c r="CH96" s="348"/>
      <c r="CI96" s="348"/>
      <c r="CJ96" s="348"/>
      <c r="CK96" s="348"/>
      <c r="CL96" s="348"/>
      <c r="CM96" s="348"/>
      <c r="CN96" s="348"/>
      <c r="CO96" s="348"/>
      <c r="CP96" s="348"/>
      <c r="CQ96" s="348"/>
      <c r="CR96" s="348"/>
    </row>
    <row r="97" spans="25:96" x14ac:dyDescent="0.25">
      <c r="Y97" s="348"/>
      <c r="Z97" s="348"/>
      <c r="AA97" s="348"/>
      <c r="AB97" s="348"/>
      <c r="AC97" s="348"/>
      <c r="AD97" s="348"/>
      <c r="AE97" s="348"/>
      <c r="AF97" s="348"/>
      <c r="AG97" s="348"/>
      <c r="AH97" s="348"/>
      <c r="AI97" s="348"/>
      <c r="AJ97" s="348"/>
      <c r="AK97" s="348"/>
      <c r="AL97" s="348"/>
      <c r="AM97" s="348"/>
      <c r="AN97" s="348"/>
      <c r="AO97" s="348"/>
      <c r="AP97" s="348"/>
      <c r="AQ97" s="348"/>
      <c r="AR97" s="348"/>
      <c r="AS97" s="348"/>
      <c r="AT97" s="348"/>
      <c r="AU97" s="348"/>
      <c r="AV97" s="348"/>
      <c r="AW97" s="348"/>
      <c r="AX97" s="348"/>
      <c r="AY97" s="348"/>
      <c r="AZ97" s="348"/>
      <c r="BA97" s="348"/>
      <c r="BB97" s="348"/>
      <c r="BC97" s="348"/>
      <c r="BD97" s="348"/>
      <c r="BE97" s="348"/>
      <c r="BF97" s="348"/>
      <c r="BG97" s="348"/>
      <c r="BH97" s="348"/>
      <c r="BI97" s="348"/>
      <c r="BJ97" s="348"/>
      <c r="BK97" s="348"/>
      <c r="BL97" s="348"/>
      <c r="BM97" s="348"/>
      <c r="BN97" s="348"/>
      <c r="BO97" s="348"/>
      <c r="BP97" s="348"/>
      <c r="BQ97" s="348"/>
      <c r="BR97" s="348"/>
      <c r="BS97" s="348"/>
      <c r="BT97" s="348"/>
      <c r="BU97" s="348"/>
      <c r="BV97" s="348"/>
      <c r="BW97" s="348"/>
      <c r="BX97" s="348"/>
      <c r="BY97" s="348"/>
      <c r="BZ97" s="348"/>
      <c r="CA97" s="348"/>
      <c r="CB97" s="348"/>
      <c r="CC97" s="348"/>
      <c r="CD97" s="348"/>
      <c r="CE97" s="348"/>
      <c r="CF97" s="348"/>
      <c r="CG97" s="348"/>
      <c r="CH97" s="348"/>
      <c r="CI97" s="348"/>
      <c r="CJ97" s="348"/>
      <c r="CK97" s="348"/>
      <c r="CL97" s="348"/>
      <c r="CM97" s="348"/>
      <c r="CN97" s="348"/>
      <c r="CO97" s="348"/>
      <c r="CP97" s="348"/>
      <c r="CQ97" s="348"/>
      <c r="CR97" s="348"/>
    </row>
    <row r="98" spans="25:96" x14ac:dyDescent="0.25">
      <c r="Y98" s="348"/>
      <c r="Z98" s="348"/>
      <c r="AA98" s="348"/>
      <c r="AB98" s="348"/>
      <c r="AC98" s="348"/>
      <c r="AD98" s="348"/>
      <c r="AE98" s="348"/>
      <c r="AF98" s="348"/>
      <c r="AG98" s="348"/>
      <c r="AH98" s="348"/>
      <c r="AI98" s="348"/>
      <c r="AJ98" s="348"/>
      <c r="AK98" s="348"/>
      <c r="AL98" s="348"/>
      <c r="AM98" s="348"/>
      <c r="AN98" s="348"/>
      <c r="AO98" s="348"/>
      <c r="AP98" s="348"/>
      <c r="AQ98" s="348"/>
      <c r="AR98" s="348"/>
      <c r="AS98" s="348"/>
      <c r="AT98" s="348"/>
      <c r="AU98" s="348"/>
      <c r="AV98" s="348"/>
      <c r="AW98" s="348"/>
      <c r="AX98" s="348"/>
      <c r="AY98" s="348"/>
      <c r="AZ98" s="348"/>
      <c r="BA98" s="348"/>
      <c r="BB98" s="348"/>
      <c r="BC98" s="348"/>
      <c r="BD98" s="348"/>
      <c r="BE98" s="348"/>
      <c r="BF98" s="348"/>
      <c r="BG98" s="348"/>
      <c r="BH98" s="348"/>
      <c r="BI98" s="348"/>
      <c r="BJ98" s="348"/>
      <c r="BK98" s="348"/>
      <c r="BL98" s="348"/>
      <c r="BM98" s="348"/>
      <c r="BN98" s="348"/>
      <c r="BO98" s="348"/>
      <c r="BP98" s="348"/>
      <c r="BQ98" s="348"/>
      <c r="BR98" s="348"/>
      <c r="BS98" s="348"/>
      <c r="BT98" s="348"/>
      <c r="BU98" s="348"/>
      <c r="BV98" s="348"/>
      <c r="BW98" s="348"/>
      <c r="BX98" s="348"/>
      <c r="BY98" s="348"/>
      <c r="BZ98" s="348"/>
      <c r="CA98" s="348"/>
      <c r="CB98" s="348"/>
      <c r="CC98" s="348"/>
      <c r="CD98" s="348"/>
      <c r="CE98" s="348"/>
      <c r="CF98" s="348"/>
      <c r="CG98" s="348"/>
      <c r="CH98" s="348"/>
      <c r="CI98" s="348"/>
      <c r="CJ98" s="348"/>
      <c r="CK98" s="348"/>
      <c r="CL98" s="348"/>
      <c r="CM98" s="348"/>
      <c r="CN98" s="348"/>
      <c r="CO98" s="348"/>
      <c r="CP98" s="348"/>
      <c r="CQ98" s="348"/>
      <c r="CR98" s="348"/>
    </row>
    <row r="99" spans="25:96" x14ac:dyDescent="0.25">
      <c r="Y99" s="348"/>
      <c r="Z99" s="348"/>
      <c r="AA99" s="348"/>
      <c r="AB99" s="348"/>
      <c r="AC99" s="348"/>
      <c r="AD99" s="348"/>
      <c r="AE99" s="348"/>
      <c r="AF99" s="348"/>
      <c r="AG99" s="348"/>
      <c r="AH99" s="348"/>
      <c r="AI99" s="348"/>
      <c r="AJ99" s="348"/>
      <c r="AK99" s="348"/>
      <c r="AL99" s="348"/>
      <c r="AM99" s="348"/>
      <c r="AN99" s="348"/>
      <c r="AO99" s="348"/>
      <c r="AP99" s="348"/>
      <c r="AQ99" s="348"/>
      <c r="AR99" s="348"/>
      <c r="AS99" s="348"/>
      <c r="AT99" s="348"/>
      <c r="AU99" s="348"/>
      <c r="AV99" s="348"/>
      <c r="AW99" s="348"/>
      <c r="AX99" s="348"/>
      <c r="AY99" s="348"/>
      <c r="AZ99" s="348"/>
      <c r="BA99" s="348"/>
      <c r="BB99" s="348"/>
      <c r="BC99" s="348"/>
      <c r="BD99" s="348"/>
      <c r="BE99" s="348"/>
      <c r="BF99" s="348"/>
      <c r="BG99" s="348"/>
      <c r="BH99" s="348"/>
      <c r="BI99" s="348"/>
      <c r="BJ99" s="348"/>
      <c r="BK99" s="348"/>
      <c r="BL99" s="348"/>
      <c r="BM99" s="348"/>
      <c r="BN99" s="348"/>
      <c r="BO99" s="348"/>
      <c r="BP99" s="348"/>
      <c r="BQ99" s="348"/>
      <c r="BR99" s="348"/>
      <c r="BS99" s="348"/>
      <c r="BT99" s="348"/>
      <c r="BU99" s="348"/>
      <c r="BV99" s="348"/>
      <c r="BW99" s="348"/>
      <c r="BX99" s="348"/>
      <c r="BY99" s="348"/>
      <c r="BZ99" s="348"/>
      <c r="CA99" s="348"/>
      <c r="CB99" s="348"/>
      <c r="CC99" s="348"/>
      <c r="CD99" s="348"/>
      <c r="CE99" s="348"/>
      <c r="CF99" s="348"/>
      <c r="CG99" s="348"/>
      <c r="CH99" s="348"/>
      <c r="CI99" s="348"/>
      <c r="CJ99" s="348"/>
      <c r="CK99" s="348"/>
      <c r="CL99" s="348"/>
      <c r="CM99" s="348"/>
      <c r="CN99" s="348"/>
      <c r="CO99" s="348"/>
      <c r="CP99" s="348"/>
      <c r="CQ99" s="348"/>
      <c r="CR99" s="348"/>
    </row>
    <row r="100" spans="25:96" x14ac:dyDescent="0.25">
      <c r="Y100" s="348"/>
      <c r="Z100" s="348"/>
      <c r="AA100" s="348"/>
      <c r="AB100" s="348"/>
      <c r="AC100" s="348"/>
      <c r="AD100" s="348"/>
      <c r="AE100" s="348"/>
      <c r="AF100" s="348"/>
      <c r="AG100" s="348"/>
      <c r="AH100" s="348"/>
      <c r="AI100" s="348"/>
      <c r="AJ100" s="348"/>
      <c r="AK100" s="348"/>
      <c r="AL100" s="348"/>
      <c r="AM100" s="348"/>
      <c r="AN100" s="348"/>
      <c r="AO100" s="348"/>
      <c r="AP100" s="348"/>
      <c r="AQ100" s="348"/>
      <c r="AR100" s="348"/>
      <c r="AS100" s="348"/>
      <c r="AT100" s="348"/>
      <c r="AU100" s="348"/>
      <c r="AV100" s="348"/>
      <c r="AW100" s="348"/>
      <c r="AX100" s="348"/>
      <c r="AY100" s="348"/>
      <c r="AZ100" s="348"/>
      <c r="BA100" s="348"/>
      <c r="BB100" s="348"/>
      <c r="BC100" s="348"/>
      <c r="BD100" s="348"/>
      <c r="BE100" s="348"/>
      <c r="BF100" s="348"/>
      <c r="BG100" s="348"/>
      <c r="BH100" s="348"/>
      <c r="BI100" s="348"/>
      <c r="BJ100" s="348"/>
      <c r="BK100" s="348"/>
      <c r="BL100" s="348"/>
      <c r="BM100" s="348"/>
      <c r="BN100" s="348"/>
      <c r="BO100" s="348"/>
      <c r="BP100" s="348"/>
      <c r="BQ100" s="348"/>
      <c r="BR100" s="348"/>
      <c r="BS100" s="348"/>
      <c r="BT100" s="348"/>
      <c r="BU100" s="348"/>
      <c r="BV100" s="348"/>
      <c r="BW100" s="348"/>
      <c r="BX100" s="348"/>
      <c r="BY100" s="348"/>
      <c r="BZ100" s="348"/>
      <c r="CA100" s="348"/>
      <c r="CB100" s="348"/>
      <c r="CC100" s="348"/>
      <c r="CD100" s="348"/>
      <c r="CE100" s="348"/>
      <c r="CF100" s="348"/>
      <c r="CG100" s="348"/>
      <c r="CH100" s="348"/>
      <c r="CI100" s="348"/>
      <c r="CJ100" s="348"/>
      <c r="CK100" s="348"/>
      <c r="CL100" s="348"/>
      <c r="CM100" s="348"/>
      <c r="CN100" s="348"/>
      <c r="CO100" s="348"/>
      <c r="CP100" s="348"/>
      <c r="CQ100" s="348"/>
      <c r="CR100" s="348"/>
    </row>
    <row r="101" spans="25:96" x14ac:dyDescent="0.25">
      <c r="Y101" s="348"/>
      <c r="Z101" s="348"/>
      <c r="AA101" s="348"/>
      <c r="AB101" s="348"/>
      <c r="AC101" s="348"/>
      <c r="AD101" s="348"/>
      <c r="AE101" s="348"/>
      <c r="AF101" s="348"/>
      <c r="AG101" s="348"/>
      <c r="AH101" s="348"/>
      <c r="AI101" s="348"/>
      <c r="AJ101" s="348"/>
      <c r="AK101" s="348"/>
      <c r="AL101" s="348"/>
      <c r="AM101" s="348"/>
      <c r="AN101" s="348"/>
      <c r="AO101" s="348"/>
      <c r="AP101" s="348"/>
      <c r="AQ101" s="348"/>
      <c r="AR101" s="348"/>
      <c r="AS101" s="348"/>
      <c r="AT101" s="348"/>
      <c r="AU101" s="348"/>
      <c r="AV101" s="348"/>
      <c r="AW101" s="348"/>
      <c r="AX101" s="348"/>
      <c r="AY101" s="348"/>
      <c r="AZ101" s="348"/>
      <c r="BA101" s="348"/>
      <c r="BB101" s="348"/>
      <c r="BC101" s="348"/>
      <c r="BD101" s="348"/>
      <c r="BE101" s="348"/>
      <c r="BF101" s="348"/>
      <c r="BG101" s="348"/>
      <c r="BH101" s="348"/>
      <c r="BI101" s="348"/>
      <c r="BJ101" s="348"/>
      <c r="BK101" s="348"/>
      <c r="BL101" s="348"/>
      <c r="BM101" s="348"/>
      <c r="BN101" s="348"/>
      <c r="BO101" s="348"/>
      <c r="BP101" s="348"/>
      <c r="BQ101" s="348"/>
      <c r="BR101" s="348"/>
      <c r="BS101" s="348"/>
      <c r="BT101" s="348"/>
      <c r="BU101" s="348"/>
      <c r="BV101" s="348"/>
      <c r="BW101" s="348"/>
      <c r="BX101" s="348"/>
      <c r="BY101" s="348"/>
      <c r="BZ101" s="348"/>
      <c r="CA101" s="348"/>
      <c r="CB101" s="348"/>
      <c r="CC101" s="348"/>
      <c r="CD101" s="348"/>
      <c r="CE101" s="348"/>
      <c r="CF101" s="348"/>
      <c r="CG101" s="348"/>
      <c r="CH101" s="348"/>
      <c r="CI101" s="348"/>
      <c r="CJ101" s="348"/>
      <c r="CK101" s="348"/>
      <c r="CL101" s="348"/>
      <c r="CM101" s="348"/>
      <c r="CN101" s="348"/>
      <c r="CO101" s="348"/>
      <c r="CP101" s="348"/>
      <c r="CQ101" s="348"/>
      <c r="CR101" s="348"/>
    </row>
    <row r="102" spans="25:96" x14ac:dyDescent="0.25">
      <c r="Y102" s="348"/>
      <c r="Z102" s="348"/>
      <c r="AA102" s="348"/>
      <c r="AB102" s="348"/>
      <c r="AC102" s="348"/>
      <c r="AD102" s="348"/>
      <c r="AE102" s="348"/>
      <c r="AF102" s="348"/>
      <c r="AG102" s="348"/>
      <c r="AH102" s="348"/>
      <c r="AI102" s="348"/>
      <c r="AJ102" s="348"/>
      <c r="AK102" s="348"/>
      <c r="AL102" s="348"/>
      <c r="AM102" s="348"/>
      <c r="AN102" s="348"/>
      <c r="AO102" s="348"/>
      <c r="AP102" s="348"/>
      <c r="AQ102" s="348"/>
      <c r="AR102" s="348"/>
      <c r="AS102" s="348"/>
      <c r="AT102" s="348"/>
      <c r="AU102" s="348"/>
      <c r="AV102" s="348"/>
      <c r="AW102" s="348"/>
      <c r="AX102" s="348"/>
      <c r="AY102" s="348"/>
      <c r="AZ102" s="348"/>
      <c r="BA102" s="348"/>
      <c r="BB102" s="348"/>
      <c r="BC102" s="348"/>
      <c r="BD102" s="348"/>
      <c r="BE102" s="348"/>
      <c r="BF102" s="348"/>
      <c r="BG102" s="348"/>
      <c r="BH102" s="348"/>
      <c r="BI102" s="348"/>
      <c r="BJ102" s="348"/>
      <c r="BK102" s="348"/>
      <c r="BL102" s="348"/>
      <c r="BM102" s="348"/>
      <c r="BN102" s="348"/>
      <c r="BO102" s="348"/>
      <c r="BP102" s="348"/>
      <c r="BQ102" s="348"/>
      <c r="BR102" s="348"/>
      <c r="BS102" s="348"/>
      <c r="BT102" s="348"/>
      <c r="BU102" s="348"/>
      <c r="BV102" s="348"/>
      <c r="BW102" s="348"/>
      <c r="BX102" s="348"/>
      <c r="BY102" s="348"/>
      <c r="BZ102" s="348"/>
      <c r="CA102" s="348"/>
      <c r="CB102" s="348"/>
      <c r="CC102" s="348"/>
      <c r="CD102" s="348"/>
      <c r="CE102" s="348"/>
      <c r="CF102" s="348"/>
      <c r="CG102" s="348"/>
      <c r="CH102" s="348"/>
      <c r="CI102" s="348"/>
      <c r="CJ102" s="348"/>
      <c r="CK102" s="348"/>
      <c r="CL102" s="348"/>
      <c r="CM102" s="348"/>
      <c r="CN102" s="348"/>
      <c r="CO102" s="348"/>
      <c r="CP102" s="348"/>
      <c r="CQ102" s="348"/>
      <c r="CR102" s="348"/>
    </row>
    <row r="103" spans="25:96" x14ac:dyDescent="0.25">
      <c r="Y103" s="348"/>
      <c r="Z103" s="348"/>
      <c r="AA103" s="348"/>
      <c r="AB103" s="348"/>
      <c r="AC103" s="348"/>
      <c r="AD103" s="348"/>
      <c r="AE103" s="348"/>
      <c r="AF103" s="348"/>
      <c r="AG103" s="348"/>
      <c r="AH103" s="348"/>
      <c r="AI103" s="348"/>
      <c r="AJ103" s="348"/>
      <c r="AK103" s="348"/>
      <c r="AL103" s="348"/>
      <c r="AM103" s="348"/>
      <c r="AN103" s="348"/>
      <c r="AO103" s="348"/>
      <c r="AP103" s="348"/>
      <c r="AQ103" s="348"/>
      <c r="AR103" s="348"/>
      <c r="AS103" s="348"/>
      <c r="AT103" s="348"/>
      <c r="AU103" s="348"/>
      <c r="AV103" s="348"/>
      <c r="AW103" s="348"/>
      <c r="AX103" s="348"/>
      <c r="AY103" s="348"/>
      <c r="AZ103" s="348"/>
      <c r="BA103" s="348"/>
      <c r="BB103" s="348"/>
      <c r="BC103" s="348"/>
      <c r="BD103" s="348"/>
      <c r="BE103" s="348"/>
      <c r="BF103" s="348"/>
      <c r="BG103" s="348"/>
      <c r="BH103" s="348"/>
      <c r="BI103" s="348"/>
      <c r="BJ103" s="348"/>
      <c r="BK103" s="348"/>
      <c r="BL103" s="348"/>
      <c r="BM103" s="348"/>
      <c r="BN103" s="348"/>
      <c r="BO103" s="348"/>
      <c r="BP103" s="348"/>
      <c r="BQ103" s="348"/>
      <c r="BR103" s="348"/>
      <c r="BS103" s="348"/>
      <c r="BT103" s="348"/>
      <c r="BU103" s="348"/>
      <c r="BV103" s="348"/>
      <c r="BW103" s="348"/>
      <c r="BX103" s="348"/>
      <c r="BY103" s="348"/>
      <c r="BZ103" s="348"/>
      <c r="CA103" s="348"/>
      <c r="CB103" s="348"/>
      <c r="CC103" s="348"/>
      <c r="CD103" s="348"/>
      <c r="CE103" s="348"/>
      <c r="CF103" s="348"/>
      <c r="CG103" s="348"/>
      <c r="CH103" s="348"/>
      <c r="CI103" s="348"/>
      <c r="CJ103" s="348"/>
      <c r="CK103" s="348"/>
      <c r="CL103" s="348"/>
      <c r="CM103" s="348"/>
      <c r="CN103" s="348"/>
      <c r="CO103" s="348"/>
      <c r="CP103" s="348"/>
      <c r="CQ103" s="348"/>
      <c r="CR103" s="348"/>
    </row>
    <row r="104" spans="25:96" x14ac:dyDescent="0.25">
      <c r="Y104" s="348"/>
      <c r="Z104" s="348"/>
      <c r="AA104" s="348"/>
      <c r="AB104" s="348"/>
      <c r="AC104" s="348"/>
      <c r="AD104" s="348"/>
      <c r="AE104" s="348"/>
      <c r="AF104" s="348"/>
      <c r="AG104" s="348"/>
      <c r="AH104" s="348"/>
      <c r="AI104" s="348"/>
      <c r="AJ104" s="348"/>
      <c r="AK104" s="348"/>
      <c r="AL104" s="348"/>
      <c r="AM104" s="348"/>
      <c r="AN104" s="348"/>
      <c r="AO104" s="348"/>
      <c r="AP104" s="348"/>
      <c r="AQ104" s="348"/>
      <c r="AR104" s="348"/>
      <c r="AS104" s="348"/>
      <c r="AT104" s="348"/>
      <c r="AU104" s="348"/>
      <c r="AV104" s="348"/>
      <c r="AW104" s="348"/>
      <c r="AX104" s="348"/>
      <c r="AY104" s="348"/>
      <c r="AZ104" s="348"/>
      <c r="BA104" s="348"/>
      <c r="BB104" s="348"/>
      <c r="BC104" s="348"/>
      <c r="BD104" s="348"/>
      <c r="BE104" s="348"/>
      <c r="BF104" s="348"/>
      <c r="BG104" s="348"/>
      <c r="BH104" s="348"/>
      <c r="BI104" s="348"/>
      <c r="BJ104" s="348"/>
      <c r="BK104" s="348"/>
      <c r="BL104" s="348"/>
      <c r="BM104" s="348"/>
      <c r="BN104" s="348"/>
      <c r="BO104" s="348"/>
      <c r="BP104" s="348"/>
      <c r="BQ104" s="348"/>
      <c r="BR104" s="348"/>
      <c r="BS104" s="348"/>
      <c r="BT104" s="348"/>
      <c r="BU104" s="348"/>
      <c r="BV104" s="348"/>
      <c r="BW104" s="348"/>
      <c r="BX104" s="348"/>
      <c r="BY104" s="348"/>
      <c r="BZ104" s="348"/>
      <c r="CA104" s="348"/>
      <c r="CB104" s="348"/>
      <c r="CC104" s="348"/>
      <c r="CD104" s="348"/>
      <c r="CE104" s="348"/>
      <c r="CF104" s="348"/>
      <c r="CG104" s="348"/>
      <c r="CH104" s="348"/>
      <c r="CI104" s="348"/>
      <c r="CJ104" s="348"/>
      <c r="CK104" s="348"/>
      <c r="CL104" s="348"/>
      <c r="CM104" s="348"/>
      <c r="CN104" s="348"/>
      <c r="CO104" s="348"/>
      <c r="CP104" s="348"/>
      <c r="CQ104" s="348"/>
      <c r="CR104" s="348"/>
    </row>
    <row r="105" spans="25:96" x14ac:dyDescent="0.25">
      <c r="Y105" s="348"/>
      <c r="Z105" s="348"/>
      <c r="AA105" s="348"/>
      <c r="AB105" s="348"/>
      <c r="AC105" s="348"/>
      <c r="AD105" s="348"/>
      <c r="AE105" s="348"/>
      <c r="AF105" s="348"/>
      <c r="AG105" s="348"/>
      <c r="AH105" s="348"/>
      <c r="AI105" s="348"/>
      <c r="AJ105" s="348"/>
      <c r="AK105" s="348"/>
      <c r="AL105" s="348"/>
      <c r="AM105" s="348"/>
      <c r="AN105" s="348"/>
      <c r="AO105" s="348"/>
      <c r="AP105" s="348"/>
      <c r="AQ105" s="348"/>
      <c r="AR105" s="348"/>
      <c r="AS105" s="348"/>
      <c r="AT105" s="348"/>
      <c r="AU105" s="348"/>
      <c r="AV105" s="348"/>
      <c r="AW105" s="348"/>
      <c r="AX105" s="348"/>
      <c r="AY105" s="348"/>
      <c r="AZ105" s="348"/>
      <c r="BA105" s="348"/>
      <c r="BB105" s="348"/>
      <c r="BC105" s="348"/>
      <c r="BD105" s="348"/>
      <c r="BE105" s="348"/>
      <c r="BF105" s="348"/>
      <c r="BG105" s="348"/>
      <c r="BH105" s="348"/>
      <c r="BI105" s="348"/>
      <c r="BJ105" s="348"/>
      <c r="BK105" s="348"/>
      <c r="BL105" s="348"/>
      <c r="BM105" s="348"/>
      <c r="BN105" s="348"/>
      <c r="BO105" s="348"/>
      <c r="BP105" s="348"/>
      <c r="BQ105" s="348"/>
      <c r="BR105" s="348"/>
      <c r="BS105" s="348"/>
      <c r="BT105" s="348"/>
      <c r="BU105" s="348"/>
      <c r="BV105" s="348"/>
      <c r="BW105" s="348"/>
      <c r="BX105" s="348"/>
      <c r="BY105" s="348"/>
      <c r="BZ105" s="348"/>
      <c r="CA105" s="348"/>
      <c r="CB105" s="348"/>
      <c r="CC105" s="348"/>
      <c r="CD105" s="348"/>
      <c r="CE105" s="348"/>
      <c r="CF105" s="348"/>
      <c r="CG105" s="348"/>
      <c r="CH105" s="348"/>
      <c r="CI105" s="348"/>
      <c r="CJ105" s="348"/>
      <c r="CK105" s="348"/>
      <c r="CL105" s="348"/>
      <c r="CM105" s="348"/>
      <c r="CN105" s="348"/>
      <c r="CO105" s="348"/>
      <c r="CP105" s="348"/>
      <c r="CQ105" s="348"/>
      <c r="CR105" s="348"/>
    </row>
    <row r="106" spans="25:96" x14ac:dyDescent="0.25">
      <c r="Y106" s="348"/>
      <c r="Z106" s="348"/>
      <c r="AA106" s="348"/>
      <c r="AB106" s="348"/>
      <c r="AC106" s="348"/>
      <c r="AD106" s="348"/>
      <c r="AE106" s="348"/>
      <c r="AF106" s="348"/>
      <c r="AG106" s="348"/>
      <c r="AH106" s="348"/>
      <c r="AI106" s="348"/>
      <c r="AJ106" s="348"/>
      <c r="AK106" s="348"/>
      <c r="AL106" s="348"/>
      <c r="AM106" s="348"/>
      <c r="AN106" s="348"/>
      <c r="AO106" s="348"/>
      <c r="AP106" s="348"/>
      <c r="AQ106" s="348"/>
      <c r="AR106" s="348"/>
      <c r="AS106" s="348"/>
      <c r="AT106" s="348"/>
      <c r="AU106" s="348"/>
      <c r="AV106" s="348"/>
      <c r="AW106" s="348"/>
      <c r="AX106" s="348"/>
      <c r="AY106" s="348"/>
      <c r="AZ106" s="348"/>
      <c r="BA106" s="348"/>
      <c r="BB106" s="348"/>
      <c r="BC106" s="348"/>
      <c r="BD106" s="348"/>
      <c r="BE106" s="348"/>
      <c r="BF106" s="348"/>
      <c r="BG106" s="348"/>
      <c r="BH106" s="348"/>
      <c r="BI106" s="348"/>
      <c r="BJ106" s="348"/>
      <c r="BK106" s="348"/>
      <c r="BL106" s="348"/>
      <c r="BM106" s="348"/>
      <c r="BN106" s="348"/>
      <c r="BO106" s="348"/>
      <c r="BP106" s="348"/>
      <c r="BQ106" s="348"/>
      <c r="BR106" s="348"/>
      <c r="BS106" s="348"/>
      <c r="BT106" s="348"/>
      <c r="BU106" s="348"/>
      <c r="BV106" s="348"/>
      <c r="BW106" s="348"/>
      <c r="BX106" s="348"/>
      <c r="BY106" s="348"/>
      <c r="BZ106" s="348"/>
      <c r="CA106" s="348"/>
      <c r="CB106" s="348"/>
      <c r="CC106" s="348"/>
      <c r="CD106" s="348"/>
      <c r="CE106" s="348"/>
      <c r="CF106" s="348"/>
      <c r="CG106" s="348"/>
      <c r="CH106" s="348"/>
      <c r="CI106" s="348"/>
      <c r="CJ106" s="348"/>
      <c r="CK106" s="348"/>
      <c r="CL106" s="348"/>
      <c r="CM106" s="348"/>
      <c r="CN106" s="348"/>
      <c r="CO106" s="348"/>
      <c r="CP106" s="348"/>
      <c r="CQ106" s="348"/>
      <c r="CR106" s="348"/>
    </row>
    <row r="107" spans="25:96" x14ac:dyDescent="0.25">
      <c r="Y107" s="348"/>
      <c r="Z107" s="348"/>
      <c r="AA107" s="348"/>
      <c r="AB107" s="348"/>
      <c r="AC107" s="348"/>
      <c r="AD107" s="348"/>
      <c r="AE107" s="348"/>
      <c r="AF107" s="348"/>
      <c r="AG107" s="348"/>
      <c r="AH107" s="348"/>
      <c r="AI107" s="348"/>
      <c r="AJ107" s="348"/>
      <c r="AK107" s="348"/>
      <c r="AL107" s="348"/>
      <c r="AM107" s="348"/>
      <c r="AN107" s="348"/>
      <c r="AO107" s="348"/>
      <c r="AP107" s="348"/>
      <c r="AQ107" s="348"/>
      <c r="AR107" s="348"/>
      <c r="AS107" s="348"/>
      <c r="AT107" s="348"/>
      <c r="AU107" s="348"/>
      <c r="AV107" s="348"/>
      <c r="AW107" s="348"/>
      <c r="AX107" s="348"/>
      <c r="AY107" s="348"/>
      <c r="AZ107" s="348"/>
      <c r="BA107" s="348"/>
      <c r="BB107" s="348"/>
      <c r="BC107" s="348"/>
      <c r="BD107" s="348"/>
      <c r="BE107" s="348"/>
      <c r="BF107" s="348"/>
      <c r="BG107" s="348"/>
      <c r="BH107" s="348"/>
      <c r="BI107" s="348"/>
      <c r="BJ107" s="348"/>
      <c r="BK107" s="348"/>
      <c r="BL107" s="348"/>
      <c r="BM107" s="348"/>
      <c r="BN107" s="348"/>
      <c r="BO107" s="348"/>
      <c r="BP107" s="348"/>
      <c r="BQ107" s="348"/>
      <c r="BR107" s="348"/>
      <c r="BS107" s="348"/>
      <c r="BT107" s="348"/>
      <c r="BU107" s="348"/>
      <c r="BV107" s="348"/>
      <c r="BW107" s="348"/>
      <c r="BX107" s="348"/>
      <c r="BY107" s="348"/>
      <c r="BZ107" s="348"/>
      <c r="CA107" s="348"/>
      <c r="CB107" s="348"/>
      <c r="CC107" s="348"/>
      <c r="CD107" s="348"/>
      <c r="CE107" s="348"/>
      <c r="CF107" s="348"/>
      <c r="CG107" s="348"/>
      <c r="CH107" s="348"/>
      <c r="CI107" s="348"/>
      <c r="CJ107" s="348"/>
      <c r="CK107" s="348"/>
      <c r="CL107" s="348"/>
      <c r="CM107" s="348"/>
      <c r="CN107" s="348"/>
      <c r="CO107" s="348"/>
      <c r="CP107" s="348"/>
      <c r="CQ107" s="348"/>
      <c r="CR107" s="348"/>
    </row>
    <row r="108" spans="25:96" x14ac:dyDescent="0.25">
      <c r="Y108" s="348"/>
      <c r="Z108" s="348"/>
      <c r="AA108" s="348"/>
      <c r="AB108" s="348"/>
      <c r="AC108" s="348"/>
      <c r="AD108" s="348"/>
      <c r="AE108" s="348"/>
      <c r="AF108" s="348"/>
      <c r="AG108" s="348"/>
      <c r="AH108" s="348"/>
      <c r="AI108" s="348"/>
      <c r="AJ108" s="348"/>
      <c r="AK108" s="348"/>
      <c r="AL108" s="348"/>
      <c r="AM108" s="348"/>
      <c r="AN108" s="348"/>
      <c r="AO108" s="348"/>
      <c r="AP108" s="348"/>
      <c r="AQ108" s="348"/>
      <c r="AR108" s="348"/>
      <c r="AS108" s="348"/>
      <c r="AT108" s="348"/>
      <c r="AU108" s="348"/>
      <c r="AV108" s="348"/>
      <c r="AW108" s="348"/>
      <c r="AX108" s="348"/>
      <c r="AY108" s="348"/>
      <c r="AZ108" s="348"/>
      <c r="BA108" s="348"/>
      <c r="BB108" s="348"/>
      <c r="BC108" s="348"/>
      <c r="BD108" s="348"/>
      <c r="BE108" s="348"/>
      <c r="BF108" s="348"/>
      <c r="BG108" s="348"/>
      <c r="BH108" s="348"/>
      <c r="BI108" s="348"/>
      <c r="BJ108" s="348"/>
      <c r="BK108" s="348"/>
      <c r="BL108" s="348"/>
      <c r="BM108" s="348"/>
      <c r="BN108" s="348"/>
      <c r="BO108" s="348"/>
      <c r="BP108" s="348"/>
      <c r="BQ108" s="348"/>
      <c r="BR108" s="348"/>
      <c r="BS108" s="348"/>
      <c r="BT108" s="348"/>
      <c r="BU108" s="348"/>
      <c r="BV108" s="348"/>
      <c r="BW108" s="348"/>
      <c r="BX108" s="348"/>
      <c r="BY108" s="348"/>
      <c r="BZ108" s="348"/>
      <c r="CA108" s="348"/>
      <c r="CB108" s="348"/>
      <c r="CC108" s="348"/>
      <c r="CD108" s="348"/>
      <c r="CE108" s="348"/>
      <c r="CF108" s="348"/>
      <c r="CG108" s="348"/>
      <c r="CH108" s="348"/>
      <c r="CI108" s="348"/>
      <c r="CJ108" s="348"/>
      <c r="CK108" s="348"/>
      <c r="CL108" s="348"/>
      <c r="CM108" s="348"/>
      <c r="CN108" s="348"/>
      <c r="CO108" s="348"/>
      <c r="CP108" s="348"/>
      <c r="CQ108" s="348"/>
      <c r="CR108" s="348"/>
    </row>
    <row r="109" spans="25:96" x14ac:dyDescent="0.25">
      <c r="Y109" s="348"/>
      <c r="Z109" s="348"/>
      <c r="AA109" s="348"/>
      <c r="AB109" s="348"/>
      <c r="AC109" s="348"/>
      <c r="AD109" s="348"/>
      <c r="AE109" s="348"/>
      <c r="AF109" s="348"/>
      <c r="AG109" s="348"/>
      <c r="AH109" s="348"/>
      <c r="AI109" s="348"/>
      <c r="AJ109" s="348"/>
      <c r="AK109" s="348"/>
      <c r="AL109" s="348"/>
      <c r="AM109" s="348"/>
      <c r="AN109" s="348"/>
      <c r="AO109" s="348"/>
      <c r="AP109" s="348"/>
      <c r="AQ109" s="348"/>
      <c r="AR109" s="348"/>
      <c r="AS109" s="348"/>
      <c r="AT109" s="348"/>
      <c r="AU109" s="348"/>
      <c r="AV109" s="348"/>
      <c r="AW109" s="348"/>
      <c r="AX109" s="348"/>
      <c r="AY109" s="348"/>
      <c r="AZ109" s="348"/>
      <c r="BA109" s="348"/>
      <c r="BB109" s="348"/>
      <c r="BC109" s="348"/>
      <c r="BD109" s="348"/>
      <c r="BE109" s="348"/>
      <c r="BF109" s="348"/>
      <c r="BG109" s="348"/>
      <c r="BH109" s="348"/>
      <c r="BI109" s="348"/>
      <c r="BJ109" s="348"/>
      <c r="BK109" s="348"/>
      <c r="BL109" s="348"/>
      <c r="BM109" s="348"/>
      <c r="BN109" s="348"/>
      <c r="BO109" s="348"/>
      <c r="BP109" s="348"/>
      <c r="BQ109" s="348"/>
      <c r="BR109" s="348"/>
      <c r="BS109" s="348"/>
      <c r="BT109" s="348"/>
      <c r="BU109" s="348"/>
      <c r="BV109" s="348"/>
      <c r="BW109" s="348"/>
      <c r="BX109" s="348"/>
      <c r="BY109" s="348"/>
      <c r="BZ109" s="348"/>
      <c r="CA109" s="348"/>
      <c r="CB109" s="348"/>
      <c r="CC109" s="348"/>
      <c r="CD109" s="348"/>
      <c r="CE109" s="348"/>
      <c r="CF109" s="348"/>
      <c r="CG109" s="348"/>
      <c r="CH109" s="348"/>
      <c r="CI109" s="348"/>
      <c r="CJ109" s="348"/>
      <c r="CK109" s="348"/>
      <c r="CL109" s="348"/>
      <c r="CM109" s="348"/>
      <c r="CN109" s="348"/>
      <c r="CO109" s="348"/>
      <c r="CP109" s="348"/>
      <c r="CQ109" s="348"/>
      <c r="CR109" s="348"/>
    </row>
    <row r="110" spans="25:96" x14ac:dyDescent="0.25">
      <c r="Y110" s="348"/>
      <c r="Z110" s="348"/>
      <c r="AA110" s="348"/>
      <c r="AB110" s="348"/>
      <c r="AC110" s="348"/>
      <c r="AD110" s="348"/>
      <c r="AE110" s="348"/>
      <c r="AF110" s="348"/>
      <c r="AG110" s="348"/>
      <c r="AH110" s="348"/>
      <c r="AI110" s="348"/>
      <c r="AJ110" s="348"/>
      <c r="AK110" s="348"/>
      <c r="AL110" s="348"/>
      <c r="AM110" s="348"/>
      <c r="AN110" s="348"/>
      <c r="AO110" s="348"/>
      <c r="AP110" s="348"/>
      <c r="AQ110" s="348"/>
      <c r="AR110" s="348"/>
      <c r="AS110" s="348"/>
      <c r="AT110" s="348"/>
      <c r="AU110" s="348"/>
      <c r="AV110" s="348"/>
      <c r="AW110" s="348"/>
      <c r="AX110" s="348"/>
      <c r="AY110" s="348"/>
      <c r="AZ110" s="348"/>
      <c r="BA110" s="348"/>
      <c r="BB110" s="348"/>
      <c r="BC110" s="348"/>
      <c r="BD110" s="348"/>
      <c r="BE110" s="348"/>
      <c r="BF110" s="348"/>
      <c r="BG110" s="348"/>
      <c r="BH110" s="348"/>
      <c r="BI110" s="348"/>
      <c r="BJ110" s="348"/>
      <c r="BK110" s="348"/>
      <c r="BL110" s="348"/>
      <c r="BM110" s="348"/>
      <c r="BN110" s="348"/>
      <c r="BO110" s="348"/>
      <c r="BP110" s="348"/>
      <c r="BQ110" s="348"/>
      <c r="BR110" s="348"/>
      <c r="BS110" s="348"/>
      <c r="BT110" s="348"/>
      <c r="BU110" s="348"/>
      <c r="BV110" s="348"/>
      <c r="BW110" s="348"/>
      <c r="BX110" s="348"/>
      <c r="BY110" s="348"/>
      <c r="BZ110" s="348"/>
      <c r="CA110" s="348"/>
      <c r="CB110" s="348"/>
      <c r="CC110" s="348"/>
      <c r="CD110" s="348"/>
      <c r="CE110" s="348"/>
      <c r="CF110" s="348"/>
      <c r="CG110" s="348"/>
      <c r="CH110" s="348"/>
      <c r="CI110" s="348"/>
      <c r="CJ110" s="348"/>
      <c r="CK110" s="348"/>
      <c r="CL110" s="348"/>
      <c r="CM110" s="348"/>
      <c r="CN110" s="348"/>
      <c r="CO110" s="348"/>
      <c r="CP110" s="348"/>
      <c r="CQ110" s="348"/>
      <c r="CR110" s="348"/>
    </row>
    <row r="111" spans="25:96" x14ac:dyDescent="0.25">
      <c r="Y111" s="348"/>
      <c r="Z111" s="348"/>
      <c r="AA111" s="348"/>
      <c r="AB111" s="348"/>
      <c r="AC111" s="348"/>
      <c r="AD111" s="348"/>
      <c r="AE111" s="348"/>
      <c r="AF111" s="348"/>
      <c r="AG111" s="348"/>
      <c r="AH111" s="348"/>
      <c r="AI111" s="348"/>
      <c r="AJ111" s="348"/>
      <c r="AK111" s="348"/>
      <c r="AL111" s="348"/>
      <c r="AM111" s="348"/>
      <c r="AN111" s="348"/>
      <c r="AO111" s="348"/>
      <c r="AP111" s="348"/>
      <c r="AQ111" s="348"/>
      <c r="AR111" s="348"/>
      <c r="AS111" s="348"/>
      <c r="AT111" s="348"/>
      <c r="AU111" s="348"/>
      <c r="AV111" s="348"/>
      <c r="AW111" s="348"/>
      <c r="AX111" s="348"/>
      <c r="AY111" s="348"/>
      <c r="AZ111" s="348"/>
      <c r="BA111" s="348"/>
      <c r="BB111" s="348"/>
      <c r="BC111" s="348"/>
      <c r="BD111" s="348"/>
      <c r="BE111" s="348"/>
      <c r="BF111" s="348"/>
      <c r="BG111" s="348"/>
      <c r="BH111" s="348"/>
      <c r="BI111" s="348"/>
      <c r="BJ111" s="348"/>
      <c r="BK111" s="348"/>
      <c r="BL111" s="348"/>
      <c r="BM111" s="348"/>
      <c r="BN111" s="348"/>
      <c r="BO111" s="348"/>
      <c r="BP111" s="348"/>
      <c r="BQ111" s="348"/>
      <c r="BR111" s="348"/>
      <c r="BS111" s="348"/>
      <c r="BT111" s="348"/>
      <c r="BU111" s="348"/>
      <c r="BV111" s="348"/>
      <c r="BW111" s="348"/>
      <c r="BX111" s="348"/>
      <c r="BY111" s="348"/>
      <c r="BZ111" s="348"/>
      <c r="CA111" s="348"/>
      <c r="CB111" s="348"/>
      <c r="CC111" s="348"/>
      <c r="CD111" s="348"/>
      <c r="CE111" s="348"/>
      <c r="CF111" s="348"/>
      <c r="CG111" s="348"/>
      <c r="CH111" s="348"/>
      <c r="CI111" s="348"/>
      <c r="CJ111" s="348"/>
      <c r="CK111" s="348"/>
      <c r="CL111" s="348"/>
      <c r="CM111" s="348"/>
      <c r="CN111" s="348"/>
      <c r="CO111" s="348"/>
      <c r="CP111" s="348"/>
      <c r="CQ111" s="348"/>
      <c r="CR111" s="348"/>
    </row>
    <row r="112" spans="25:96" x14ac:dyDescent="0.25">
      <c r="Y112" s="348"/>
      <c r="Z112" s="348"/>
      <c r="AA112" s="348"/>
      <c r="AB112" s="348"/>
      <c r="AC112" s="348"/>
      <c r="AD112" s="348"/>
      <c r="AE112" s="348"/>
      <c r="AF112" s="348"/>
      <c r="AG112" s="348"/>
      <c r="AH112" s="348"/>
      <c r="AI112" s="348"/>
      <c r="AJ112" s="348"/>
      <c r="AK112" s="348"/>
      <c r="AL112" s="348"/>
      <c r="AM112" s="348"/>
      <c r="AN112" s="348"/>
      <c r="AO112" s="348"/>
      <c r="AP112" s="348"/>
      <c r="AQ112" s="348"/>
      <c r="AR112" s="348"/>
      <c r="AS112" s="348"/>
      <c r="AT112" s="348"/>
      <c r="AU112" s="348"/>
      <c r="AV112" s="348"/>
      <c r="AW112" s="348"/>
      <c r="AX112" s="348"/>
      <c r="AY112" s="348"/>
      <c r="AZ112" s="348"/>
      <c r="BA112" s="348"/>
      <c r="BB112" s="348"/>
      <c r="BC112" s="348"/>
      <c r="BD112" s="348"/>
      <c r="BE112" s="348"/>
      <c r="BF112" s="348"/>
      <c r="BG112" s="348"/>
      <c r="BH112" s="348"/>
      <c r="BI112" s="348"/>
      <c r="BJ112" s="348"/>
      <c r="BK112" s="348"/>
      <c r="BL112" s="348"/>
      <c r="BM112" s="348"/>
      <c r="BN112" s="348"/>
      <c r="BO112" s="348"/>
      <c r="BP112" s="348"/>
      <c r="BQ112" s="348"/>
      <c r="BR112" s="348"/>
      <c r="BS112" s="348"/>
      <c r="BT112" s="348"/>
      <c r="BU112" s="348"/>
      <c r="BV112" s="348"/>
      <c r="BW112" s="348"/>
      <c r="BX112" s="348"/>
      <c r="BY112" s="348"/>
      <c r="BZ112" s="348"/>
      <c r="CA112" s="348"/>
      <c r="CB112" s="348"/>
      <c r="CC112" s="348"/>
      <c r="CD112" s="348"/>
      <c r="CE112" s="348"/>
      <c r="CF112" s="348"/>
      <c r="CG112" s="348"/>
      <c r="CH112" s="348"/>
      <c r="CI112" s="348"/>
      <c r="CJ112" s="348"/>
      <c r="CK112" s="348"/>
      <c r="CL112" s="348"/>
      <c r="CM112" s="348"/>
      <c r="CN112" s="348"/>
      <c r="CO112" s="348"/>
      <c r="CP112" s="348"/>
      <c r="CQ112" s="348"/>
      <c r="CR112" s="348"/>
    </row>
    <row r="113" spans="25:96" x14ac:dyDescent="0.25">
      <c r="Y113" s="348"/>
      <c r="Z113" s="348"/>
      <c r="AA113" s="348"/>
      <c r="AB113" s="348"/>
      <c r="AC113" s="348"/>
      <c r="AD113" s="348"/>
      <c r="AE113" s="348"/>
      <c r="AF113" s="348"/>
      <c r="AG113" s="348"/>
      <c r="AH113" s="348"/>
      <c r="AI113" s="348"/>
      <c r="AJ113" s="348"/>
      <c r="AK113" s="348"/>
      <c r="AL113" s="348"/>
      <c r="AM113" s="348"/>
      <c r="AN113" s="348"/>
      <c r="AO113" s="348"/>
      <c r="AP113" s="348"/>
      <c r="AQ113" s="348"/>
      <c r="AR113" s="348"/>
      <c r="AS113" s="348"/>
      <c r="AT113" s="348"/>
      <c r="AU113" s="348"/>
      <c r="AV113" s="348"/>
      <c r="AW113" s="348"/>
      <c r="AX113" s="348"/>
      <c r="AY113" s="348"/>
      <c r="AZ113" s="348"/>
      <c r="BA113" s="348"/>
      <c r="BB113" s="348"/>
      <c r="BC113" s="348"/>
      <c r="BD113" s="348"/>
      <c r="BE113" s="348"/>
      <c r="BF113" s="348"/>
      <c r="BG113" s="348"/>
      <c r="BH113" s="348"/>
      <c r="BI113" s="348"/>
      <c r="BJ113" s="348"/>
      <c r="BK113" s="348"/>
      <c r="BL113" s="348"/>
      <c r="BM113" s="348"/>
      <c r="BN113" s="348"/>
      <c r="BO113" s="348"/>
      <c r="BP113" s="348"/>
      <c r="BQ113" s="348"/>
      <c r="BR113" s="348"/>
      <c r="BS113" s="348"/>
      <c r="BT113" s="348"/>
      <c r="BU113" s="348"/>
      <c r="BV113" s="348"/>
      <c r="BW113" s="348"/>
      <c r="BX113" s="348"/>
      <c r="BY113" s="348"/>
      <c r="BZ113" s="348"/>
      <c r="CA113" s="348"/>
      <c r="CB113" s="348"/>
      <c r="CC113" s="348"/>
      <c r="CD113" s="348"/>
      <c r="CE113" s="348"/>
      <c r="CF113" s="348"/>
      <c r="CG113" s="348"/>
      <c r="CH113" s="348"/>
      <c r="CI113" s="348"/>
      <c r="CJ113" s="348"/>
      <c r="CK113" s="348"/>
      <c r="CL113" s="348"/>
      <c r="CM113" s="348"/>
      <c r="CN113" s="348"/>
      <c r="CO113" s="348"/>
      <c r="CP113" s="348"/>
      <c r="CQ113" s="348"/>
      <c r="CR113" s="348"/>
    </row>
    <row r="114" spans="25:96" x14ac:dyDescent="0.25">
      <c r="Y114" s="348"/>
      <c r="Z114" s="348"/>
      <c r="AA114" s="348"/>
      <c r="AB114" s="348"/>
      <c r="AC114" s="348"/>
      <c r="AD114" s="348"/>
      <c r="AE114" s="348"/>
      <c r="AF114" s="348"/>
      <c r="AG114" s="348"/>
      <c r="AH114" s="348"/>
      <c r="AI114" s="348"/>
      <c r="AJ114" s="348"/>
      <c r="AK114" s="348"/>
      <c r="AL114" s="348"/>
      <c r="AM114" s="348"/>
      <c r="AN114" s="348"/>
      <c r="AO114" s="348"/>
      <c r="AP114" s="348"/>
      <c r="AQ114" s="348"/>
      <c r="AR114" s="348"/>
      <c r="AS114" s="348"/>
      <c r="AT114" s="348"/>
      <c r="AU114" s="348"/>
      <c r="AV114" s="348"/>
      <c r="AW114" s="348"/>
      <c r="AX114" s="348"/>
      <c r="AY114" s="348"/>
      <c r="AZ114" s="348"/>
      <c r="BA114" s="348"/>
      <c r="BB114" s="348"/>
      <c r="BC114" s="348"/>
      <c r="BD114" s="348"/>
      <c r="BE114" s="348"/>
      <c r="BF114" s="348"/>
      <c r="BG114" s="348"/>
      <c r="BH114" s="348"/>
      <c r="BI114" s="348"/>
      <c r="BJ114" s="348"/>
      <c r="BK114" s="348"/>
      <c r="BL114" s="348"/>
      <c r="BM114" s="348"/>
      <c r="BN114" s="348"/>
      <c r="BO114" s="348"/>
      <c r="BP114" s="348"/>
      <c r="BQ114" s="348"/>
      <c r="BR114" s="348"/>
      <c r="BS114" s="348"/>
      <c r="BT114" s="348"/>
      <c r="BU114" s="348"/>
      <c r="BV114" s="348"/>
      <c r="BW114" s="348"/>
      <c r="BX114" s="348"/>
      <c r="BY114" s="348"/>
      <c r="BZ114" s="348"/>
      <c r="CA114" s="348"/>
      <c r="CB114" s="348"/>
      <c r="CC114" s="348"/>
      <c r="CD114" s="348"/>
      <c r="CE114" s="348"/>
      <c r="CF114" s="348"/>
      <c r="CG114" s="348"/>
      <c r="CH114" s="348"/>
      <c r="CI114" s="348"/>
      <c r="CJ114" s="348"/>
      <c r="CK114" s="348"/>
      <c r="CL114" s="348"/>
      <c r="CM114" s="348"/>
      <c r="CN114" s="348"/>
      <c r="CO114" s="348"/>
      <c r="CP114" s="348"/>
      <c r="CQ114" s="348"/>
      <c r="CR114" s="348"/>
    </row>
    <row r="115" spans="25:96" x14ac:dyDescent="0.25">
      <c r="Y115" s="348"/>
      <c r="Z115" s="348"/>
      <c r="AA115" s="348"/>
      <c r="AB115" s="348"/>
      <c r="AC115" s="348"/>
      <c r="AD115" s="348"/>
      <c r="AE115" s="348"/>
      <c r="AF115" s="348"/>
      <c r="AG115" s="348"/>
      <c r="AH115" s="348"/>
      <c r="AI115" s="348"/>
      <c r="AJ115" s="348"/>
      <c r="AK115" s="348"/>
      <c r="AL115" s="348"/>
      <c r="AM115" s="348"/>
      <c r="AN115" s="348"/>
      <c r="AO115" s="348"/>
      <c r="AP115" s="348"/>
      <c r="AQ115" s="348"/>
      <c r="AR115" s="348"/>
      <c r="AS115" s="348"/>
      <c r="AT115" s="348"/>
      <c r="AU115" s="348"/>
      <c r="AV115" s="348"/>
      <c r="AW115" s="348"/>
      <c r="AX115" s="348"/>
      <c r="AY115" s="348"/>
      <c r="AZ115" s="348"/>
      <c r="BA115" s="348"/>
      <c r="BB115" s="348"/>
      <c r="BC115" s="348"/>
      <c r="BD115" s="348"/>
      <c r="BE115" s="348"/>
      <c r="BF115" s="348"/>
      <c r="BG115" s="348"/>
      <c r="BH115" s="348"/>
      <c r="BI115" s="348"/>
      <c r="BJ115" s="348"/>
      <c r="BK115" s="348"/>
      <c r="BL115" s="348"/>
      <c r="BM115" s="348"/>
      <c r="BN115" s="348"/>
      <c r="BO115" s="348"/>
      <c r="BP115" s="348"/>
      <c r="BQ115" s="348"/>
      <c r="BR115" s="348"/>
      <c r="BS115" s="348"/>
      <c r="BT115" s="348"/>
      <c r="BU115" s="348"/>
      <c r="BV115" s="348"/>
      <c r="BW115" s="348"/>
      <c r="BX115" s="348"/>
      <c r="BY115" s="348"/>
      <c r="BZ115" s="348"/>
      <c r="CA115" s="348"/>
      <c r="CB115" s="348"/>
      <c r="CC115" s="348"/>
      <c r="CD115" s="348"/>
      <c r="CE115" s="348"/>
      <c r="CF115" s="348"/>
      <c r="CG115" s="348"/>
      <c r="CH115" s="348"/>
      <c r="CI115" s="348"/>
      <c r="CJ115" s="348"/>
      <c r="CK115" s="348"/>
      <c r="CL115" s="348"/>
      <c r="CM115" s="348"/>
      <c r="CN115" s="348"/>
      <c r="CO115" s="348"/>
      <c r="CP115" s="348"/>
      <c r="CQ115" s="348"/>
      <c r="CR115" s="348"/>
    </row>
    <row r="116" spans="25:96" x14ac:dyDescent="0.25">
      <c r="Y116" s="348"/>
      <c r="Z116" s="348"/>
      <c r="AA116" s="348"/>
      <c r="AB116" s="348"/>
      <c r="AC116" s="348"/>
      <c r="AD116" s="348"/>
      <c r="AE116" s="348"/>
      <c r="AF116" s="348"/>
      <c r="AG116" s="348"/>
      <c r="AH116" s="348"/>
      <c r="AI116" s="348"/>
      <c r="AJ116" s="348"/>
      <c r="AK116" s="348"/>
      <c r="AL116" s="348"/>
      <c r="AM116" s="348"/>
      <c r="AN116" s="348"/>
      <c r="AO116" s="348"/>
      <c r="AP116" s="348"/>
      <c r="AQ116" s="348"/>
      <c r="AR116" s="348"/>
      <c r="AS116" s="348"/>
      <c r="AT116" s="348"/>
      <c r="AU116" s="348"/>
      <c r="AV116" s="348"/>
      <c r="AW116" s="348"/>
      <c r="AX116" s="348"/>
      <c r="AY116" s="348"/>
      <c r="AZ116" s="348"/>
      <c r="BA116" s="348"/>
      <c r="BB116" s="348"/>
      <c r="BC116" s="348"/>
      <c r="BD116" s="348"/>
      <c r="BE116" s="348"/>
      <c r="BF116" s="348"/>
      <c r="BG116" s="348"/>
      <c r="BH116" s="348"/>
      <c r="BI116" s="348"/>
      <c r="BJ116" s="348"/>
      <c r="BK116" s="348"/>
      <c r="BL116" s="348"/>
      <c r="BM116" s="348"/>
      <c r="BN116" s="348"/>
      <c r="BO116" s="348"/>
      <c r="BP116" s="348"/>
      <c r="BQ116" s="348"/>
      <c r="BR116" s="348"/>
      <c r="BS116" s="348"/>
      <c r="BT116" s="348"/>
      <c r="BU116" s="348"/>
      <c r="BV116" s="348"/>
      <c r="BW116" s="348"/>
      <c r="BX116" s="348"/>
      <c r="BY116" s="348"/>
      <c r="BZ116" s="348"/>
      <c r="CA116" s="348"/>
      <c r="CB116" s="348"/>
      <c r="CC116" s="348"/>
      <c r="CD116" s="348"/>
      <c r="CE116" s="348"/>
      <c r="CF116" s="348"/>
      <c r="CG116" s="348"/>
      <c r="CH116" s="348"/>
      <c r="CI116" s="348"/>
      <c r="CJ116" s="348"/>
      <c r="CK116" s="348"/>
      <c r="CL116" s="348"/>
      <c r="CM116" s="348"/>
      <c r="CN116" s="348"/>
      <c r="CO116" s="348"/>
      <c r="CP116" s="348"/>
      <c r="CQ116" s="348"/>
      <c r="CR116" s="348"/>
    </row>
    <row r="117" spans="25:96" x14ac:dyDescent="0.25">
      <c r="Y117" s="348"/>
      <c r="Z117" s="348"/>
      <c r="AA117" s="348"/>
      <c r="AB117" s="348"/>
      <c r="AC117" s="348"/>
      <c r="AD117" s="348"/>
      <c r="AE117" s="348"/>
      <c r="AF117" s="348"/>
      <c r="AG117" s="348"/>
      <c r="AH117" s="348"/>
      <c r="AI117" s="348"/>
      <c r="AJ117" s="348"/>
      <c r="AK117" s="348"/>
      <c r="AL117" s="348"/>
      <c r="AM117" s="348"/>
      <c r="AN117" s="348"/>
      <c r="AO117" s="348"/>
      <c r="AP117" s="348"/>
      <c r="AQ117" s="348"/>
      <c r="AR117" s="348"/>
      <c r="AS117" s="348"/>
      <c r="AT117" s="348"/>
      <c r="AU117" s="348"/>
      <c r="AV117" s="348"/>
      <c r="AW117" s="348"/>
      <c r="AX117" s="348"/>
      <c r="AY117" s="348"/>
      <c r="AZ117" s="348"/>
      <c r="BA117" s="348"/>
      <c r="BB117" s="348"/>
      <c r="BC117" s="348"/>
      <c r="BD117" s="348"/>
      <c r="BE117" s="348"/>
      <c r="BF117" s="348"/>
      <c r="BG117" s="348"/>
      <c r="BH117" s="348"/>
      <c r="BI117" s="348"/>
      <c r="BJ117" s="348"/>
      <c r="BK117" s="348"/>
      <c r="BL117" s="348"/>
      <c r="BM117" s="348"/>
      <c r="BN117" s="348"/>
      <c r="BO117" s="348"/>
      <c r="BP117" s="348"/>
      <c r="BQ117" s="348"/>
      <c r="BR117" s="348"/>
      <c r="BS117" s="348"/>
      <c r="BT117" s="348"/>
      <c r="BU117" s="348"/>
      <c r="BV117" s="348"/>
      <c r="BW117" s="348"/>
      <c r="BX117" s="348"/>
      <c r="BY117" s="348"/>
      <c r="BZ117" s="348"/>
      <c r="CA117" s="348"/>
      <c r="CB117" s="348"/>
      <c r="CC117" s="348"/>
      <c r="CD117" s="348"/>
      <c r="CE117" s="348"/>
      <c r="CF117" s="348"/>
      <c r="CG117" s="348"/>
      <c r="CH117" s="348"/>
      <c r="CI117" s="348"/>
      <c r="CJ117" s="348"/>
      <c r="CK117" s="348"/>
      <c r="CL117" s="348"/>
      <c r="CM117" s="348"/>
      <c r="CN117" s="348"/>
      <c r="CO117" s="348"/>
      <c r="CP117" s="348"/>
      <c r="CQ117" s="348"/>
      <c r="CR117" s="348"/>
    </row>
  </sheetData>
  <sheetProtection algorithmName="SHA-512" hashValue="ZLns7jUFAzs5eep+Np6uP1iO70mR6eYG9uKmK4VcRj2L3JFARf8aW+ril90lHwg7NJDWtD3GCMJw41BGfcnbog==" saltValue="ts4Xb+Wg34IyR0WKZDWU5w==" spinCount="100000" sheet="1" objects="1" scenarios="1" selectLockedCells="1"/>
  <mergeCells count="292">
    <mergeCell ref="C1:CP3"/>
    <mergeCell ref="A4:K4"/>
    <mergeCell ref="L4:P5"/>
    <mergeCell ref="Q4:U5"/>
    <mergeCell ref="V4:W5"/>
    <mergeCell ref="X4:X5"/>
    <mergeCell ref="BU4:CB4"/>
    <mergeCell ref="CC4:CJ4"/>
    <mergeCell ref="CK4:CR4"/>
    <mergeCell ref="A5:C5"/>
    <mergeCell ref="E5:F5"/>
    <mergeCell ref="G5:I5"/>
    <mergeCell ref="J5:J6"/>
    <mergeCell ref="K5:K6"/>
    <mergeCell ref="Y5:AB5"/>
    <mergeCell ref="AC5:AF5"/>
    <mergeCell ref="Y4:AF4"/>
    <mergeCell ref="AG4:AN4"/>
    <mergeCell ref="AO4:AV4"/>
    <mergeCell ref="AW4:BD4"/>
    <mergeCell ref="BE4:BL4"/>
    <mergeCell ref="BM4:BT4"/>
    <mergeCell ref="CC5:CF5"/>
    <mergeCell ref="CG5:CJ5"/>
    <mergeCell ref="CK5:CN5"/>
    <mergeCell ref="CO5:CR5"/>
    <mergeCell ref="A7:A35"/>
    <mergeCell ref="B7:B35"/>
    <mergeCell ref="C7:C35"/>
    <mergeCell ref="D7:D12"/>
    <mergeCell ref="E7:E12"/>
    <mergeCell ref="F7:F12"/>
    <mergeCell ref="BE5:BH5"/>
    <mergeCell ref="BI5:BL5"/>
    <mergeCell ref="BM5:BP5"/>
    <mergeCell ref="BQ5:BT5"/>
    <mergeCell ref="BU5:BX5"/>
    <mergeCell ref="BY5:CB5"/>
    <mergeCell ref="AG5:AJ5"/>
    <mergeCell ref="AK5:AN5"/>
    <mergeCell ref="AO5:AR5"/>
    <mergeCell ref="AS5:AV5"/>
    <mergeCell ref="AW5:AZ5"/>
    <mergeCell ref="BA5:BD5"/>
    <mergeCell ref="X7:X12"/>
    <mergeCell ref="L9:L11"/>
    <mergeCell ref="M9:M11"/>
    <mergeCell ref="N9:N11"/>
    <mergeCell ref="O9:O11"/>
    <mergeCell ref="P9:P11"/>
    <mergeCell ref="V9:V11"/>
    <mergeCell ref="G7:G35"/>
    <mergeCell ref="H7:H12"/>
    <mergeCell ref="I7:I12"/>
    <mergeCell ref="J7:J35"/>
    <mergeCell ref="K7:K12"/>
    <mergeCell ref="W7:W35"/>
    <mergeCell ref="K23:K27"/>
    <mergeCell ref="AP9:AP11"/>
    <mergeCell ref="AQ9:AQ11"/>
    <mergeCell ref="AR9:AR11"/>
    <mergeCell ref="Y9:Y11"/>
    <mergeCell ref="Z9:Z11"/>
    <mergeCell ref="AA9:AA11"/>
    <mergeCell ref="AB9:AB11"/>
    <mergeCell ref="AG9:AG11"/>
    <mergeCell ref="AH9:AH11"/>
    <mergeCell ref="CL9:CL11"/>
    <mergeCell ref="CM9:CM11"/>
    <mergeCell ref="CN9:CN11"/>
    <mergeCell ref="BU9:BU11"/>
    <mergeCell ref="BV9:BV11"/>
    <mergeCell ref="BW9:BW11"/>
    <mergeCell ref="BX9:BX11"/>
    <mergeCell ref="CC9:CC11"/>
    <mergeCell ref="CD9:CD11"/>
    <mergeCell ref="Y13:Z13"/>
    <mergeCell ref="AC13:AD13"/>
    <mergeCell ref="AG13:AH13"/>
    <mergeCell ref="AK13:AL13"/>
    <mergeCell ref="AO13:AP13"/>
    <mergeCell ref="AS13:AT13"/>
    <mergeCell ref="CE9:CE11"/>
    <mergeCell ref="CF9:CF11"/>
    <mergeCell ref="CK9:CK11"/>
    <mergeCell ref="BG9:BG11"/>
    <mergeCell ref="BH9:BH11"/>
    <mergeCell ref="BM9:BM11"/>
    <mergeCell ref="BN9:BN11"/>
    <mergeCell ref="BO9:BO11"/>
    <mergeCell ref="BP9:BP11"/>
    <mergeCell ref="AW9:AW11"/>
    <mergeCell ref="AX9:AX11"/>
    <mergeCell ref="AY9:AY11"/>
    <mergeCell ref="AZ9:AZ11"/>
    <mergeCell ref="BE9:BE11"/>
    <mergeCell ref="BF9:BF11"/>
    <mergeCell ref="AI9:AI11"/>
    <mergeCell ref="AJ9:AJ11"/>
    <mergeCell ref="AO9:AO11"/>
    <mergeCell ref="BU13:BV13"/>
    <mergeCell ref="BY13:BZ13"/>
    <mergeCell ref="CC13:CD13"/>
    <mergeCell ref="CG13:CH13"/>
    <mergeCell ref="CK13:CL13"/>
    <mergeCell ref="CO13:CP13"/>
    <mergeCell ref="AW13:AX13"/>
    <mergeCell ref="BA13:BB13"/>
    <mergeCell ref="BE13:BF13"/>
    <mergeCell ref="BI13:BJ13"/>
    <mergeCell ref="BM13:BN13"/>
    <mergeCell ref="BQ13:BR13"/>
    <mergeCell ref="X14:X16"/>
    <mergeCell ref="Y17:Z17"/>
    <mergeCell ref="AC17:AD17"/>
    <mergeCell ref="AG17:AH17"/>
    <mergeCell ref="AK17:AL17"/>
    <mergeCell ref="AO17:AP17"/>
    <mergeCell ref="D14:D35"/>
    <mergeCell ref="E14:E16"/>
    <mergeCell ref="F14:F16"/>
    <mergeCell ref="H14:H16"/>
    <mergeCell ref="I14:I16"/>
    <mergeCell ref="K14:K16"/>
    <mergeCell ref="E23:E27"/>
    <mergeCell ref="F23:F27"/>
    <mergeCell ref="H23:H27"/>
    <mergeCell ref="I23:I27"/>
    <mergeCell ref="X23:X27"/>
    <mergeCell ref="L24:L27"/>
    <mergeCell ref="M24:M27"/>
    <mergeCell ref="N24:N27"/>
    <mergeCell ref="O24:O27"/>
    <mergeCell ref="P24:P27"/>
    <mergeCell ref="V24:V27"/>
    <mergeCell ref="Y22:Z22"/>
    <mergeCell ref="CO17:CP17"/>
    <mergeCell ref="E18:E21"/>
    <mergeCell ref="F18:F21"/>
    <mergeCell ref="H18:H21"/>
    <mergeCell ref="I18:I21"/>
    <mergeCell ref="K18:K21"/>
    <mergeCell ref="X18:X21"/>
    <mergeCell ref="BQ17:BR17"/>
    <mergeCell ref="BU17:BV17"/>
    <mergeCell ref="BY17:BZ17"/>
    <mergeCell ref="CC17:CD17"/>
    <mergeCell ref="CG17:CH17"/>
    <mergeCell ref="CK17:CL17"/>
    <mergeCell ref="AS17:AT17"/>
    <mergeCell ref="AW17:AX17"/>
    <mergeCell ref="BA17:BB17"/>
    <mergeCell ref="BE17:BF17"/>
    <mergeCell ref="BI17:BJ17"/>
    <mergeCell ref="BM17:BN17"/>
    <mergeCell ref="CC22:CD22"/>
    <mergeCell ref="CG22:CH22"/>
    <mergeCell ref="CK22:CL22"/>
    <mergeCell ref="CO22:CP22"/>
    <mergeCell ref="AW22:AX22"/>
    <mergeCell ref="BA22:BB22"/>
    <mergeCell ref="BE22:BF22"/>
    <mergeCell ref="BI22:BJ22"/>
    <mergeCell ref="BM22:BN22"/>
    <mergeCell ref="BQ22:BR22"/>
    <mergeCell ref="BU22:BV22"/>
    <mergeCell ref="BY22:BZ22"/>
    <mergeCell ref="AC22:AD22"/>
    <mergeCell ref="AG22:AH22"/>
    <mergeCell ref="AK22:AL22"/>
    <mergeCell ref="AO22:AP22"/>
    <mergeCell ref="AS22:AT22"/>
    <mergeCell ref="AI24:AI27"/>
    <mergeCell ref="AJ24:AJ27"/>
    <mergeCell ref="AO24:AO27"/>
    <mergeCell ref="AP24:AP27"/>
    <mergeCell ref="AQ24:AQ27"/>
    <mergeCell ref="AR24:AR27"/>
    <mergeCell ref="Y24:Y27"/>
    <mergeCell ref="Z24:Z27"/>
    <mergeCell ref="AA24:AA27"/>
    <mergeCell ref="AB24:AB27"/>
    <mergeCell ref="AG24:AG27"/>
    <mergeCell ref="AH24:AH27"/>
    <mergeCell ref="BG24:BG27"/>
    <mergeCell ref="BH24:BH27"/>
    <mergeCell ref="BM24:BM27"/>
    <mergeCell ref="BN24:BN27"/>
    <mergeCell ref="BO24:BO27"/>
    <mergeCell ref="BP24:BP27"/>
    <mergeCell ref="AW24:AW27"/>
    <mergeCell ref="AX24:AX27"/>
    <mergeCell ref="AY24:AY27"/>
    <mergeCell ref="AZ24:AZ27"/>
    <mergeCell ref="BE24:BE27"/>
    <mergeCell ref="BF24:BF27"/>
    <mergeCell ref="CE24:CE27"/>
    <mergeCell ref="CF24:CF27"/>
    <mergeCell ref="CK24:CK27"/>
    <mergeCell ref="CL24:CL27"/>
    <mergeCell ref="CM24:CM27"/>
    <mergeCell ref="CN24:CN27"/>
    <mergeCell ref="BU24:BU27"/>
    <mergeCell ref="BV24:BV27"/>
    <mergeCell ref="BW24:BW27"/>
    <mergeCell ref="BX24:BX27"/>
    <mergeCell ref="CC24:CC27"/>
    <mergeCell ref="CD24:CD27"/>
    <mergeCell ref="CG28:CH28"/>
    <mergeCell ref="CK28:CL28"/>
    <mergeCell ref="CO28:CP28"/>
    <mergeCell ref="AW28:AX28"/>
    <mergeCell ref="BA28:BB28"/>
    <mergeCell ref="BE28:BF28"/>
    <mergeCell ref="BI28:BJ28"/>
    <mergeCell ref="BM28:BN28"/>
    <mergeCell ref="BQ28:BR28"/>
    <mergeCell ref="E29:E31"/>
    <mergeCell ref="F29:F31"/>
    <mergeCell ref="H29:H31"/>
    <mergeCell ref="I29:I31"/>
    <mergeCell ref="K29:K31"/>
    <mergeCell ref="X29:X31"/>
    <mergeCell ref="BU28:BV28"/>
    <mergeCell ref="BY28:BZ28"/>
    <mergeCell ref="CC28:CD28"/>
    <mergeCell ref="Y28:Z28"/>
    <mergeCell ref="AC28:AD28"/>
    <mergeCell ref="AG28:AH28"/>
    <mergeCell ref="AK28:AL28"/>
    <mergeCell ref="AO28:AP28"/>
    <mergeCell ref="AS28:AT28"/>
    <mergeCell ref="CG32:CH32"/>
    <mergeCell ref="CK32:CL32"/>
    <mergeCell ref="CO32:CP32"/>
    <mergeCell ref="AW32:AX32"/>
    <mergeCell ref="BA32:BB32"/>
    <mergeCell ref="BE32:BF32"/>
    <mergeCell ref="BI32:BJ32"/>
    <mergeCell ref="BM32:BN32"/>
    <mergeCell ref="BQ32:BR32"/>
    <mergeCell ref="E33:E35"/>
    <mergeCell ref="F33:F35"/>
    <mergeCell ref="H33:H35"/>
    <mergeCell ref="I33:I35"/>
    <mergeCell ref="K33:K35"/>
    <mergeCell ref="X33:X35"/>
    <mergeCell ref="BU32:BV32"/>
    <mergeCell ref="BY32:BZ32"/>
    <mergeCell ref="CC32:CD32"/>
    <mergeCell ref="Y32:Z32"/>
    <mergeCell ref="AC32:AD32"/>
    <mergeCell ref="AG32:AH32"/>
    <mergeCell ref="AK32:AL32"/>
    <mergeCell ref="AO32:AP32"/>
    <mergeCell ref="AS32:AT32"/>
    <mergeCell ref="CG36:CH36"/>
    <mergeCell ref="CK36:CL36"/>
    <mergeCell ref="CO36:CP36"/>
    <mergeCell ref="AW36:AX36"/>
    <mergeCell ref="BA36:BB36"/>
    <mergeCell ref="BE36:BF36"/>
    <mergeCell ref="BI36:BJ36"/>
    <mergeCell ref="BM36:BN36"/>
    <mergeCell ref="BQ36:BR36"/>
    <mergeCell ref="Y38:Z38"/>
    <mergeCell ref="AC38:AD38"/>
    <mergeCell ref="AG38:AH38"/>
    <mergeCell ref="AK38:AL38"/>
    <mergeCell ref="AO38:AP38"/>
    <mergeCell ref="AS38:AT38"/>
    <mergeCell ref="BU36:BV36"/>
    <mergeCell ref="BY36:BZ36"/>
    <mergeCell ref="CC36:CD36"/>
    <mergeCell ref="Y36:Z36"/>
    <mergeCell ref="AC36:AD36"/>
    <mergeCell ref="AG36:AH36"/>
    <mergeCell ref="AK36:AL36"/>
    <mergeCell ref="AO36:AP36"/>
    <mergeCell ref="AS36:AT36"/>
    <mergeCell ref="BU38:BV38"/>
    <mergeCell ref="BY38:BZ38"/>
    <mergeCell ref="CC38:CD38"/>
    <mergeCell ref="CG38:CH38"/>
    <mergeCell ref="CK38:CL38"/>
    <mergeCell ref="CO38:CP38"/>
    <mergeCell ref="AW38:AX38"/>
    <mergeCell ref="BA38:BB38"/>
    <mergeCell ref="BE38:BF38"/>
    <mergeCell ref="BI38:BJ38"/>
    <mergeCell ref="BM38:BN38"/>
    <mergeCell ref="BQ38:BR38"/>
  </mergeCells>
  <pageMargins left="0.7" right="0.7" top="0.75" bottom="0.75" header="0.3" footer="0.3"/>
  <drawing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sheetPr>
  <dimension ref="A1:JR24"/>
  <sheetViews>
    <sheetView topLeftCell="CK1" zoomScaleNormal="100" workbookViewId="0">
      <selection activeCell="CQ1" sqref="CQ1"/>
    </sheetView>
  </sheetViews>
  <sheetFormatPr baseColWidth="10" defaultRowHeight="15" x14ac:dyDescent="0.25"/>
  <cols>
    <col min="1" max="1" width="15.5703125" customWidth="1"/>
    <col min="2" max="2" width="17.28515625" customWidth="1"/>
    <col min="3" max="3" width="20.85546875" customWidth="1"/>
    <col min="4" max="4" width="20.5703125" customWidth="1"/>
    <col min="5" max="5" width="17.140625" customWidth="1"/>
    <col min="6" max="6" width="18" customWidth="1"/>
    <col min="7" max="7" width="18.85546875" customWidth="1"/>
    <col min="8" max="8" width="16" customWidth="1"/>
    <col min="9" max="9" width="13.85546875" customWidth="1"/>
    <col min="10" max="10" width="15.140625" customWidth="1"/>
    <col min="11" max="11" width="13.7109375" customWidth="1"/>
    <col min="12" max="12" width="23.28515625" customWidth="1"/>
    <col min="13" max="13" width="19.28515625" customWidth="1"/>
    <col min="17" max="17" width="21.42578125" customWidth="1"/>
    <col min="18" max="18" width="29.140625" customWidth="1"/>
    <col min="20" max="20" width="14.140625" bestFit="1" customWidth="1"/>
    <col min="22" max="22" width="21.85546875" customWidth="1"/>
    <col min="23" max="24" width="20.85546875" customWidth="1"/>
    <col min="25" max="25" width="15.5703125" customWidth="1"/>
    <col min="26" max="26" width="32.85546875" bestFit="1" customWidth="1"/>
    <col min="27" max="27" width="11.42578125" customWidth="1"/>
    <col min="28" max="28" width="36.85546875" customWidth="1"/>
    <col min="29" max="29" width="15.85546875" customWidth="1"/>
    <col min="30" max="30" width="32.140625" bestFit="1" customWidth="1"/>
    <col min="31" max="31" width="11.42578125" customWidth="1"/>
    <col min="32" max="32" width="53" customWidth="1"/>
    <col min="33" max="34" width="15.140625" customWidth="1"/>
    <col min="35" max="35" width="15.42578125" customWidth="1"/>
    <col min="36" max="36" width="40.85546875" customWidth="1"/>
    <col min="37" max="37" width="21" customWidth="1"/>
    <col min="38" max="38" width="21.7109375" customWidth="1"/>
    <col min="39" max="39" width="14.140625" customWidth="1"/>
    <col min="40" max="40" width="44.140625" customWidth="1"/>
    <col min="41" max="41" width="18.5703125" customWidth="1"/>
    <col min="42" max="42" width="16.42578125" customWidth="1"/>
    <col min="44" max="44" width="42.5703125" customWidth="1"/>
    <col min="45" max="45" width="16.85546875" customWidth="1"/>
    <col min="46" max="46" width="18.140625" customWidth="1"/>
    <col min="48" max="48" width="48" customWidth="1"/>
    <col min="49" max="49" width="18.85546875" customWidth="1"/>
    <col min="50" max="50" width="20.5703125" customWidth="1"/>
    <col min="52" max="52" width="39.85546875" customWidth="1"/>
    <col min="53" max="53" width="22.5703125" customWidth="1"/>
    <col min="54" max="54" width="20" customWidth="1"/>
    <col min="56" max="56" width="41.85546875" customWidth="1"/>
    <col min="57" max="57" width="15" customWidth="1"/>
    <col min="58" max="58" width="17.28515625" bestFit="1" customWidth="1"/>
    <col min="59" max="59" width="17.7109375" bestFit="1" customWidth="1"/>
    <col min="60" max="60" width="42.5703125" customWidth="1"/>
    <col min="61" max="61" width="21.42578125" customWidth="1"/>
    <col min="62" max="62" width="20.28515625" customWidth="1"/>
    <col min="64" max="64" width="39.7109375" customWidth="1"/>
    <col min="65" max="65" width="17.42578125" customWidth="1"/>
    <col min="66" max="66" width="20.7109375" customWidth="1"/>
    <col min="68" max="68" width="42.7109375" customWidth="1"/>
    <col min="69" max="69" width="19.140625" customWidth="1"/>
    <col min="70" max="70" width="20.42578125" customWidth="1"/>
    <col min="72" max="72" width="47.85546875" customWidth="1"/>
    <col min="73" max="73" width="23.7109375" customWidth="1"/>
    <col min="74" max="74" width="22.140625" customWidth="1"/>
    <col min="76" max="76" width="40.28515625" customWidth="1"/>
    <col min="77" max="77" width="27.28515625" customWidth="1"/>
    <col min="78" max="78" width="24.28515625" customWidth="1"/>
    <col min="80" max="80" width="51.7109375" customWidth="1"/>
    <col min="81" max="81" width="18.28515625" customWidth="1"/>
    <col min="82" max="82" width="15.5703125" customWidth="1"/>
    <col min="83" max="83" width="14.7109375" customWidth="1"/>
    <col min="84" max="84" width="53.42578125" customWidth="1"/>
    <col min="85" max="85" width="25" customWidth="1"/>
    <col min="86" max="86" width="23.28515625" customWidth="1"/>
    <col min="87" max="87" width="15.5703125" customWidth="1"/>
    <col min="88" max="88" width="48.7109375" customWidth="1"/>
    <col min="89" max="89" width="14.7109375" customWidth="1"/>
    <col min="90" max="90" width="19.140625" customWidth="1"/>
    <col min="91" max="91" width="13.42578125" customWidth="1"/>
    <col min="92" max="92" width="49.28515625" customWidth="1"/>
    <col min="93" max="93" width="19.28515625" customWidth="1"/>
    <col min="94" max="94" width="18.140625" customWidth="1"/>
    <col min="95" max="95" width="15.42578125" customWidth="1"/>
    <col min="96" max="96" width="46.5703125" customWidth="1"/>
    <col min="97" max="97" width="19.140625" style="707" bestFit="1" customWidth="1"/>
    <col min="98" max="278" width="11.42578125" style="707"/>
  </cols>
  <sheetData>
    <row r="1" spans="1:278" s="40" customFormat="1" ht="15.75" customHeight="1" x14ac:dyDescent="0.25">
      <c r="C1" s="556" t="s">
        <v>0</v>
      </c>
      <c r="D1" s="556"/>
      <c r="E1" s="556"/>
      <c r="F1" s="556"/>
      <c r="G1" s="556"/>
      <c r="H1" s="556"/>
      <c r="I1" s="556"/>
      <c r="J1" s="556"/>
      <c r="K1" s="556"/>
      <c r="L1" s="556"/>
      <c r="M1" s="556"/>
      <c r="N1" s="556"/>
      <c r="O1" s="556"/>
      <c r="P1" s="556"/>
      <c r="Q1" s="556"/>
      <c r="R1" s="556"/>
      <c r="S1" s="556"/>
      <c r="T1" s="556"/>
      <c r="U1" s="556"/>
      <c r="V1" s="556"/>
      <c r="W1" s="556"/>
      <c r="X1" s="556"/>
      <c r="Y1" s="556"/>
      <c r="Z1" s="556"/>
      <c r="AA1" s="556"/>
      <c r="AB1" s="556"/>
      <c r="AC1" s="556"/>
      <c r="AD1" s="556"/>
      <c r="AE1" s="556"/>
      <c r="AF1" s="556"/>
      <c r="AG1" s="556"/>
      <c r="AH1" s="556"/>
      <c r="AI1" s="556"/>
      <c r="AJ1" s="556"/>
      <c r="AK1" s="556"/>
      <c r="AL1" s="556"/>
      <c r="AM1" s="556"/>
      <c r="AN1" s="556"/>
      <c r="AO1" s="556"/>
      <c r="AP1" s="556"/>
      <c r="AQ1" s="556"/>
      <c r="AR1" s="556"/>
      <c r="AS1" s="556"/>
      <c r="AT1" s="556"/>
      <c r="AU1" s="556"/>
      <c r="AV1" s="556"/>
      <c r="AW1" s="556"/>
      <c r="AX1" s="556"/>
      <c r="AY1" s="556"/>
      <c r="AZ1" s="556"/>
      <c r="BA1" s="556"/>
      <c r="BB1" s="556"/>
      <c r="BC1" s="556"/>
      <c r="BD1" s="556"/>
      <c r="BE1" s="556"/>
      <c r="BF1" s="556"/>
      <c r="BG1" s="556"/>
      <c r="BH1" s="556"/>
      <c r="BI1" s="556"/>
      <c r="BJ1" s="556"/>
      <c r="BK1" s="556"/>
      <c r="BL1" s="556"/>
      <c r="BM1" s="556"/>
      <c r="BN1" s="556"/>
      <c r="BO1" s="556"/>
      <c r="BP1" s="556"/>
      <c r="BQ1" s="556"/>
      <c r="BR1" s="556"/>
      <c r="BS1" s="556"/>
      <c r="BT1" s="556"/>
      <c r="BU1" s="556"/>
      <c r="BV1" s="556"/>
      <c r="BW1" s="556"/>
      <c r="BX1" s="556"/>
      <c r="BY1" s="556"/>
      <c r="BZ1" s="556"/>
      <c r="CA1" s="556"/>
      <c r="CB1" s="556"/>
      <c r="CC1" s="556"/>
      <c r="CD1" s="556"/>
      <c r="CE1" s="556"/>
      <c r="CF1" s="556"/>
      <c r="CG1" s="556"/>
      <c r="CH1" s="556"/>
      <c r="CI1" s="556"/>
      <c r="CJ1" s="556"/>
      <c r="CK1" s="556"/>
      <c r="CL1" s="556"/>
      <c r="CM1" s="556"/>
      <c r="CN1" s="556"/>
      <c r="CO1" s="556"/>
      <c r="CP1" s="662"/>
      <c r="CQ1" s="144" t="s">
        <v>1</v>
      </c>
      <c r="CR1" s="145">
        <v>43458</v>
      </c>
    </row>
    <row r="2" spans="1:278" s="40" customFormat="1" ht="15.75" customHeight="1" x14ac:dyDescent="0.25">
      <c r="C2" s="556"/>
      <c r="D2" s="556"/>
      <c r="E2" s="556"/>
      <c r="F2" s="556"/>
      <c r="G2" s="556"/>
      <c r="H2" s="556"/>
      <c r="I2" s="556"/>
      <c r="J2" s="556"/>
      <c r="K2" s="556"/>
      <c r="L2" s="556"/>
      <c r="M2" s="556"/>
      <c r="N2" s="556"/>
      <c r="O2" s="556"/>
      <c r="P2" s="556"/>
      <c r="Q2" s="556"/>
      <c r="R2" s="556"/>
      <c r="S2" s="556"/>
      <c r="T2" s="556"/>
      <c r="U2" s="556"/>
      <c r="V2" s="556"/>
      <c r="W2" s="556"/>
      <c r="X2" s="556"/>
      <c r="Y2" s="556"/>
      <c r="Z2" s="556"/>
      <c r="AA2" s="556"/>
      <c r="AB2" s="556"/>
      <c r="AC2" s="556"/>
      <c r="AD2" s="556"/>
      <c r="AE2" s="556"/>
      <c r="AF2" s="556"/>
      <c r="AG2" s="556"/>
      <c r="AH2" s="556"/>
      <c r="AI2" s="556"/>
      <c r="AJ2" s="556"/>
      <c r="AK2" s="556"/>
      <c r="AL2" s="556"/>
      <c r="AM2" s="556"/>
      <c r="AN2" s="556"/>
      <c r="AO2" s="556"/>
      <c r="AP2" s="556"/>
      <c r="AQ2" s="556"/>
      <c r="AR2" s="556"/>
      <c r="AS2" s="556"/>
      <c r="AT2" s="556"/>
      <c r="AU2" s="556"/>
      <c r="AV2" s="556"/>
      <c r="AW2" s="556"/>
      <c r="AX2" s="556"/>
      <c r="AY2" s="556"/>
      <c r="AZ2" s="556"/>
      <c r="BA2" s="556"/>
      <c r="BB2" s="556"/>
      <c r="BC2" s="556"/>
      <c r="BD2" s="556"/>
      <c r="BE2" s="556"/>
      <c r="BF2" s="556"/>
      <c r="BG2" s="556"/>
      <c r="BH2" s="556"/>
      <c r="BI2" s="556"/>
      <c r="BJ2" s="556"/>
      <c r="BK2" s="556"/>
      <c r="BL2" s="556"/>
      <c r="BM2" s="556"/>
      <c r="BN2" s="556"/>
      <c r="BO2" s="556"/>
      <c r="BP2" s="556"/>
      <c r="BQ2" s="556"/>
      <c r="BR2" s="556"/>
      <c r="BS2" s="556"/>
      <c r="BT2" s="556"/>
      <c r="BU2" s="556"/>
      <c r="BV2" s="556"/>
      <c r="BW2" s="556"/>
      <c r="BX2" s="556"/>
      <c r="BY2" s="556"/>
      <c r="BZ2" s="556"/>
      <c r="CA2" s="556"/>
      <c r="CB2" s="556"/>
      <c r="CC2" s="556"/>
      <c r="CD2" s="556"/>
      <c r="CE2" s="556"/>
      <c r="CF2" s="556"/>
      <c r="CG2" s="556"/>
      <c r="CH2" s="556"/>
      <c r="CI2" s="556"/>
      <c r="CJ2" s="556"/>
      <c r="CK2" s="556"/>
      <c r="CL2" s="556"/>
      <c r="CM2" s="556"/>
      <c r="CN2" s="556"/>
      <c r="CO2" s="556"/>
      <c r="CP2" s="662"/>
      <c r="CQ2" s="144" t="s">
        <v>2</v>
      </c>
      <c r="CR2" s="144">
        <v>5</v>
      </c>
    </row>
    <row r="3" spans="1:278" s="40" customFormat="1" ht="16.5" customHeight="1" thickBot="1" x14ac:dyDescent="0.3">
      <c r="C3" s="556"/>
      <c r="D3" s="556"/>
      <c r="E3" s="556"/>
      <c r="F3" s="556"/>
      <c r="G3" s="556"/>
      <c r="H3" s="556"/>
      <c r="I3" s="556"/>
      <c r="J3" s="556"/>
      <c r="K3" s="556"/>
      <c r="L3" s="556"/>
      <c r="M3" s="556"/>
      <c r="N3" s="556"/>
      <c r="O3" s="556"/>
      <c r="P3" s="556"/>
      <c r="Q3" s="556"/>
      <c r="R3" s="556"/>
      <c r="S3" s="556"/>
      <c r="T3" s="556"/>
      <c r="U3" s="556"/>
      <c r="V3" s="556"/>
      <c r="W3" s="556"/>
      <c r="X3" s="556"/>
      <c r="Y3" s="556"/>
      <c r="Z3" s="556"/>
      <c r="AA3" s="556"/>
      <c r="AB3" s="556"/>
      <c r="AC3" s="556"/>
      <c r="AD3" s="556"/>
      <c r="AE3" s="556"/>
      <c r="AF3" s="556"/>
      <c r="AG3" s="556"/>
      <c r="AH3" s="556"/>
      <c r="AI3" s="556"/>
      <c r="AJ3" s="556"/>
      <c r="AK3" s="556"/>
      <c r="AL3" s="556"/>
      <c r="AM3" s="556"/>
      <c r="AN3" s="556"/>
      <c r="AO3" s="556"/>
      <c r="AP3" s="556"/>
      <c r="AQ3" s="556"/>
      <c r="AR3" s="556"/>
      <c r="AS3" s="556"/>
      <c r="AT3" s="556"/>
      <c r="AU3" s="556"/>
      <c r="AV3" s="556"/>
      <c r="AW3" s="556"/>
      <c r="AX3" s="556"/>
      <c r="AY3" s="556"/>
      <c r="AZ3" s="556"/>
      <c r="BA3" s="556"/>
      <c r="BB3" s="556"/>
      <c r="BC3" s="556"/>
      <c r="BD3" s="556"/>
      <c r="BE3" s="556"/>
      <c r="BF3" s="556"/>
      <c r="BG3" s="556"/>
      <c r="BH3" s="556"/>
      <c r="BI3" s="556"/>
      <c r="BJ3" s="556"/>
      <c r="BK3" s="556"/>
      <c r="BL3" s="556"/>
      <c r="BM3" s="556"/>
      <c r="BN3" s="556"/>
      <c r="BO3" s="556"/>
      <c r="BP3" s="556"/>
      <c r="BQ3" s="556"/>
      <c r="BR3" s="556"/>
      <c r="BS3" s="556"/>
      <c r="BT3" s="556"/>
      <c r="BU3" s="556"/>
      <c r="BV3" s="556"/>
      <c r="BW3" s="556"/>
      <c r="BX3" s="556"/>
      <c r="BY3" s="556"/>
      <c r="BZ3" s="556"/>
      <c r="CA3" s="556"/>
      <c r="CB3" s="556"/>
      <c r="CC3" s="556"/>
      <c r="CD3" s="556"/>
      <c r="CE3" s="556"/>
      <c r="CF3" s="556"/>
      <c r="CG3" s="556"/>
      <c r="CH3" s="556"/>
      <c r="CI3" s="556"/>
      <c r="CJ3" s="556"/>
      <c r="CK3" s="556"/>
      <c r="CL3" s="556"/>
      <c r="CM3" s="556"/>
      <c r="CN3" s="556"/>
      <c r="CO3" s="556"/>
      <c r="CP3" s="662"/>
      <c r="CQ3" s="146" t="s">
        <v>3</v>
      </c>
      <c r="CR3" s="146" t="s">
        <v>4</v>
      </c>
    </row>
    <row r="4" spans="1:278" s="147" customFormat="1" x14ac:dyDescent="0.25">
      <c r="A4" s="557" t="s">
        <v>5</v>
      </c>
      <c r="B4" s="558"/>
      <c r="C4" s="558"/>
      <c r="D4" s="558"/>
      <c r="E4" s="558"/>
      <c r="F4" s="558"/>
      <c r="G4" s="558"/>
      <c r="H4" s="558"/>
      <c r="I4" s="558"/>
      <c r="J4" s="558"/>
      <c r="K4" s="559"/>
      <c r="L4" s="560" t="s">
        <v>6</v>
      </c>
      <c r="M4" s="561"/>
      <c r="N4" s="561"/>
      <c r="O4" s="561"/>
      <c r="P4" s="562"/>
      <c r="Q4" s="560" t="s">
        <v>7</v>
      </c>
      <c r="R4" s="561"/>
      <c r="S4" s="561"/>
      <c r="T4" s="561"/>
      <c r="U4" s="562"/>
      <c r="V4" s="633" t="s">
        <v>8</v>
      </c>
      <c r="W4" s="634"/>
      <c r="X4" s="560" t="s">
        <v>9</v>
      </c>
      <c r="Y4" s="637" t="s">
        <v>659</v>
      </c>
      <c r="Z4" s="638"/>
      <c r="AA4" s="638"/>
      <c r="AB4" s="638"/>
      <c r="AC4" s="638"/>
      <c r="AD4" s="638"/>
      <c r="AE4" s="638"/>
      <c r="AF4" s="639"/>
      <c r="AG4" s="637" t="s">
        <v>660</v>
      </c>
      <c r="AH4" s="638"/>
      <c r="AI4" s="638"/>
      <c r="AJ4" s="638"/>
      <c r="AK4" s="638"/>
      <c r="AL4" s="638"/>
      <c r="AM4" s="638"/>
      <c r="AN4" s="639"/>
      <c r="AO4" s="637" t="s">
        <v>661</v>
      </c>
      <c r="AP4" s="638"/>
      <c r="AQ4" s="638"/>
      <c r="AR4" s="638"/>
      <c r="AS4" s="638"/>
      <c r="AT4" s="638"/>
      <c r="AU4" s="638"/>
      <c r="AV4" s="639"/>
      <c r="AW4" s="637" t="s">
        <v>662</v>
      </c>
      <c r="AX4" s="638"/>
      <c r="AY4" s="638"/>
      <c r="AZ4" s="638"/>
      <c r="BA4" s="638"/>
      <c r="BB4" s="638"/>
      <c r="BC4" s="638"/>
      <c r="BD4" s="639"/>
      <c r="BE4" s="637" t="s">
        <v>663</v>
      </c>
      <c r="BF4" s="638"/>
      <c r="BG4" s="638"/>
      <c r="BH4" s="638"/>
      <c r="BI4" s="638"/>
      <c r="BJ4" s="638"/>
      <c r="BK4" s="638"/>
      <c r="BL4" s="639"/>
      <c r="BM4" s="637" t="s">
        <v>664</v>
      </c>
      <c r="BN4" s="638"/>
      <c r="BO4" s="638"/>
      <c r="BP4" s="638"/>
      <c r="BQ4" s="638"/>
      <c r="BR4" s="638"/>
      <c r="BS4" s="638"/>
      <c r="BT4" s="639"/>
      <c r="BU4" s="637" t="s">
        <v>665</v>
      </c>
      <c r="BV4" s="638"/>
      <c r="BW4" s="638"/>
      <c r="BX4" s="638"/>
      <c r="BY4" s="638"/>
      <c r="BZ4" s="638"/>
      <c r="CA4" s="638"/>
      <c r="CB4" s="639"/>
      <c r="CC4" s="637" t="s">
        <v>666</v>
      </c>
      <c r="CD4" s="638"/>
      <c r="CE4" s="638"/>
      <c r="CF4" s="638"/>
      <c r="CG4" s="638"/>
      <c r="CH4" s="638"/>
      <c r="CI4" s="638"/>
      <c r="CJ4" s="639"/>
      <c r="CK4" s="637" t="s">
        <v>667</v>
      </c>
      <c r="CL4" s="638"/>
      <c r="CM4" s="638"/>
      <c r="CN4" s="638"/>
      <c r="CO4" s="638"/>
      <c r="CP4" s="638"/>
      <c r="CQ4" s="638"/>
      <c r="CR4" s="639"/>
      <c r="CS4" s="349"/>
      <c r="CT4" s="349"/>
      <c r="CU4" s="349"/>
      <c r="CV4" s="349"/>
      <c r="CW4" s="349"/>
      <c r="CX4" s="349"/>
      <c r="CY4" s="349"/>
      <c r="CZ4" s="349"/>
      <c r="DA4" s="349"/>
      <c r="DB4" s="349"/>
      <c r="DC4" s="349"/>
      <c r="DD4" s="349"/>
      <c r="DE4" s="349"/>
      <c r="DF4" s="349"/>
      <c r="DG4" s="349"/>
      <c r="DH4" s="349"/>
      <c r="DI4" s="349"/>
      <c r="DJ4" s="349"/>
      <c r="DK4" s="349"/>
      <c r="DL4" s="349"/>
      <c r="DM4" s="349"/>
      <c r="DN4" s="349"/>
      <c r="DO4" s="349"/>
      <c r="DP4" s="349"/>
      <c r="DQ4" s="349"/>
      <c r="DR4" s="349"/>
      <c r="DS4" s="349"/>
      <c r="DT4" s="349"/>
      <c r="DU4" s="349"/>
      <c r="DV4" s="349"/>
      <c r="DW4" s="349"/>
      <c r="DX4" s="349"/>
      <c r="DY4" s="349"/>
      <c r="DZ4" s="349"/>
      <c r="EA4" s="349"/>
      <c r="EB4" s="349"/>
      <c r="EC4" s="349"/>
      <c r="ED4" s="349"/>
      <c r="EE4" s="349"/>
      <c r="EF4" s="349"/>
      <c r="EG4" s="349"/>
      <c r="EH4" s="349"/>
      <c r="EI4" s="349"/>
      <c r="EJ4" s="349"/>
      <c r="EK4" s="349"/>
      <c r="EL4" s="349"/>
      <c r="EM4" s="349"/>
      <c r="EN4" s="349"/>
      <c r="EO4" s="349"/>
      <c r="EP4" s="349"/>
      <c r="EQ4" s="349"/>
      <c r="ER4" s="349"/>
      <c r="ES4" s="349"/>
      <c r="ET4" s="349"/>
      <c r="EU4" s="349"/>
      <c r="EV4" s="349"/>
      <c r="EW4" s="349"/>
      <c r="EX4" s="349"/>
      <c r="EY4" s="349"/>
      <c r="EZ4" s="349"/>
      <c r="FA4" s="349"/>
      <c r="FB4" s="349"/>
      <c r="FC4" s="349"/>
      <c r="FD4" s="349"/>
      <c r="FE4" s="349"/>
      <c r="FF4" s="349"/>
      <c r="FG4" s="349"/>
      <c r="FH4" s="349"/>
      <c r="FI4" s="349"/>
      <c r="FJ4" s="349"/>
      <c r="FK4" s="349"/>
      <c r="FL4" s="349"/>
      <c r="FM4" s="349"/>
      <c r="FN4" s="349"/>
      <c r="FO4" s="349"/>
      <c r="FP4" s="349"/>
      <c r="FQ4" s="349"/>
      <c r="FR4" s="349"/>
      <c r="FS4" s="349"/>
      <c r="FT4" s="349"/>
      <c r="FU4" s="349"/>
      <c r="FV4" s="349"/>
      <c r="FW4" s="349"/>
      <c r="FX4" s="349"/>
      <c r="FY4" s="349"/>
      <c r="FZ4" s="349"/>
      <c r="GA4" s="349"/>
      <c r="GB4" s="349"/>
      <c r="GC4" s="349"/>
      <c r="GD4" s="349"/>
      <c r="GE4" s="349"/>
      <c r="GF4" s="349"/>
      <c r="GG4" s="349"/>
      <c r="GH4" s="349"/>
      <c r="GI4" s="349"/>
      <c r="GJ4" s="349"/>
      <c r="GK4" s="349"/>
      <c r="GL4" s="349"/>
      <c r="GM4" s="349"/>
      <c r="GN4" s="349"/>
      <c r="GO4" s="349"/>
      <c r="GP4" s="349"/>
      <c r="GQ4" s="349"/>
      <c r="GR4" s="349"/>
      <c r="GS4" s="349"/>
      <c r="GT4" s="349"/>
      <c r="GU4" s="349"/>
      <c r="GV4" s="349"/>
      <c r="GW4" s="349"/>
      <c r="GX4" s="349"/>
      <c r="GY4" s="349"/>
      <c r="GZ4" s="349"/>
      <c r="HA4" s="349"/>
      <c r="HB4" s="349"/>
      <c r="HC4" s="349"/>
      <c r="HD4" s="349"/>
      <c r="HE4" s="349"/>
      <c r="HF4" s="349"/>
      <c r="HG4" s="349"/>
      <c r="HH4" s="349"/>
      <c r="HI4" s="349"/>
      <c r="HJ4" s="349"/>
      <c r="HK4" s="349"/>
      <c r="HL4" s="349"/>
      <c r="HM4" s="349"/>
      <c r="HN4" s="349"/>
      <c r="HO4" s="349"/>
      <c r="HP4" s="349"/>
      <c r="HQ4" s="349"/>
      <c r="HR4" s="349"/>
      <c r="HS4" s="349"/>
      <c r="HT4" s="349"/>
      <c r="HU4" s="349"/>
      <c r="HV4" s="349"/>
      <c r="HW4" s="349"/>
      <c r="HX4" s="349"/>
      <c r="HY4" s="349"/>
      <c r="HZ4" s="349"/>
      <c r="IA4" s="349"/>
      <c r="IB4" s="349"/>
      <c r="IC4" s="349"/>
      <c r="ID4" s="349"/>
      <c r="IE4" s="349"/>
      <c r="IF4" s="349"/>
      <c r="IG4" s="349"/>
      <c r="IH4" s="349"/>
      <c r="II4" s="349"/>
      <c r="IJ4" s="349"/>
      <c r="IK4" s="349"/>
      <c r="IL4" s="349"/>
      <c r="IM4" s="349"/>
      <c r="IN4" s="349"/>
      <c r="IO4" s="349"/>
      <c r="IP4" s="349"/>
      <c r="IQ4" s="349"/>
      <c r="IR4" s="349"/>
      <c r="IS4" s="349"/>
      <c r="IT4" s="349"/>
      <c r="IU4" s="349"/>
      <c r="IV4" s="349"/>
      <c r="IW4" s="349"/>
      <c r="IX4" s="349"/>
      <c r="IY4" s="349"/>
      <c r="IZ4" s="349"/>
      <c r="JA4" s="349"/>
      <c r="JB4" s="349"/>
      <c r="JC4" s="349"/>
      <c r="JD4" s="349"/>
      <c r="JE4" s="349"/>
      <c r="JF4" s="349"/>
      <c r="JG4" s="349"/>
      <c r="JH4" s="349"/>
      <c r="JI4" s="349"/>
      <c r="JJ4" s="349"/>
      <c r="JK4" s="349"/>
      <c r="JL4" s="349"/>
      <c r="JM4" s="349"/>
      <c r="JN4" s="349"/>
      <c r="JO4" s="349"/>
      <c r="JP4" s="349"/>
      <c r="JQ4" s="349"/>
      <c r="JR4" s="349"/>
    </row>
    <row r="5" spans="1:278" s="149" customFormat="1" ht="30" x14ac:dyDescent="0.25">
      <c r="A5" s="538" t="s">
        <v>17</v>
      </c>
      <c r="B5" s="539"/>
      <c r="C5" s="542"/>
      <c r="D5" s="148" t="s">
        <v>18</v>
      </c>
      <c r="E5" s="538" t="s">
        <v>19</v>
      </c>
      <c r="F5" s="542"/>
      <c r="G5" s="538" t="s">
        <v>20</v>
      </c>
      <c r="H5" s="539"/>
      <c r="I5" s="542"/>
      <c r="J5" s="506" t="s">
        <v>21</v>
      </c>
      <c r="K5" s="506" t="s">
        <v>22</v>
      </c>
      <c r="L5" s="549"/>
      <c r="M5" s="550"/>
      <c r="N5" s="550"/>
      <c r="O5" s="550"/>
      <c r="P5" s="551"/>
      <c r="Q5" s="549"/>
      <c r="R5" s="550"/>
      <c r="S5" s="550"/>
      <c r="T5" s="550"/>
      <c r="U5" s="551"/>
      <c r="V5" s="635"/>
      <c r="W5" s="636"/>
      <c r="X5" s="549"/>
      <c r="Y5" s="629" t="s">
        <v>23</v>
      </c>
      <c r="Z5" s="539"/>
      <c r="AA5" s="539"/>
      <c r="AB5" s="540"/>
      <c r="AC5" s="541" t="s">
        <v>24</v>
      </c>
      <c r="AD5" s="539"/>
      <c r="AE5" s="539"/>
      <c r="AF5" s="630"/>
      <c r="AG5" s="629" t="s">
        <v>23</v>
      </c>
      <c r="AH5" s="539"/>
      <c r="AI5" s="539"/>
      <c r="AJ5" s="540"/>
      <c r="AK5" s="541" t="s">
        <v>24</v>
      </c>
      <c r="AL5" s="539"/>
      <c r="AM5" s="539"/>
      <c r="AN5" s="630"/>
      <c r="AO5" s="629" t="s">
        <v>23</v>
      </c>
      <c r="AP5" s="539"/>
      <c r="AQ5" s="539"/>
      <c r="AR5" s="540"/>
      <c r="AS5" s="541" t="s">
        <v>24</v>
      </c>
      <c r="AT5" s="539"/>
      <c r="AU5" s="539"/>
      <c r="AV5" s="630"/>
      <c r="AW5" s="629" t="s">
        <v>23</v>
      </c>
      <c r="AX5" s="539"/>
      <c r="AY5" s="539"/>
      <c r="AZ5" s="540"/>
      <c r="BA5" s="541" t="s">
        <v>24</v>
      </c>
      <c r="BB5" s="539"/>
      <c r="BC5" s="539"/>
      <c r="BD5" s="630"/>
      <c r="BE5" s="629" t="s">
        <v>23</v>
      </c>
      <c r="BF5" s="539"/>
      <c r="BG5" s="539"/>
      <c r="BH5" s="540"/>
      <c r="BI5" s="541" t="s">
        <v>24</v>
      </c>
      <c r="BJ5" s="539"/>
      <c r="BK5" s="539"/>
      <c r="BL5" s="630"/>
      <c r="BM5" s="629" t="s">
        <v>23</v>
      </c>
      <c r="BN5" s="539"/>
      <c r="BO5" s="539"/>
      <c r="BP5" s="540"/>
      <c r="BQ5" s="541" t="s">
        <v>24</v>
      </c>
      <c r="BR5" s="539"/>
      <c r="BS5" s="539"/>
      <c r="BT5" s="630"/>
      <c r="BU5" s="629" t="s">
        <v>23</v>
      </c>
      <c r="BV5" s="539"/>
      <c r="BW5" s="539"/>
      <c r="BX5" s="540"/>
      <c r="BY5" s="541" t="s">
        <v>24</v>
      </c>
      <c r="BZ5" s="539"/>
      <c r="CA5" s="539"/>
      <c r="CB5" s="630"/>
      <c r="CC5" s="629" t="s">
        <v>23</v>
      </c>
      <c r="CD5" s="539"/>
      <c r="CE5" s="539"/>
      <c r="CF5" s="540"/>
      <c r="CG5" s="541" t="s">
        <v>24</v>
      </c>
      <c r="CH5" s="539"/>
      <c r="CI5" s="539"/>
      <c r="CJ5" s="630"/>
      <c r="CK5" s="629" t="s">
        <v>23</v>
      </c>
      <c r="CL5" s="539"/>
      <c r="CM5" s="539"/>
      <c r="CN5" s="540"/>
      <c r="CO5" s="541" t="s">
        <v>24</v>
      </c>
      <c r="CP5" s="539"/>
      <c r="CQ5" s="539"/>
      <c r="CR5" s="630"/>
      <c r="CS5" s="349"/>
      <c r="CT5" s="349"/>
      <c r="CU5" s="349"/>
      <c r="CV5" s="349"/>
      <c r="CW5" s="349"/>
      <c r="CX5" s="349"/>
      <c r="CY5" s="349"/>
      <c r="CZ5" s="349"/>
      <c r="DA5" s="349"/>
      <c r="DB5" s="349"/>
      <c r="DC5" s="349"/>
      <c r="DD5" s="349"/>
      <c r="DE5" s="349"/>
      <c r="DF5" s="349"/>
      <c r="DG5" s="349"/>
      <c r="DH5" s="349"/>
      <c r="DI5" s="349"/>
      <c r="DJ5" s="349"/>
      <c r="DK5" s="349"/>
      <c r="DL5" s="349"/>
      <c r="DM5" s="349"/>
      <c r="DN5" s="349"/>
      <c r="DO5" s="349"/>
      <c r="DP5" s="349"/>
      <c r="DQ5" s="349"/>
      <c r="DR5" s="349"/>
      <c r="DS5" s="349"/>
      <c r="DT5" s="349"/>
      <c r="DU5" s="349"/>
      <c r="DV5" s="349"/>
      <c r="DW5" s="349"/>
      <c r="DX5" s="349"/>
      <c r="DY5" s="349"/>
      <c r="DZ5" s="349"/>
      <c r="EA5" s="349"/>
      <c r="EB5" s="349"/>
      <c r="EC5" s="349"/>
      <c r="ED5" s="349"/>
      <c r="EE5" s="349"/>
      <c r="EF5" s="349"/>
      <c r="EG5" s="349"/>
      <c r="EH5" s="349"/>
      <c r="EI5" s="349"/>
      <c r="EJ5" s="349"/>
      <c r="EK5" s="349"/>
      <c r="EL5" s="349"/>
      <c r="EM5" s="349"/>
      <c r="EN5" s="349"/>
      <c r="EO5" s="349"/>
      <c r="EP5" s="349"/>
      <c r="EQ5" s="349"/>
      <c r="ER5" s="349"/>
      <c r="ES5" s="349"/>
      <c r="ET5" s="349"/>
      <c r="EU5" s="349"/>
      <c r="EV5" s="349"/>
      <c r="EW5" s="349"/>
      <c r="EX5" s="349"/>
      <c r="EY5" s="349"/>
      <c r="EZ5" s="349"/>
      <c r="FA5" s="349"/>
      <c r="FB5" s="349"/>
      <c r="FC5" s="349"/>
      <c r="FD5" s="349"/>
      <c r="FE5" s="349"/>
      <c r="FF5" s="349"/>
      <c r="FG5" s="349"/>
      <c r="FH5" s="349"/>
      <c r="FI5" s="349"/>
      <c r="FJ5" s="349"/>
      <c r="FK5" s="349"/>
      <c r="FL5" s="349"/>
      <c r="FM5" s="349"/>
      <c r="FN5" s="349"/>
      <c r="FO5" s="349"/>
      <c r="FP5" s="349"/>
      <c r="FQ5" s="349"/>
      <c r="FR5" s="349"/>
      <c r="FS5" s="349"/>
      <c r="FT5" s="349"/>
      <c r="FU5" s="349"/>
      <c r="FV5" s="349"/>
      <c r="FW5" s="349"/>
      <c r="FX5" s="349"/>
      <c r="FY5" s="349"/>
      <c r="FZ5" s="349"/>
      <c r="GA5" s="349"/>
      <c r="GB5" s="349"/>
      <c r="GC5" s="349"/>
      <c r="GD5" s="349"/>
      <c r="GE5" s="349"/>
      <c r="GF5" s="349"/>
      <c r="GG5" s="349"/>
      <c r="GH5" s="349"/>
      <c r="GI5" s="349"/>
      <c r="GJ5" s="349"/>
      <c r="GK5" s="349"/>
      <c r="GL5" s="349"/>
      <c r="GM5" s="349"/>
      <c r="GN5" s="349"/>
      <c r="GO5" s="349"/>
      <c r="GP5" s="349"/>
      <c r="GQ5" s="349"/>
      <c r="GR5" s="349"/>
      <c r="GS5" s="349"/>
      <c r="GT5" s="349"/>
      <c r="GU5" s="349"/>
      <c r="GV5" s="349"/>
      <c r="GW5" s="349"/>
      <c r="GX5" s="349"/>
      <c r="GY5" s="349"/>
      <c r="GZ5" s="349"/>
      <c r="HA5" s="349"/>
      <c r="HB5" s="349"/>
      <c r="HC5" s="349"/>
      <c r="HD5" s="349"/>
      <c r="HE5" s="349"/>
      <c r="HF5" s="349"/>
      <c r="HG5" s="349"/>
      <c r="HH5" s="349"/>
      <c r="HI5" s="349"/>
      <c r="HJ5" s="349"/>
      <c r="HK5" s="349"/>
      <c r="HL5" s="349"/>
      <c r="HM5" s="349"/>
      <c r="HN5" s="349"/>
      <c r="HO5" s="349"/>
      <c r="HP5" s="349"/>
      <c r="HQ5" s="349"/>
      <c r="HR5" s="349"/>
      <c r="HS5" s="349"/>
      <c r="HT5" s="349"/>
      <c r="HU5" s="349"/>
      <c r="HV5" s="349"/>
      <c r="HW5" s="349"/>
      <c r="HX5" s="349"/>
      <c r="HY5" s="349"/>
      <c r="HZ5" s="349"/>
      <c r="IA5" s="349"/>
      <c r="IB5" s="349"/>
      <c r="IC5" s="349"/>
      <c r="ID5" s="349"/>
      <c r="IE5" s="349"/>
      <c r="IF5" s="349"/>
      <c r="IG5" s="349"/>
      <c r="IH5" s="349"/>
      <c r="II5" s="349"/>
      <c r="IJ5" s="349"/>
      <c r="IK5" s="349"/>
      <c r="IL5" s="349"/>
      <c r="IM5" s="349"/>
      <c r="IN5" s="349"/>
      <c r="IO5" s="349"/>
      <c r="IP5" s="349"/>
      <c r="IQ5" s="349"/>
      <c r="IR5" s="349"/>
      <c r="IS5" s="349"/>
      <c r="IT5" s="349"/>
      <c r="IU5" s="349"/>
      <c r="IV5" s="349"/>
      <c r="IW5" s="349"/>
      <c r="IX5" s="349"/>
      <c r="IY5" s="349"/>
      <c r="IZ5" s="349"/>
      <c r="JA5" s="349"/>
      <c r="JB5" s="349"/>
      <c r="JC5" s="349"/>
      <c r="JD5" s="349"/>
      <c r="JE5" s="349"/>
      <c r="JF5" s="349"/>
      <c r="JG5" s="349"/>
      <c r="JH5" s="349"/>
      <c r="JI5" s="349"/>
      <c r="JJ5" s="349"/>
      <c r="JK5" s="349"/>
      <c r="JL5" s="349"/>
      <c r="JM5" s="349"/>
      <c r="JN5" s="349"/>
      <c r="JO5" s="349"/>
      <c r="JP5" s="349"/>
      <c r="JQ5" s="349"/>
      <c r="JR5" s="349"/>
    </row>
    <row r="6" spans="1:278" s="147" customFormat="1" ht="45" x14ac:dyDescent="0.25">
      <c r="A6" s="150" t="s">
        <v>25</v>
      </c>
      <c r="B6" s="150" t="s">
        <v>26</v>
      </c>
      <c r="C6" s="150" t="s">
        <v>27</v>
      </c>
      <c r="D6" s="150" t="s">
        <v>28</v>
      </c>
      <c r="E6" s="150" t="s">
        <v>29</v>
      </c>
      <c r="F6" s="150" t="s">
        <v>30</v>
      </c>
      <c r="G6" s="150" t="s">
        <v>31</v>
      </c>
      <c r="H6" s="150" t="s">
        <v>32</v>
      </c>
      <c r="I6" s="150" t="s">
        <v>33</v>
      </c>
      <c r="J6" s="552"/>
      <c r="K6" s="552"/>
      <c r="L6" s="150" t="s">
        <v>6</v>
      </c>
      <c r="M6" s="150" t="s">
        <v>34</v>
      </c>
      <c r="N6" s="150" t="s">
        <v>35</v>
      </c>
      <c r="O6" s="150" t="s">
        <v>36</v>
      </c>
      <c r="P6" s="150" t="s">
        <v>37</v>
      </c>
      <c r="Q6" s="150" t="s">
        <v>7</v>
      </c>
      <c r="R6" s="150" t="s">
        <v>38</v>
      </c>
      <c r="S6" s="150" t="s">
        <v>35</v>
      </c>
      <c r="T6" s="150" t="s">
        <v>36</v>
      </c>
      <c r="U6" s="150" t="s">
        <v>39</v>
      </c>
      <c r="V6" s="151" t="s">
        <v>40</v>
      </c>
      <c r="W6" s="151" t="s">
        <v>41</v>
      </c>
      <c r="X6" s="152" t="s">
        <v>42</v>
      </c>
      <c r="Y6" s="153" t="s">
        <v>43</v>
      </c>
      <c r="Z6" s="150" t="s">
        <v>44</v>
      </c>
      <c r="AA6" s="150" t="s">
        <v>45</v>
      </c>
      <c r="AB6" s="150" t="s">
        <v>46</v>
      </c>
      <c r="AC6" s="150" t="s">
        <v>43</v>
      </c>
      <c r="AD6" s="150" t="s">
        <v>44</v>
      </c>
      <c r="AE6" s="150" t="s">
        <v>45</v>
      </c>
      <c r="AF6" s="154" t="s">
        <v>46</v>
      </c>
      <c r="AG6" s="153" t="s">
        <v>43</v>
      </c>
      <c r="AH6" s="150" t="s">
        <v>44</v>
      </c>
      <c r="AI6" s="150" t="s">
        <v>45</v>
      </c>
      <c r="AJ6" s="150" t="s">
        <v>46</v>
      </c>
      <c r="AK6" s="150" t="s">
        <v>43</v>
      </c>
      <c r="AL6" s="150" t="s">
        <v>44</v>
      </c>
      <c r="AM6" s="150" t="s">
        <v>45</v>
      </c>
      <c r="AN6" s="154" t="s">
        <v>46</v>
      </c>
      <c r="AO6" s="153" t="s">
        <v>43</v>
      </c>
      <c r="AP6" s="150" t="s">
        <v>44</v>
      </c>
      <c r="AQ6" s="150" t="s">
        <v>45</v>
      </c>
      <c r="AR6" s="150" t="s">
        <v>46</v>
      </c>
      <c r="AS6" s="150" t="s">
        <v>43</v>
      </c>
      <c r="AT6" s="150" t="s">
        <v>44</v>
      </c>
      <c r="AU6" s="150" t="s">
        <v>45</v>
      </c>
      <c r="AV6" s="154" t="s">
        <v>46</v>
      </c>
      <c r="AW6" s="153" t="s">
        <v>43</v>
      </c>
      <c r="AX6" s="150" t="s">
        <v>44</v>
      </c>
      <c r="AY6" s="150" t="s">
        <v>45</v>
      </c>
      <c r="AZ6" s="150" t="s">
        <v>46</v>
      </c>
      <c r="BA6" s="150" t="s">
        <v>43</v>
      </c>
      <c r="BB6" s="150" t="s">
        <v>44</v>
      </c>
      <c r="BC6" s="150" t="s">
        <v>45</v>
      </c>
      <c r="BD6" s="154" t="s">
        <v>46</v>
      </c>
      <c r="BE6" s="153" t="s">
        <v>43</v>
      </c>
      <c r="BF6" s="150" t="s">
        <v>44</v>
      </c>
      <c r="BG6" s="150" t="s">
        <v>45</v>
      </c>
      <c r="BH6" s="150" t="s">
        <v>46</v>
      </c>
      <c r="BI6" s="150" t="s">
        <v>43</v>
      </c>
      <c r="BJ6" s="150" t="s">
        <v>44</v>
      </c>
      <c r="BK6" s="150" t="s">
        <v>45</v>
      </c>
      <c r="BL6" s="154" t="s">
        <v>46</v>
      </c>
      <c r="BM6" s="153" t="s">
        <v>43</v>
      </c>
      <c r="BN6" s="150" t="s">
        <v>44</v>
      </c>
      <c r="BO6" s="150" t="s">
        <v>45</v>
      </c>
      <c r="BP6" s="150" t="s">
        <v>46</v>
      </c>
      <c r="BQ6" s="150" t="s">
        <v>43</v>
      </c>
      <c r="BR6" s="150" t="s">
        <v>44</v>
      </c>
      <c r="BS6" s="150" t="s">
        <v>45</v>
      </c>
      <c r="BT6" s="154" t="s">
        <v>46</v>
      </c>
      <c r="BU6" s="153" t="s">
        <v>43</v>
      </c>
      <c r="BV6" s="150" t="s">
        <v>44</v>
      </c>
      <c r="BW6" s="150" t="s">
        <v>45</v>
      </c>
      <c r="BX6" s="150" t="s">
        <v>46</v>
      </c>
      <c r="BY6" s="150" t="s">
        <v>43</v>
      </c>
      <c r="BZ6" s="150" t="s">
        <v>44</v>
      </c>
      <c r="CA6" s="150" t="s">
        <v>45</v>
      </c>
      <c r="CB6" s="154" t="s">
        <v>46</v>
      </c>
      <c r="CC6" s="153" t="s">
        <v>43</v>
      </c>
      <c r="CD6" s="150" t="s">
        <v>44</v>
      </c>
      <c r="CE6" s="150" t="s">
        <v>45</v>
      </c>
      <c r="CF6" s="150" t="s">
        <v>46</v>
      </c>
      <c r="CG6" s="150" t="s">
        <v>43</v>
      </c>
      <c r="CH6" s="150" t="s">
        <v>44</v>
      </c>
      <c r="CI6" s="150" t="s">
        <v>45</v>
      </c>
      <c r="CJ6" s="154" t="s">
        <v>46</v>
      </c>
      <c r="CK6" s="153" t="s">
        <v>43</v>
      </c>
      <c r="CL6" s="150" t="s">
        <v>44</v>
      </c>
      <c r="CM6" s="150" t="s">
        <v>45</v>
      </c>
      <c r="CN6" s="150" t="s">
        <v>46</v>
      </c>
      <c r="CO6" s="150" t="s">
        <v>43</v>
      </c>
      <c r="CP6" s="150" t="s">
        <v>44</v>
      </c>
      <c r="CQ6" s="150" t="s">
        <v>45</v>
      </c>
      <c r="CR6" s="154" t="s">
        <v>46</v>
      </c>
      <c r="CS6" s="349"/>
      <c r="CT6" s="349"/>
      <c r="CU6" s="349"/>
      <c r="CV6" s="349"/>
      <c r="CW6" s="349"/>
      <c r="CX6" s="349"/>
      <c r="CY6" s="349"/>
      <c r="CZ6" s="349"/>
      <c r="DA6" s="349"/>
      <c r="DB6" s="349"/>
      <c r="DC6" s="349"/>
      <c r="DD6" s="349"/>
      <c r="DE6" s="349"/>
      <c r="DF6" s="349"/>
      <c r="DG6" s="349"/>
      <c r="DH6" s="349"/>
      <c r="DI6" s="349"/>
      <c r="DJ6" s="349"/>
      <c r="DK6" s="349"/>
      <c r="DL6" s="349"/>
      <c r="DM6" s="349"/>
      <c r="DN6" s="349"/>
      <c r="DO6" s="349"/>
      <c r="DP6" s="349"/>
      <c r="DQ6" s="349"/>
      <c r="DR6" s="349"/>
      <c r="DS6" s="349"/>
      <c r="DT6" s="349"/>
      <c r="DU6" s="349"/>
      <c r="DV6" s="349"/>
      <c r="DW6" s="349"/>
      <c r="DX6" s="349"/>
      <c r="DY6" s="349"/>
      <c r="DZ6" s="349"/>
      <c r="EA6" s="349"/>
      <c r="EB6" s="349"/>
      <c r="EC6" s="349"/>
      <c r="ED6" s="349"/>
      <c r="EE6" s="349"/>
      <c r="EF6" s="349"/>
      <c r="EG6" s="349"/>
      <c r="EH6" s="349"/>
      <c r="EI6" s="349"/>
      <c r="EJ6" s="349"/>
      <c r="EK6" s="349"/>
      <c r="EL6" s="349"/>
      <c r="EM6" s="349"/>
      <c r="EN6" s="349"/>
      <c r="EO6" s="349"/>
      <c r="EP6" s="349"/>
      <c r="EQ6" s="349"/>
      <c r="ER6" s="349"/>
      <c r="ES6" s="349"/>
      <c r="ET6" s="349"/>
      <c r="EU6" s="349"/>
      <c r="EV6" s="349"/>
      <c r="EW6" s="349"/>
      <c r="EX6" s="349"/>
      <c r="EY6" s="349"/>
      <c r="EZ6" s="349"/>
      <c r="FA6" s="349"/>
      <c r="FB6" s="349"/>
      <c r="FC6" s="349"/>
      <c r="FD6" s="349"/>
      <c r="FE6" s="349"/>
      <c r="FF6" s="349"/>
      <c r="FG6" s="349"/>
      <c r="FH6" s="349"/>
      <c r="FI6" s="349"/>
      <c r="FJ6" s="349"/>
      <c r="FK6" s="349"/>
      <c r="FL6" s="349"/>
      <c r="FM6" s="349"/>
      <c r="FN6" s="349"/>
      <c r="FO6" s="349"/>
      <c r="FP6" s="349"/>
      <c r="FQ6" s="349"/>
      <c r="FR6" s="349"/>
      <c r="FS6" s="349"/>
      <c r="FT6" s="349"/>
      <c r="FU6" s="349"/>
      <c r="FV6" s="349"/>
      <c r="FW6" s="349"/>
      <c r="FX6" s="349"/>
      <c r="FY6" s="349"/>
      <c r="FZ6" s="349"/>
      <c r="GA6" s="349"/>
      <c r="GB6" s="349"/>
      <c r="GC6" s="349"/>
      <c r="GD6" s="349"/>
      <c r="GE6" s="349"/>
      <c r="GF6" s="349"/>
      <c r="GG6" s="349"/>
      <c r="GH6" s="349"/>
      <c r="GI6" s="349"/>
      <c r="GJ6" s="349"/>
      <c r="GK6" s="349"/>
      <c r="GL6" s="349"/>
      <c r="GM6" s="349"/>
      <c r="GN6" s="349"/>
      <c r="GO6" s="349"/>
      <c r="GP6" s="349"/>
      <c r="GQ6" s="349"/>
      <c r="GR6" s="349"/>
      <c r="GS6" s="349"/>
      <c r="GT6" s="349"/>
      <c r="GU6" s="349"/>
      <c r="GV6" s="349"/>
      <c r="GW6" s="349"/>
      <c r="GX6" s="349"/>
      <c r="GY6" s="349"/>
      <c r="GZ6" s="349"/>
      <c r="HA6" s="349"/>
      <c r="HB6" s="349"/>
      <c r="HC6" s="349"/>
      <c r="HD6" s="349"/>
      <c r="HE6" s="349"/>
      <c r="HF6" s="349"/>
      <c r="HG6" s="349"/>
      <c r="HH6" s="349"/>
      <c r="HI6" s="349"/>
      <c r="HJ6" s="349"/>
      <c r="HK6" s="349"/>
      <c r="HL6" s="349"/>
      <c r="HM6" s="349"/>
      <c r="HN6" s="349"/>
      <c r="HO6" s="349"/>
      <c r="HP6" s="349"/>
      <c r="HQ6" s="349"/>
      <c r="HR6" s="349"/>
      <c r="HS6" s="349"/>
      <c r="HT6" s="349"/>
      <c r="HU6" s="349"/>
      <c r="HV6" s="349"/>
      <c r="HW6" s="349"/>
      <c r="HX6" s="349"/>
      <c r="HY6" s="349"/>
      <c r="HZ6" s="349"/>
      <c r="IA6" s="349"/>
      <c r="IB6" s="349"/>
      <c r="IC6" s="349"/>
      <c r="ID6" s="349"/>
      <c r="IE6" s="349"/>
      <c r="IF6" s="349"/>
      <c r="IG6" s="349"/>
      <c r="IH6" s="349"/>
      <c r="II6" s="349"/>
      <c r="IJ6" s="349"/>
      <c r="IK6" s="349"/>
      <c r="IL6" s="349"/>
      <c r="IM6" s="349"/>
      <c r="IN6" s="349"/>
      <c r="IO6" s="349"/>
      <c r="IP6" s="349"/>
      <c r="IQ6" s="349"/>
      <c r="IR6" s="349"/>
      <c r="IS6" s="349"/>
      <c r="IT6" s="349"/>
      <c r="IU6" s="349"/>
      <c r="IV6" s="349"/>
      <c r="IW6" s="349"/>
      <c r="IX6" s="349"/>
      <c r="IY6" s="349"/>
      <c r="IZ6" s="349"/>
      <c r="JA6" s="349"/>
      <c r="JB6" s="349"/>
      <c r="JC6" s="349"/>
      <c r="JD6" s="349"/>
      <c r="JE6" s="349"/>
      <c r="JF6" s="349"/>
      <c r="JG6" s="349"/>
      <c r="JH6" s="349"/>
      <c r="JI6" s="349"/>
      <c r="JJ6" s="349"/>
      <c r="JK6" s="349"/>
      <c r="JL6" s="349"/>
      <c r="JM6" s="349"/>
      <c r="JN6" s="349"/>
      <c r="JO6" s="349"/>
      <c r="JP6" s="349"/>
      <c r="JQ6" s="349"/>
      <c r="JR6" s="349"/>
    </row>
    <row r="7" spans="1:278" s="160" customFormat="1" ht="90" customHeight="1" x14ac:dyDescent="0.25">
      <c r="A7" s="631" t="s">
        <v>47</v>
      </c>
      <c r="B7" s="631" t="s">
        <v>48</v>
      </c>
      <c r="C7" s="631" t="s">
        <v>49</v>
      </c>
      <c r="D7" s="631" t="s">
        <v>50</v>
      </c>
      <c r="E7" s="631" t="s">
        <v>90</v>
      </c>
      <c r="F7" s="631" t="s">
        <v>52</v>
      </c>
      <c r="G7" s="631" t="s">
        <v>53</v>
      </c>
      <c r="H7" s="631" t="s">
        <v>668</v>
      </c>
      <c r="I7" s="631" t="s">
        <v>669</v>
      </c>
      <c r="J7" s="512" t="s">
        <v>670</v>
      </c>
      <c r="K7" s="512" t="s">
        <v>671</v>
      </c>
      <c r="L7" s="543" t="s">
        <v>672</v>
      </c>
      <c r="M7" s="543" t="s">
        <v>673</v>
      </c>
      <c r="N7" s="543" t="s">
        <v>60</v>
      </c>
      <c r="O7" s="543">
        <v>549</v>
      </c>
      <c r="P7" s="543">
        <v>734</v>
      </c>
      <c r="Q7" s="155" t="s">
        <v>674</v>
      </c>
      <c r="R7" s="155" t="s">
        <v>675</v>
      </c>
      <c r="S7" s="155" t="s">
        <v>60</v>
      </c>
      <c r="T7" s="155">
        <v>265</v>
      </c>
      <c r="U7" s="155">
        <v>300</v>
      </c>
      <c r="V7" s="544">
        <v>5164199326</v>
      </c>
      <c r="W7" s="544">
        <v>8805126266</v>
      </c>
      <c r="X7" s="543" t="s">
        <v>676</v>
      </c>
      <c r="Y7" s="624">
        <f>+AC7+AC9</f>
        <v>59</v>
      </c>
      <c r="Z7" s="543">
        <f>+AD7+AD9</f>
        <v>690</v>
      </c>
      <c r="AA7" s="621">
        <f>+Y7/Z7</f>
        <v>8.5507246376811591E-2</v>
      </c>
      <c r="AB7" s="613" t="s">
        <v>677</v>
      </c>
      <c r="AC7" s="156">
        <v>27</v>
      </c>
      <c r="AD7" s="156">
        <v>300</v>
      </c>
      <c r="AE7" s="157">
        <f>+AC7/AD7</f>
        <v>0.09</v>
      </c>
      <c r="AF7" s="158" t="s">
        <v>678</v>
      </c>
      <c r="AG7" s="624">
        <f>+Y7+AK7+AK8+AK9</f>
        <v>115</v>
      </c>
      <c r="AH7" s="543">
        <v>734</v>
      </c>
      <c r="AI7" s="621">
        <f>+AG7/AH7</f>
        <v>0.1566757493188011</v>
      </c>
      <c r="AJ7" s="613" t="s">
        <v>679</v>
      </c>
      <c r="AK7" s="159">
        <v>21</v>
      </c>
      <c r="AL7" s="156">
        <v>300</v>
      </c>
      <c r="AM7" s="157">
        <f>+AK7/AL7</f>
        <v>7.0000000000000007E-2</v>
      </c>
      <c r="AN7" s="158" t="s">
        <v>680</v>
      </c>
      <c r="AO7" s="624">
        <f>+AG7+AS7+AS8+AS9</f>
        <v>180</v>
      </c>
      <c r="AP7" s="543">
        <v>734</v>
      </c>
      <c r="AQ7" s="621">
        <f>+AO7/AP7</f>
        <v>0.24523160762942781</v>
      </c>
      <c r="AR7" s="613" t="s">
        <v>681</v>
      </c>
      <c r="AS7" s="156">
        <v>27</v>
      </c>
      <c r="AT7" s="156">
        <v>300</v>
      </c>
      <c r="AU7" s="157">
        <f>+AS7/AT7</f>
        <v>0.09</v>
      </c>
      <c r="AV7" s="158" t="s">
        <v>682</v>
      </c>
      <c r="AW7" s="624">
        <f>+AO7+BA7+BA8+BA9</f>
        <v>243</v>
      </c>
      <c r="AX7" s="543">
        <v>734</v>
      </c>
      <c r="AY7" s="621">
        <f>+AW7/AX7</f>
        <v>0.33106267029972752</v>
      </c>
      <c r="AZ7" s="613" t="s">
        <v>683</v>
      </c>
      <c r="BA7" s="155">
        <v>25</v>
      </c>
      <c r="BB7" s="156">
        <v>300</v>
      </c>
      <c r="BC7" s="157">
        <f>+BA7/BB7</f>
        <v>8.3333333333333329E-2</v>
      </c>
      <c r="BD7" s="158" t="s">
        <v>684</v>
      </c>
      <c r="BE7" s="624">
        <f>+AW7+BI7+BI8+BI9</f>
        <v>311</v>
      </c>
      <c r="BF7" s="543">
        <v>734</v>
      </c>
      <c r="BG7" s="621">
        <f>+BE7/BF7</f>
        <v>0.42370572207084467</v>
      </c>
      <c r="BH7" s="613" t="s">
        <v>685</v>
      </c>
      <c r="BI7" s="155">
        <v>25</v>
      </c>
      <c r="BJ7" s="156">
        <v>300</v>
      </c>
      <c r="BK7" s="157">
        <f>+BI7/BJ7</f>
        <v>8.3333333333333329E-2</v>
      </c>
      <c r="BL7" s="158" t="s">
        <v>686</v>
      </c>
      <c r="BM7" s="624">
        <f>+BE7+BQ7+BQ8+BQ9</f>
        <v>382</v>
      </c>
      <c r="BN7" s="543">
        <v>734</v>
      </c>
      <c r="BO7" s="621">
        <f>+BM7/BN7</f>
        <v>0.52043596730245234</v>
      </c>
      <c r="BP7" s="613" t="s">
        <v>687</v>
      </c>
      <c r="BQ7" s="155">
        <v>25</v>
      </c>
      <c r="BR7" s="156">
        <v>300</v>
      </c>
      <c r="BS7" s="157">
        <f>+BQ7/BR7</f>
        <v>8.3333333333333329E-2</v>
      </c>
      <c r="BT7" s="158" t="s">
        <v>688</v>
      </c>
      <c r="BU7" s="624">
        <f>+BM7+BY7+BY8+BY9</f>
        <v>462</v>
      </c>
      <c r="BV7" s="543">
        <v>734</v>
      </c>
      <c r="BW7" s="621">
        <f>+BU7/BV7</f>
        <v>0.6294277929155313</v>
      </c>
      <c r="BX7" s="613" t="s">
        <v>689</v>
      </c>
      <c r="BY7" s="155">
        <v>25</v>
      </c>
      <c r="BZ7" s="156">
        <v>300</v>
      </c>
      <c r="CA7" s="157">
        <f>+BY7/BZ7</f>
        <v>8.3333333333333329E-2</v>
      </c>
      <c r="CB7" s="158" t="s">
        <v>690</v>
      </c>
      <c r="CC7" s="624">
        <f>+BU7+CG7+CG8+CG9</f>
        <v>536</v>
      </c>
      <c r="CD7" s="543">
        <v>734</v>
      </c>
      <c r="CE7" s="621">
        <f>+CC7/CD7</f>
        <v>0.73024523160762944</v>
      </c>
      <c r="CF7" s="613" t="s">
        <v>691</v>
      </c>
      <c r="CG7" s="155">
        <v>25</v>
      </c>
      <c r="CH7" s="156">
        <v>300</v>
      </c>
      <c r="CI7" s="157">
        <f>+CG7/CH7</f>
        <v>8.3333333333333329E-2</v>
      </c>
      <c r="CJ7" s="158" t="s">
        <v>692</v>
      </c>
      <c r="CK7" s="624">
        <f>+CC7+CO7+CO8+CO9</f>
        <v>606</v>
      </c>
      <c r="CL7" s="543">
        <v>734</v>
      </c>
      <c r="CM7" s="621">
        <f>+CK7/CL7</f>
        <v>0.82561307901907355</v>
      </c>
      <c r="CN7" s="613" t="s">
        <v>693</v>
      </c>
      <c r="CO7" s="155">
        <v>25</v>
      </c>
      <c r="CP7" s="156">
        <v>300</v>
      </c>
      <c r="CQ7" s="157">
        <f>+CO7/CP7</f>
        <v>8.3333333333333329E-2</v>
      </c>
      <c r="CR7" s="158" t="s">
        <v>694</v>
      </c>
      <c r="CS7" s="708"/>
      <c r="CT7" s="708"/>
      <c r="CU7" s="708"/>
      <c r="CV7" s="708"/>
      <c r="CW7" s="708"/>
      <c r="CX7" s="708"/>
      <c r="CY7" s="708"/>
      <c r="CZ7" s="708"/>
      <c r="DA7" s="708"/>
      <c r="DB7" s="708"/>
      <c r="DC7" s="708"/>
      <c r="DD7" s="708"/>
      <c r="DE7" s="708"/>
      <c r="DF7" s="708"/>
      <c r="DG7" s="708"/>
      <c r="DH7" s="708"/>
      <c r="DI7" s="708"/>
      <c r="DJ7" s="708"/>
      <c r="DK7" s="708"/>
      <c r="DL7" s="708"/>
      <c r="DM7" s="708"/>
      <c r="DN7" s="708"/>
      <c r="DO7" s="708"/>
      <c r="DP7" s="708"/>
      <c r="DQ7" s="708"/>
      <c r="DR7" s="708"/>
      <c r="DS7" s="708"/>
      <c r="DT7" s="708"/>
      <c r="DU7" s="708"/>
      <c r="DV7" s="708"/>
      <c r="DW7" s="708"/>
      <c r="DX7" s="708"/>
      <c r="DY7" s="708"/>
      <c r="DZ7" s="708"/>
      <c r="EA7" s="708"/>
      <c r="EB7" s="708"/>
      <c r="EC7" s="708"/>
      <c r="ED7" s="708"/>
      <c r="EE7" s="708"/>
      <c r="EF7" s="708"/>
      <c r="EG7" s="708"/>
      <c r="EH7" s="708"/>
      <c r="EI7" s="708"/>
      <c r="EJ7" s="708"/>
      <c r="EK7" s="708"/>
      <c r="EL7" s="708"/>
      <c r="EM7" s="708"/>
      <c r="EN7" s="708"/>
      <c r="EO7" s="708"/>
      <c r="EP7" s="708"/>
      <c r="EQ7" s="708"/>
      <c r="ER7" s="708"/>
      <c r="ES7" s="708"/>
      <c r="ET7" s="708"/>
      <c r="EU7" s="708"/>
      <c r="EV7" s="708"/>
      <c r="EW7" s="708"/>
      <c r="EX7" s="708"/>
      <c r="EY7" s="708"/>
      <c r="EZ7" s="708"/>
      <c r="FA7" s="708"/>
      <c r="FB7" s="708"/>
      <c r="FC7" s="708"/>
      <c r="FD7" s="708"/>
      <c r="FE7" s="708"/>
      <c r="FF7" s="708"/>
      <c r="FG7" s="708"/>
      <c r="FH7" s="708"/>
      <c r="FI7" s="708"/>
      <c r="FJ7" s="708"/>
      <c r="FK7" s="708"/>
      <c r="FL7" s="708"/>
      <c r="FM7" s="708"/>
      <c r="FN7" s="708"/>
      <c r="FO7" s="708"/>
      <c r="FP7" s="708"/>
      <c r="FQ7" s="708"/>
      <c r="FR7" s="708"/>
      <c r="FS7" s="708"/>
      <c r="FT7" s="708"/>
      <c r="FU7" s="708"/>
      <c r="FV7" s="708"/>
      <c r="FW7" s="708"/>
      <c r="FX7" s="708"/>
      <c r="FY7" s="708"/>
      <c r="FZ7" s="708"/>
      <c r="GA7" s="708"/>
      <c r="GB7" s="708"/>
      <c r="GC7" s="708"/>
      <c r="GD7" s="708"/>
      <c r="GE7" s="708"/>
      <c r="GF7" s="708"/>
      <c r="GG7" s="708"/>
      <c r="GH7" s="708"/>
      <c r="GI7" s="708"/>
      <c r="GJ7" s="708"/>
      <c r="GK7" s="708"/>
      <c r="GL7" s="708"/>
      <c r="GM7" s="708"/>
      <c r="GN7" s="708"/>
      <c r="GO7" s="708"/>
      <c r="GP7" s="708"/>
      <c r="GQ7" s="708"/>
      <c r="GR7" s="708"/>
      <c r="GS7" s="708"/>
      <c r="GT7" s="708"/>
      <c r="GU7" s="708"/>
      <c r="GV7" s="708"/>
      <c r="GW7" s="708"/>
      <c r="GX7" s="708"/>
      <c r="GY7" s="708"/>
      <c r="GZ7" s="708"/>
      <c r="HA7" s="708"/>
      <c r="HB7" s="708"/>
      <c r="HC7" s="708"/>
      <c r="HD7" s="708"/>
      <c r="HE7" s="708"/>
      <c r="HF7" s="708"/>
      <c r="HG7" s="708"/>
      <c r="HH7" s="708"/>
      <c r="HI7" s="708"/>
      <c r="HJ7" s="708"/>
      <c r="HK7" s="708"/>
      <c r="HL7" s="708"/>
      <c r="HM7" s="708"/>
      <c r="HN7" s="708"/>
      <c r="HO7" s="708"/>
      <c r="HP7" s="708"/>
      <c r="HQ7" s="708"/>
      <c r="HR7" s="708"/>
      <c r="HS7" s="708"/>
      <c r="HT7" s="708"/>
      <c r="HU7" s="708"/>
      <c r="HV7" s="708"/>
      <c r="HW7" s="708"/>
      <c r="HX7" s="708"/>
      <c r="HY7" s="708"/>
      <c r="HZ7" s="708"/>
      <c r="IA7" s="708"/>
      <c r="IB7" s="708"/>
      <c r="IC7" s="708"/>
      <c r="ID7" s="708"/>
      <c r="IE7" s="708"/>
      <c r="IF7" s="708"/>
      <c r="IG7" s="708"/>
      <c r="IH7" s="708"/>
      <c r="II7" s="708"/>
      <c r="IJ7" s="708"/>
      <c r="IK7" s="708"/>
      <c r="IL7" s="708"/>
      <c r="IM7" s="708"/>
      <c r="IN7" s="708"/>
      <c r="IO7" s="708"/>
      <c r="IP7" s="708"/>
      <c r="IQ7" s="708"/>
      <c r="IR7" s="708"/>
      <c r="IS7" s="708"/>
      <c r="IT7" s="708"/>
      <c r="IU7" s="708"/>
      <c r="IV7" s="708"/>
      <c r="IW7" s="708"/>
      <c r="IX7" s="708"/>
      <c r="IY7" s="708"/>
      <c r="IZ7" s="708"/>
      <c r="JA7" s="708"/>
      <c r="JB7" s="708"/>
      <c r="JC7" s="708"/>
      <c r="JD7" s="708"/>
      <c r="JE7" s="708"/>
      <c r="JF7" s="708"/>
      <c r="JG7" s="708"/>
      <c r="JH7" s="708"/>
      <c r="JI7" s="708"/>
      <c r="JJ7" s="708"/>
      <c r="JK7" s="708"/>
      <c r="JL7" s="708"/>
      <c r="JM7" s="708"/>
      <c r="JN7" s="708"/>
      <c r="JO7" s="708"/>
      <c r="JP7" s="708"/>
      <c r="JQ7" s="708"/>
      <c r="JR7" s="708"/>
    </row>
    <row r="8" spans="1:278" s="160" customFormat="1" ht="90" customHeight="1" x14ac:dyDescent="0.25">
      <c r="A8" s="632"/>
      <c r="B8" s="632"/>
      <c r="C8" s="632"/>
      <c r="D8" s="632"/>
      <c r="E8" s="632"/>
      <c r="F8" s="632"/>
      <c r="G8" s="632"/>
      <c r="H8" s="632"/>
      <c r="I8" s="632"/>
      <c r="J8" s="511"/>
      <c r="K8" s="511"/>
      <c r="L8" s="532"/>
      <c r="M8" s="532"/>
      <c r="N8" s="532"/>
      <c r="O8" s="532"/>
      <c r="P8" s="532"/>
      <c r="Q8" s="161" t="s">
        <v>695</v>
      </c>
      <c r="R8" s="161" t="s">
        <v>696</v>
      </c>
      <c r="S8" s="161" t="s">
        <v>60</v>
      </c>
      <c r="T8" s="161"/>
      <c r="U8" s="161">
        <v>44</v>
      </c>
      <c r="V8" s="545"/>
      <c r="W8" s="545"/>
      <c r="X8" s="532"/>
      <c r="Y8" s="625"/>
      <c r="Z8" s="619"/>
      <c r="AA8" s="622"/>
      <c r="AB8" s="614"/>
      <c r="AC8" s="162"/>
      <c r="AD8" s="162"/>
      <c r="AE8" s="157"/>
      <c r="AF8" s="163" t="s">
        <v>697</v>
      </c>
      <c r="AG8" s="625"/>
      <c r="AH8" s="619"/>
      <c r="AI8" s="622"/>
      <c r="AJ8" s="614"/>
      <c r="AK8" s="156">
        <v>4</v>
      </c>
      <c r="AL8" s="156">
        <v>44</v>
      </c>
      <c r="AM8" s="157">
        <f>+AK8/AL8</f>
        <v>9.0909090909090912E-2</v>
      </c>
      <c r="AN8" s="158" t="s">
        <v>698</v>
      </c>
      <c r="AO8" s="625"/>
      <c r="AP8" s="619"/>
      <c r="AQ8" s="622"/>
      <c r="AR8" s="627"/>
      <c r="AS8" s="156">
        <v>5</v>
      </c>
      <c r="AT8" s="156">
        <v>44</v>
      </c>
      <c r="AU8" s="157">
        <f>+AS8/AT8</f>
        <v>0.11363636363636363</v>
      </c>
      <c r="AV8" s="158" t="s">
        <v>699</v>
      </c>
      <c r="AW8" s="625"/>
      <c r="AX8" s="619"/>
      <c r="AY8" s="622"/>
      <c r="AZ8" s="614"/>
      <c r="BA8" s="155">
        <v>5</v>
      </c>
      <c r="BB8" s="156">
        <v>44</v>
      </c>
      <c r="BC8" s="157">
        <f>+BA8/BB8</f>
        <v>0.11363636363636363</v>
      </c>
      <c r="BD8" s="158" t="s">
        <v>700</v>
      </c>
      <c r="BE8" s="625"/>
      <c r="BF8" s="619"/>
      <c r="BG8" s="622"/>
      <c r="BH8" s="614"/>
      <c r="BI8" s="155">
        <v>4</v>
      </c>
      <c r="BJ8" s="156">
        <v>44</v>
      </c>
      <c r="BK8" s="157">
        <f>+BI8/BJ8</f>
        <v>9.0909090909090912E-2</v>
      </c>
      <c r="BL8" s="158" t="s">
        <v>701</v>
      </c>
      <c r="BM8" s="625"/>
      <c r="BN8" s="619"/>
      <c r="BO8" s="622"/>
      <c r="BP8" s="614"/>
      <c r="BQ8" s="155">
        <v>2</v>
      </c>
      <c r="BR8" s="156">
        <v>44</v>
      </c>
      <c r="BS8" s="157">
        <f>+BQ8/BR8</f>
        <v>4.5454545454545456E-2</v>
      </c>
      <c r="BT8" s="158" t="s">
        <v>702</v>
      </c>
      <c r="BU8" s="625"/>
      <c r="BV8" s="619"/>
      <c r="BW8" s="622"/>
      <c r="BX8" s="614"/>
      <c r="BY8" s="155">
        <v>8</v>
      </c>
      <c r="BZ8" s="156">
        <v>44</v>
      </c>
      <c r="CA8" s="157">
        <f>+BY8/BZ8</f>
        <v>0.18181818181818182</v>
      </c>
      <c r="CB8" s="158" t="s">
        <v>703</v>
      </c>
      <c r="CC8" s="625"/>
      <c r="CD8" s="619"/>
      <c r="CE8" s="622"/>
      <c r="CF8" s="614"/>
      <c r="CG8" s="155">
        <v>4</v>
      </c>
      <c r="CH8" s="156">
        <v>44</v>
      </c>
      <c r="CI8" s="157">
        <f>+CG8/CH8</f>
        <v>9.0909090909090912E-2</v>
      </c>
      <c r="CJ8" s="158" t="s">
        <v>704</v>
      </c>
      <c r="CK8" s="625"/>
      <c r="CL8" s="619"/>
      <c r="CM8" s="622"/>
      <c r="CN8" s="614"/>
      <c r="CO8" s="155">
        <v>6</v>
      </c>
      <c r="CP8" s="156">
        <v>44</v>
      </c>
      <c r="CQ8" s="157">
        <f>+CO8/CP8</f>
        <v>0.13636363636363635</v>
      </c>
      <c r="CR8" s="158" t="s">
        <v>705</v>
      </c>
      <c r="CS8" s="708"/>
      <c r="CT8" s="708"/>
      <c r="CU8" s="708"/>
      <c r="CV8" s="708"/>
      <c r="CW8" s="708"/>
      <c r="CX8" s="708"/>
      <c r="CY8" s="708"/>
      <c r="CZ8" s="708"/>
      <c r="DA8" s="708"/>
      <c r="DB8" s="708"/>
      <c r="DC8" s="708"/>
      <c r="DD8" s="708"/>
      <c r="DE8" s="708"/>
      <c r="DF8" s="708"/>
      <c r="DG8" s="708"/>
      <c r="DH8" s="708"/>
      <c r="DI8" s="708"/>
      <c r="DJ8" s="708"/>
      <c r="DK8" s="708"/>
      <c r="DL8" s="708"/>
      <c r="DM8" s="708"/>
      <c r="DN8" s="708"/>
      <c r="DO8" s="708"/>
      <c r="DP8" s="708"/>
      <c r="DQ8" s="708"/>
      <c r="DR8" s="708"/>
      <c r="DS8" s="708"/>
      <c r="DT8" s="708"/>
      <c r="DU8" s="708"/>
      <c r="DV8" s="708"/>
      <c r="DW8" s="708"/>
      <c r="DX8" s="708"/>
      <c r="DY8" s="708"/>
      <c r="DZ8" s="708"/>
      <c r="EA8" s="708"/>
      <c r="EB8" s="708"/>
      <c r="EC8" s="708"/>
      <c r="ED8" s="708"/>
      <c r="EE8" s="708"/>
      <c r="EF8" s="708"/>
      <c r="EG8" s="708"/>
      <c r="EH8" s="708"/>
      <c r="EI8" s="708"/>
      <c r="EJ8" s="708"/>
      <c r="EK8" s="708"/>
      <c r="EL8" s="708"/>
      <c r="EM8" s="708"/>
      <c r="EN8" s="708"/>
      <c r="EO8" s="708"/>
      <c r="EP8" s="708"/>
      <c r="EQ8" s="708"/>
      <c r="ER8" s="708"/>
      <c r="ES8" s="708"/>
      <c r="ET8" s="708"/>
      <c r="EU8" s="708"/>
      <c r="EV8" s="708"/>
      <c r="EW8" s="708"/>
      <c r="EX8" s="708"/>
      <c r="EY8" s="708"/>
      <c r="EZ8" s="708"/>
      <c r="FA8" s="708"/>
      <c r="FB8" s="708"/>
      <c r="FC8" s="708"/>
      <c r="FD8" s="708"/>
      <c r="FE8" s="708"/>
      <c r="FF8" s="708"/>
      <c r="FG8" s="708"/>
      <c r="FH8" s="708"/>
      <c r="FI8" s="708"/>
      <c r="FJ8" s="708"/>
      <c r="FK8" s="708"/>
      <c r="FL8" s="708"/>
      <c r="FM8" s="708"/>
      <c r="FN8" s="708"/>
      <c r="FO8" s="708"/>
      <c r="FP8" s="708"/>
      <c r="FQ8" s="708"/>
      <c r="FR8" s="708"/>
      <c r="FS8" s="708"/>
      <c r="FT8" s="708"/>
      <c r="FU8" s="708"/>
      <c r="FV8" s="708"/>
      <c r="FW8" s="708"/>
      <c r="FX8" s="708"/>
      <c r="FY8" s="708"/>
      <c r="FZ8" s="708"/>
      <c r="GA8" s="708"/>
      <c r="GB8" s="708"/>
      <c r="GC8" s="708"/>
      <c r="GD8" s="708"/>
      <c r="GE8" s="708"/>
      <c r="GF8" s="708"/>
      <c r="GG8" s="708"/>
      <c r="GH8" s="708"/>
      <c r="GI8" s="708"/>
      <c r="GJ8" s="708"/>
      <c r="GK8" s="708"/>
      <c r="GL8" s="708"/>
      <c r="GM8" s="708"/>
      <c r="GN8" s="708"/>
      <c r="GO8" s="708"/>
      <c r="GP8" s="708"/>
      <c r="GQ8" s="708"/>
      <c r="GR8" s="708"/>
      <c r="GS8" s="708"/>
      <c r="GT8" s="708"/>
      <c r="GU8" s="708"/>
      <c r="GV8" s="708"/>
      <c r="GW8" s="708"/>
      <c r="GX8" s="708"/>
      <c r="GY8" s="708"/>
      <c r="GZ8" s="708"/>
      <c r="HA8" s="708"/>
      <c r="HB8" s="708"/>
      <c r="HC8" s="708"/>
      <c r="HD8" s="708"/>
      <c r="HE8" s="708"/>
      <c r="HF8" s="708"/>
      <c r="HG8" s="708"/>
      <c r="HH8" s="708"/>
      <c r="HI8" s="708"/>
      <c r="HJ8" s="708"/>
      <c r="HK8" s="708"/>
      <c r="HL8" s="708"/>
      <c r="HM8" s="708"/>
      <c r="HN8" s="708"/>
      <c r="HO8" s="708"/>
      <c r="HP8" s="708"/>
      <c r="HQ8" s="708"/>
      <c r="HR8" s="708"/>
      <c r="HS8" s="708"/>
      <c r="HT8" s="708"/>
      <c r="HU8" s="708"/>
      <c r="HV8" s="708"/>
      <c r="HW8" s="708"/>
      <c r="HX8" s="708"/>
      <c r="HY8" s="708"/>
      <c r="HZ8" s="708"/>
      <c r="IA8" s="708"/>
      <c r="IB8" s="708"/>
      <c r="IC8" s="708"/>
      <c r="ID8" s="708"/>
      <c r="IE8" s="708"/>
      <c r="IF8" s="708"/>
      <c r="IG8" s="708"/>
      <c r="IH8" s="708"/>
      <c r="II8" s="708"/>
      <c r="IJ8" s="708"/>
      <c r="IK8" s="708"/>
      <c r="IL8" s="708"/>
      <c r="IM8" s="708"/>
      <c r="IN8" s="708"/>
      <c r="IO8" s="708"/>
      <c r="IP8" s="708"/>
      <c r="IQ8" s="708"/>
      <c r="IR8" s="708"/>
      <c r="IS8" s="708"/>
      <c r="IT8" s="708"/>
      <c r="IU8" s="708"/>
      <c r="IV8" s="708"/>
      <c r="IW8" s="708"/>
      <c r="IX8" s="708"/>
      <c r="IY8" s="708"/>
      <c r="IZ8" s="708"/>
      <c r="JA8" s="708"/>
      <c r="JB8" s="708"/>
      <c r="JC8" s="708"/>
      <c r="JD8" s="708"/>
      <c r="JE8" s="708"/>
      <c r="JF8" s="708"/>
      <c r="JG8" s="708"/>
      <c r="JH8" s="708"/>
      <c r="JI8" s="708"/>
      <c r="JJ8" s="708"/>
      <c r="JK8" s="708"/>
      <c r="JL8" s="708"/>
      <c r="JM8" s="708"/>
      <c r="JN8" s="708"/>
      <c r="JO8" s="708"/>
      <c r="JP8" s="708"/>
      <c r="JQ8" s="708"/>
      <c r="JR8" s="708"/>
    </row>
    <row r="9" spans="1:278" s="160" customFormat="1" ht="138" customHeight="1" thickBot="1" x14ac:dyDescent="0.3">
      <c r="A9" s="632"/>
      <c r="B9" s="632"/>
      <c r="C9" s="632"/>
      <c r="D9" s="632"/>
      <c r="E9" s="632"/>
      <c r="F9" s="632"/>
      <c r="G9" s="632"/>
      <c r="H9" s="632"/>
      <c r="I9" s="632"/>
      <c r="J9" s="511"/>
      <c r="K9" s="511"/>
      <c r="L9" s="532"/>
      <c r="M9" s="532"/>
      <c r="N9" s="532"/>
      <c r="O9" s="532"/>
      <c r="P9" s="532"/>
      <c r="Q9" s="155" t="s">
        <v>706</v>
      </c>
      <c r="R9" s="155" t="s">
        <v>707</v>
      </c>
      <c r="S9" s="155" t="s">
        <v>60</v>
      </c>
      <c r="T9" s="155">
        <v>284</v>
      </c>
      <c r="U9" s="155">
        <v>390</v>
      </c>
      <c r="V9" s="545"/>
      <c r="W9" s="545"/>
      <c r="X9" s="532"/>
      <c r="Y9" s="626"/>
      <c r="Z9" s="620"/>
      <c r="AA9" s="623"/>
      <c r="AB9" s="615"/>
      <c r="AC9" s="164">
        <v>32</v>
      </c>
      <c r="AD9" s="165">
        <v>390</v>
      </c>
      <c r="AE9" s="166">
        <f t="shared" ref="AE9" si="0">+AC9/AD9</f>
        <v>8.2051282051282051E-2</v>
      </c>
      <c r="AF9" s="167" t="s">
        <v>708</v>
      </c>
      <c r="AG9" s="626"/>
      <c r="AH9" s="620"/>
      <c r="AI9" s="623"/>
      <c r="AJ9" s="615"/>
      <c r="AK9" s="164">
        <v>31</v>
      </c>
      <c r="AL9" s="165">
        <v>390</v>
      </c>
      <c r="AM9" s="166">
        <f t="shared" ref="AM9" si="1">+AK9/AL9</f>
        <v>7.9487179487179482E-2</v>
      </c>
      <c r="AN9" s="167" t="s">
        <v>709</v>
      </c>
      <c r="AO9" s="626"/>
      <c r="AP9" s="620"/>
      <c r="AQ9" s="623"/>
      <c r="AR9" s="615"/>
      <c r="AS9" s="165">
        <v>33</v>
      </c>
      <c r="AT9" s="165">
        <v>390</v>
      </c>
      <c r="AU9" s="166">
        <f t="shared" ref="AU9" si="2">+AS9/AT9</f>
        <v>8.461538461538462E-2</v>
      </c>
      <c r="AV9" s="167" t="s">
        <v>710</v>
      </c>
      <c r="AW9" s="626"/>
      <c r="AX9" s="620"/>
      <c r="AY9" s="623"/>
      <c r="AZ9" s="615"/>
      <c r="BA9" s="165">
        <v>33</v>
      </c>
      <c r="BB9" s="165">
        <v>390</v>
      </c>
      <c r="BC9" s="166">
        <f t="shared" ref="BC9" si="3">+BA9/BB9</f>
        <v>8.461538461538462E-2</v>
      </c>
      <c r="BD9" s="167" t="s">
        <v>711</v>
      </c>
      <c r="BE9" s="626"/>
      <c r="BF9" s="620"/>
      <c r="BG9" s="623"/>
      <c r="BH9" s="615"/>
      <c r="BI9" s="165">
        <v>39</v>
      </c>
      <c r="BJ9" s="165">
        <v>390</v>
      </c>
      <c r="BK9" s="166">
        <f t="shared" ref="BK9" si="4">+BI9/BJ9</f>
        <v>0.1</v>
      </c>
      <c r="BL9" s="167" t="s">
        <v>712</v>
      </c>
      <c r="BM9" s="626"/>
      <c r="BN9" s="620"/>
      <c r="BO9" s="623"/>
      <c r="BP9" s="615"/>
      <c r="BQ9" s="164">
        <v>44</v>
      </c>
      <c r="BR9" s="165">
        <v>390</v>
      </c>
      <c r="BS9" s="166">
        <f t="shared" ref="BS9" si="5">+BQ9/BR9</f>
        <v>0.11282051282051282</v>
      </c>
      <c r="BT9" s="167" t="s">
        <v>713</v>
      </c>
      <c r="BU9" s="626"/>
      <c r="BV9" s="620"/>
      <c r="BW9" s="623"/>
      <c r="BX9" s="615"/>
      <c r="BY9" s="165">
        <v>47</v>
      </c>
      <c r="BZ9" s="165">
        <v>390</v>
      </c>
      <c r="CA9" s="166">
        <f t="shared" ref="CA9" si="6">+BY9/BZ9</f>
        <v>0.12051282051282051</v>
      </c>
      <c r="CB9" s="167" t="s">
        <v>714</v>
      </c>
      <c r="CC9" s="626"/>
      <c r="CD9" s="620"/>
      <c r="CE9" s="623"/>
      <c r="CF9" s="615"/>
      <c r="CG9" s="165">
        <v>45</v>
      </c>
      <c r="CH9" s="165">
        <v>390</v>
      </c>
      <c r="CI9" s="166">
        <f t="shared" ref="CI9" si="7">+CG9/CH9</f>
        <v>0.11538461538461539</v>
      </c>
      <c r="CJ9" s="167" t="s">
        <v>715</v>
      </c>
      <c r="CK9" s="626"/>
      <c r="CL9" s="620"/>
      <c r="CM9" s="623"/>
      <c r="CN9" s="615"/>
      <c r="CO9" s="165">
        <v>39</v>
      </c>
      <c r="CP9" s="165">
        <v>390</v>
      </c>
      <c r="CQ9" s="166">
        <f>+CO9/CP9</f>
        <v>0.1</v>
      </c>
      <c r="CR9" s="167" t="s">
        <v>716</v>
      </c>
      <c r="CS9" s="708"/>
      <c r="CT9" s="708"/>
      <c r="CU9" s="708"/>
      <c r="CV9" s="708"/>
      <c r="CW9" s="708"/>
      <c r="CX9" s="708"/>
      <c r="CY9" s="708"/>
      <c r="CZ9" s="708"/>
      <c r="DA9" s="708"/>
      <c r="DB9" s="708"/>
      <c r="DC9" s="708"/>
      <c r="DD9" s="708"/>
      <c r="DE9" s="708"/>
      <c r="DF9" s="708"/>
      <c r="DG9" s="708"/>
      <c r="DH9" s="708"/>
      <c r="DI9" s="708"/>
      <c r="DJ9" s="708"/>
      <c r="DK9" s="708"/>
      <c r="DL9" s="708"/>
      <c r="DM9" s="708"/>
      <c r="DN9" s="708"/>
      <c r="DO9" s="708"/>
      <c r="DP9" s="708"/>
      <c r="DQ9" s="708"/>
      <c r="DR9" s="708"/>
      <c r="DS9" s="708"/>
      <c r="DT9" s="708"/>
      <c r="DU9" s="708"/>
      <c r="DV9" s="708"/>
      <c r="DW9" s="708"/>
      <c r="DX9" s="708"/>
      <c r="DY9" s="708"/>
      <c r="DZ9" s="708"/>
      <c r="EA9" s="708"/>
      <c r="EB9" s="708"/>
      <c r="EC9" s="708"/>
      <c r="ED9" s="708"/>
      <c r="EE9" s="708"/>
      <c r="EF9" s="708"/>
      <c r="EG9" s="708"/>
      <c r="EH9" s="708"/>
      <c r="EI9" s="708"/>
      <c r="EJ9" s="708"/>
      <c r="EK9" s="708"/>
      <c r="EL9" s="708"/>
      <c r="EM9" s="708"/>
      <c r="EN9" s="708"/>
      <c r="EO9" s="708"/>
      <c r="EP9" s="708"/>
      <c r="EQ9" s="708"/>
      <c r="ER9" s="708"/>
      <c r="ES9" s="708"/>
      <c r="ET9" s="708"/>
      <c r="EU9" s="708"/>
      <c r="EV9" s="708"/>
      <c r="EW9" s="708"/>
      <c r="EX9" s="708"/>
      <c r="EY9" s="708"/>
      <c r="EZ9" s="708"/>
      <c r="FA9" s="708"/>
      <c r="FB9" s="708"/>
      <c r="FC9" s="708"/>
      <c r="FD9" s="708"/>
      <c r="FE9" s="708"/>
      <c r="FF9" s="708"/>
      <c r="FG9" s="708"/>
      <c r="FH9" s="708"/>
      <c r="FI9" s="708"/>
      <c r="FJ9" s="708"/>
      <c r="FK9" s="708"/>
      <c r="FL9" s="708"/>
      <c r="FM9" s="708"/>
      <c r="FN9" s="708"/>
      <c r="FO9" s="708"/>
      <c r="FP9" s="708"/>
      <c r="FQ9" s="708"/>
      <c r="FR9" s="708"/>
      <c r="FS9" s="708"/>
      <c r="FT9" s="708"/>
      <c r="FU9" s="708"/>
      <c r="FV9" s="708"/>
      <c r="FW9" s="708"/>
      <c r="FX9" s="708"/>
      <c r="FY9" s="708"/>
      <c r="FZ9" s="708"/>
      <c r="GA9" s="708"/>
      <c r="GB9" s="708"/>
      <c r="GC9" s="708"/>
      <c r="GD9" s="708"/>
      <c r="GE9" s="708"/>
      <c r="GF9" s="708"/>
      <c r="GG9" s="708"/>
      <c r="GH9" s="708"/>
      <c r="GI9" s="708"/>
      <c r="GJ9" s="708"/>
      <c r="GK9" s="708"/>
      <c r="GL9" s="708"/>
      <c r="GM9" s="708"/>
      <c r="GN9" s="708"/>
      <c r="GO9" s="708"/>
      <c r="GP9" s="708"/>
      <c r="GQ9" s="708"/>
      <c r="GR9" s="708"/>
      <c r="GS9" s="708"/>
      <c r="GT9" s="708"/>
      <c r="GU9" s="708"/>
      <c r="GV9" s="708"/>
      <c r="GW9" s="708"/>
      <c r="GX9" s="708"/>
      <c r="GY9" s="708"/>
      <c r="GZ9" s="708"/>
      <c r="HA9" s="708"/>
      <c r="HB9" s="708"/>
      <c r="HC9" s="708"/>
      <c r="HD9" s="708"/>
      <c r="HE9" s="708"/>
      <c r="HF9" s="708"/>
      <c r="HG9" s="708"/>
      <c r="HH9" s="708"/>
      <c r="HI9" s="708"/>
      <c r="HJ9" s="708"/>
      <c r="HK9" s="708"/>
      <c r="HL9" s="708"/>
      <c r="HM9" s="708"/>
      <c r="HN9" s="708"/>
      <c r="HO9" s="708"/>
      <c r="HP9" s="708"/>
      <c r="HQ9" s="708"/>
      <c r="HR9" s="708"/>
      <c r="HS9" s="708"/>
      <c r="HT9" s="708"/>
      <c r="HU9" s="708"/>
      <c r="HV9" s="708"/>
      <c r="HW9" s="708"/>
      <c r="HX9" s="708"/>
      <c r="HY9" s="708"/>
      <c r="HZ9" s="708"/>
      <c r="IA9" s="708"/>
      <c r="IB9" s="708"/>
      <c r="IC9" s="708"/>
      <c r="ID9" s="708"/>
      <c r="IE9" s="708"/>
      <c r="IF9" s="708"/>
      <c r="IG9" s="708"/>
      <c r="IH9" s="708"/>
      <c r="II9" s="708"/>
      <c r="IJ9" s="708"/>
      <c r="IK9" s="708"/>
      <c r="IL9" s="708"/>
      <c r="IM9" s="708"/>
      <c r="IN9" s="708"/>
      <c r="IO9" s="708"/>
      <c r="IP9" s="708"/>
      <c r="IQ9" s="708"/>
      <c r="IR9" s="708"/>
      <c r="IS9" s="708"/>
      <c r="IT9" s="708"/>
      <c r="IU9" s="708"/>
      <c r="IV9" s="708"/>
      <c r="IW9" s="708"/>
      <c r="IX9" s="708"/>
      <c r="IY9" s="708"/>
      <c r="IZ9" s="708"/>
      <c r="JA9" s="708"/>
      <c r="JB9" s="708"/>
      <c r="JC9" s="708"/>
      <c r="JD9" s="708"/>
      <c r="JE9" s="708"/>
      <c r="JF9" s="708"/>
      <c r="JG9" s="708"/>
      <c r="JH9" s="708"/>
      <c r="JI9" s="708"/>
      <c r="JJ9" s="708"/>
      <c r="JK9" s="708"/>
      <c r="JL9" s="708"/>
      <c r="JM9" s="708"/>
      <c r="JN9" s="708"/>
      <c r="JO9" s="708"/>
      <c r="JP9" s="708"/>
      <c r="JQ9" s="708"/>
      <c r="JR9" s="708"/>
    </row>
    <row r="10" spans="1:278" s="160" customFormat="1" ht="161.25" customHeight="1" x14ac:dyDescent="0.25">
      <c r="A10" s="632"/>
      <c r="B10" s="632"/>
      <c r="C10" s="632"/>
      <c r="D10" s="616" t="s">
        <v>717</v>
      </c>
      <c r="E10" s="616" t="s">
        <v>51</v>
      </c>
      <c r="F10" s="616" t="s">
        <v>718</v>
      </c>
      <c r="G10" s="616" t="s">
        <v>719</v>
      </c>
      <c r="H10" s="616" t="s">
        <v>720</v>
      </c>
      <c r="I10" s="168" t="s">
        <v>721</v>
      </c>
      <c r="J10" s="511"/>
      <c r="K10" s="616" t="s">
        <v>670</v>
      </c>
      <c r="L10" s="161" t="s">
        <v>722</v>
      </c>
      <c r="M10" s="161" t="s">
        <v>723</v>
      </c>
      <c r="N10" s="161" t="s">
        <v>93</v>
      </c>
      <c r="O10" s="161">
        <v>85</v>
      </c>
      <c r="P10" s="161">
        <v>85</v>
      </c>
      <c r="Q10" s="169"/>
      <c r="R10" s="169"/>
      <c r="S10" s="169"/>
      <c r="T10" s="169"/>
      <c r="U10" s="169"/>
      <c r="V10" s="170">
        <v>1313586960</v>
      </c>
      <c r="W10" s="545"/>
      <c r="X10" s="532"/>
      <c r="Y10" s="171">
        <v>5</v>
      </c>
      <c r="Z10" s="172">
        <v>6</v>
      </c>
      <c r="AA10" s="173">
        <f>+Y10/Z10</f>
        <v>0.83333333333333337</v>
      </c>
      <c r="AB10" s="174" t="s">
        <v>724</v>
      </c>
      <c r="AC10" s="172"/>
      <c r="AD10" s="172"/>
      <c r="AE10" s="172"/>
      <c r="AF10" s="175"/>
      <c r="AG10" s="171">
        <v>6</v>
      </c>
      <c r="AH10" s="172">
        <v>8</v>
      </c>
      <c r="AI10" s="173">
        <f>+AG10/AH10</f>
        <v>0.75</v>
      </c>
      <c r="AJ10" s="174" t="s">
        <v>725</v>
      </c>
      <c r="AK10" s="172"/>
      <c r="AL10" s="172"/>
      <c r="AM10" s="172"/>
      <c r="AN10" s="175"/>
      <c r="AO10" s="171">
        <v>6</v>
      </c>
      <c r="AP10" s="172">
        <v>8</v>
      </c>
      <c r="AQ10" s="173">
        <f>+AO10/AP10</f>
        <v>0.75</v>
      </c>
      <c r="AR10" s="174" t="s">
        <v>726</v>
      </c>
      <c r="AS10" s="172"/>
      <c r="AT10" s="172"/>
      <c r="AU10" s="172"/>
      <c r="AV10" s="175"/>
      <c r="AW10" s="171">
        <v>6</v>
      </c>
      <c r="AX10" s="172">
        <v>8</v>
      </c>
      <c r="AY10" s="173">
        <f>+AW10/AX10</f>
        <v>0.75</v>
      </c>
      <c r="AZ10" s="174" t="s">
        <v>727</v>
      </c>
      <c r="BA10" s="172"/>
      <c r="BB10" s="172"/>
      <c r="BC10" s="172"/>
      <c r="BD10" s="175"/>
      <c r="BE10" s="171">
        <v>11</v>
      </c>
      <c r="BF10" s="172">
        <v>13</v>
      </c>
      <c r="BG10" s="173">
        <f>+BE10/BF10</f>
        <v>0.84615384615384615</v>
      </c>
      <c r="BH10" s="174" t="s">
        <v>728</v>
      </c>
      <c r="BI10" s="172"/>
      <c r="BJ10" s="172"/>
      <c r="BK10" s="172"/>
      <c r="BL10" s="175"/>
      <c r="BM10" s="171">
        <v>11</v>
      </c>
      <c r="BN10" s="172">
        <v>13</v>
      </c>
      <c r="BO10" s="173">
        <f>+BM10/BN10</f>
        <v>0.84615384615384615</v>
      </c>
      <c r="BP10" s="174" t="s">
        <v>729</v>
      </c>
      <c r="BQ10" s="172"/>
      <c r="BR10" s="172"/>
      <c r="BS10" s="172"/>
      <c r="BT10" s="175"/>
      <c r="BU10" s="171">
        <v>15</v>
      </c>
      <c r="BV10" s="172">
        <v>17</v>
      </c>
      <c r="BW10" s="173">
        <f>+BU10/BV10</f>
        <v>0.88235294117647056</v>
      </c>
      <c r="BX10" s="174" t="s">
        <v>730</v>
      </c>
      <c r="BY10" s="172"/>
      <c r="BZ10" s="172"/>
      <c r="CA10" s="173"/>
      <c r="CB10" s="175"/>
      <c r="CC10" s="171">
        <v>17</v>
      </c>
      <c r="CD10" s="172">
        <v>20</v>
      </c>
      <c r="CE10" s="173">
        <f>+CC10/CD10</f>
        <v>0.85</v>
      </c>
      <c r="CF10" s="174" t="s">
        <v>731</v>
      </c>
      <c r="CG10" s="172"/>
      <c r="CH10" s="172"/>
      <c r="CI10" s="172"/>
      <c r="CJ10" s="175"/>
      <c r="CK10" s="171">
        <v>17</v>
      </c>
      <c r="CL10" s="172">
        <v>20</v>
      </c>
      <c r="CM10" s="173">
        <f>+CK10/CL10</f>
        <v>0.85</v>
      </c>
      <c r="CN10" s="174" t="s">
        <v>732</v>
      </c>
      <c r="CO10" s="172"/>
      <c r="CP10" s="172"/>
      <c r="CQ10" s="172"/>
      <c r="CR10" s="175"/>
      <c r="CS10" s="708"/>
      <c r="CT10" s="708"/>
      <c r="CU10" s="708"/>
      <c r="CV10" s="708"/>
      <c r="CW10" s="708"/>
      <c r="CX10" s="708"/>
      <c r="CY10" s="708"/>
      <c r="CZ10" s="708"/>
      <c r="DA10" s="708"/>
      <c r="DB10" s="708"/>
      <c r="DC10" s="708"/>
      <c r="DD10" s="708"/>
      <c r="DE10" s="708"/>
      <c r="DF10" s="708"/>
      <c r="DG10" s="708"/>
      <c r="DH10" s="708"/>
      <c r="DI10" s="708"/>
      <c r="DJ10" s="708"/>
      <c r="DK10" s="708"/>
      <c r="DL10" s="708"/>
      <c r="DM10" s="708"/>
      <c r="DN10" s="708"/>
      <c r="DO10" s="708"/>
      <c r="DP10" s="708"/>
      <c r="DQ10" s="708"/>
      <c r="DR10" s="708"/>
      <c r="DS10" s="708"/>
      <c r="DT10" s="708"/>
      <c r="DU10" s="708"/>
      <c r="DV10" s="708"/>
      <c r="DW10" s="708"/>
      <c r="DX10" s="708"/>
      <c r="DY10" s="708"/>
      <c r="DZ10" s="708"/>
      <c r="EA10" s="708"/>
      <c r="EB10" s="708"/>
      <c r="EC10" s="708"/>
      <c r="ED10" s="708"/>
      <c r="EE10" s="708"/>
      <c r="EF10" s="708"/>
      <c r="EG10" s="708"/>
      <c r="EH10" s="708"/>
      <c r="EI10" s="708"/>
      <c r="EJ10" s="708"/>
      <c r="EK10" s="708"/>
      <c r="EL10" s="708"/>
      <c r="EM10" s="708"/>
      <c r="EN10" s="708"/>
      <c r="EO10" s="708"/>
      <c r="EP10" s="708"/>
      <c r="EQ10" s="708"/>
      <c r="ER10" s="708"/>
      <c r="ES10" s="708"/>
      <c r="ET10" s="708"/>
      <c r="EU10" s="708"/>
      <c r="EV10" s="708"/>
      <c r="EW10" s="708"/>
      <c r="EX10" s="708"/>
      <c r="EY10" s="708"/>
      <c r="EZ10" s="708"/>
      <c r="FA10" s="708"/>
      <c r="FB10" s="708"/>
      <c r="FC10" s="708"/>
      <c r="FD10" s="708"/>
      <c r="FE10" s="708"/>
      <c r="FF10" s="708"/>
      <c r="FG10" s="708"/>
      <c r="FH10" s="708"/>
      <c r="FI10" s="708"/>
      <c r="FJ10" s="708"/>
      <c r="FK10" s="708"/>
      <c r="FL10" s="708"/>
      <c r="FM10" s="708"/>
      <c r="FN10" s="708"/>
      <c r="FO10" s="708"/>
      <c r="FP10" s="708"/>
      <c r="FQ10" s="708"/>
      <c r="FR10" s="708"/>
      <c r="FS10" s="708"/>
      <c r="FT10" s="708"/>
      <c r="FU10" s="708"/>
      <c r="FV10" s="708"/>
      <c r="FW10" s="708"/>
      <c r="FX10" s="708"/>
      <c r="FY10" s="708"/>
      <c r="FZ10" s="708"/>
      <c r="GA10" s="708"/>
      <c r="GB10" s="708"/>
      <c r="GC10" s="708"/>
      <c r="GD10" s="708"/>
      <c r="GE10" s="708"/>
      <c r="GF10" s="708"/>
      <c r="GG10" s="708"/>
      <c r="GH10" s="708"/>
      <c r="GI10" s="708"/>
      <c r="GJ10" s="708"/>
      <c r="GK10" s="708"/>
      <c r="GL10" s="708"/>
      <c r="GM10" s="708"/>
      <c r="GN10" s="708"/>
      <c r="GO10" s="708"/>
      <c r="GP10" s="708"/>
      <c r="GQ10" s="708"/>
      <c r="GR10" s="708"/>
      <c r="GS10" s="708"/>
      <c r="GT10" s="708"/>
      <c r="GU10" s="708"/>
      <c r="GV10" s="708"/>
      <c r="GW10" s="708"/>
      <c r="GX10" s="708"/>
      <c r="GY10" s="708"/>
      <c r="GZ10" s="708"/>
      <c r="HA10" s="708"/>
      <c r="HB10" s="708"/>
      <c r="HC10" s="708"/>
      <c r="HD10" s="708"/>
      <c r="HE10" s="708"/>
      <c r="HF10" s="708"/>
      <c r="HG10" s="708"/>
      <c r="HH10" s="708"/>
      <c r="HI10" s="708"/>
      <c r="HJ10" s="708"/>
      <c r="HK10" s="708"/>
      <c r="HL10" s="708"/>
      <c r="HM10" s="708"/>
      <c r="HN10" s="708"/>
      <c r="HO10" s="708"/>
      <c r="HP10" s="708"/>
      <c r="HQ10" s="708"/>
      <c r="HR10" s="708"/>
      <c r="HS10" s="708"/>
      <c r="HT10" s="708"/>
      <c r="HU10" s="708"/>
      <c r="HV10" s="708"/>
      <c r="HW10" s="708"/>
      <c r="HX10" s="708"/>
      <c r="HY10" s="708"/>
      <c r="HZ10" s="708"/>
      <c r="IA10" s="708"/>
      <c r="IB10" s="708"/>
      <c r="IC10" s="708"/>
      <c r="ID10" s="708"/>
      <c r="IE10" s="708"/>
      <c r="IF10" s="708"/>
      <c r="IG10" s="708"/>
      <c r="IH10" s="708"/>
      <c r="II10" s="708"/>
      <c r="IJ10" s="708"/>
      <c r="IK10" s="708"/>
      <c r="IL10" s="708"/>
      <c r="IM10" s="708"/>
      <c r="IN10" s="708"/>
      <c r="IO10" s="708"/>
      <c r="IP10" s="708"/>
      <c r="IQ10" s="708"/>
      <c r="IR10" s="708"/>
      <c r="IS10" s="708"/>
      <c r="IT10" s="708"/>
      <c r="IU10" s="708"/>
      <c r="IV10" s="708"/>
      <c r="IW10" s="708"/>
      <c r="IX10" s="708"/>
      <c r="IY10" s="708"/>
      <c r="IZ10" s="708"/>
      <c r="JA10" s="708"/>
      <c r="JB10" s="708"/>
      <c r="JC10" s="708"/>
      <c r="JD10" s="708"/>
      <c r="JE10" s="708"/>
      <c r="JF10" s="708"/>
      <c r="JG10" s="708"/>
      <c r="JH10" s="708"/>
      <c r="JI10" s="708"/>
      <c r="JJ10" s="708"/>
      <c r="JK10" s="708"/>
      <c r="JL10" s="708"/>
      <c r="JM10" s="708"/>
      <c r="JN10" s="708"/>
      <c r="JO10" s="708"/>
      <c r="JP10" s="708"/>
      <c r="JQ10" s="708"/>
      <c r="JR10" s="708"/>
    </row>
    <row r="11" spans="1:278" s="160" customFormat="1" ht="157.5" customHeight="1" thickBot="1" x14ac:dyDescent="0.3">
      <c r="A11" s="632"/>
      <c r="B11" s="632"/>
      <c r="C11" s="632"/>
      <c r="D11" s="616"/>
      <c r="E11" s="617"/>
      <c r="F11" s="617"/>
      <c r="G11" s="616"/>
      <c r="H11" s="617"/>
      <c r="I11" s="176" t="s">
        <v>733</v>
      </c>
      <c r="J11" s="511"/>
      <c r="K11" s="616"/>
      <c r="L11" s="155" t="s">
        <v>734</v>
      </c>
      <c r="M11" s="155" t="s">
        <v>735</v>
      </c>
      <c r="N11" s="155" t="s">
        <v>93</v>
      </c>
      <c r="O11" s="155"/>
      <c r="P11" s="155">
        <v>100</v>
      </c>
      <c r="Q11" s="169"/>
      <c r="R11" s="169"/>
      <c r="S11" s="169"/>
      <c r="T11" s="169"/>
      <c r="U11" s="169"/>
      <c r="V11" s="177">
        <v>1156650860</v>
      </c>
      <c r="W11" s="545"/>
      <c r="X11" s="532"/>
      <c r="Y11" s="178">
        <v>20</v>
      </c>
      <c r="Z11" s="179">
        <v>20</v>
      </c>
      <c r="AA11" s="180">
        <f>+Y11/Z11</f>
        <v>1</v>
      </c>
      <c r="AB11" s="181" t="s">
        <v>736</v>
      </c>
      <c r="AC11" s="179"/>
      <c r="AD11" s="179"/>
      <c r="AE11" s="179"/>
      <c r="AF11" s="182"/>
      <c r="AG11" s="178">
        <v>22</v>
      </c>
      <c r="AH11" s="179">
        <v>22</v>
      </c>
      <c r="AI11" s="180">
        <f>+AG11/AH11</f>
        <v>1</v>
      </c>
      <c r="AJ11" s="181" t="s">
        <v>737</v>
      </c>
      <c r="AK11" s="179"/>
      <c r="AL11" s="179"/>
      <c r="AM11" s="179"/>
      <c r="AN11" s="182"/>
      <c r="AO11" s="178">
        <v>24</v>
      </c>
      <c r="AP11" s="179">
        <v>24</v>
      </c>
      <c r="AQ11" s="180">
        <f>+AO11/AP11</f>
        <v>1</v>
      </c>
      <c r="AR11" s="181" t="s">
        <v>738</v>
      </c>
      <c r="AS11" s="179"/>
      <c r="AT11" s="179"/>
      <c r="AU11" s="179"/>
      <c r="AV11" s="182"/>
      <c r="AW11" s="178">
        <v>28</v>
      </c>
      <c r="AX11" s="179">
        <v>28</v>
      </c>
      <c r="AY11" s="180">
        <f>+AW11/AX11</f>
        <v>1</v>
      </c>
      <c r="AZ11" s="181" t="s">
        <v>739</v>
      </c>
      <c r="BA11" s="179"/>
      <c r="BB11" s="179"/>
      <c r="BC11" s="179"/>
      <c r="BD11" s="182"/>
      <c r="BE11" s="178">
        <v>21</v>
      </c>
      <c r="BF11" s="179">
        <v>21</v>
      </c>
      <c r="BG11" s="180">
        <f>+BE11/BF11</f>
        <v>1</v>
      </c>
      <c r="BH11" s="181" t="s">
        <v>740</v>
      </c>
      <c r="BI11" s="179"/>
      <c r="BJ11" s="179"/>
      <c r="BK11" s="179"/>
      <c r="BL11" s="182"/>
      <c r="BM11" s="178">
        <v>22</v>
      </c>
      <c r="BN11" s="179">
        <v>22</v>
      </c>
      <c r="BO11" s="180">
        <f>+BM11/BN11</f>
        <v>1</v>
      </c>
      <c r="BP11" s="181" t="s">
        <v>741</v>
      </c>
      <c r="BQ11" s="179"/>
      <c r="BR11" s="179"/>
      <c r="BS11" s="179"/>
      <c r="BT11" s="182"/>
      <c r="BU11" s="178">
        <v>29</v>
      </c>
      <c r="BV11" s="179">
        <v>29</v>
      </c>
      <c r="BW11" s="180">
        <f>+BU11/BV11</f>
        <v>1</v>
      </c>
      <c r="BX11" s="181" t="s">
        <v>742</v>
      </c>
      <c r="BY11" s="179"/>
      <c r="BZ11" s="179"/>
      <c r="CA11" s="179"/>
      <c r="CB11" s="182"/>
      <c r="CC11" s="178">
        <v>21</v>
      </c>
      <c r="CD11" s="179">
        <v>21</v>
      </c>
      <c r="CE11" s="180">
        <f>+CC11/CD11</f>
        <v>1</v>
      </c>
      <c r="CF11" s="181" t="s">
        <v>743</v>
      </c>
      <c r="CG11" s="179"/>
      <c r="CH11" s="179"/>
      <c r="CI11" s="179"/>
      <c r="CJ11" s="182"/>
      <c r="CK11" s="178">
        <v>20</v>
      </c>
      <c r="CL11" s="179">
        <v>20</v>
      </c>
      <c r="CM11" s="180">
        <f>+CK11/CL11</f>
        <v>1</v>
      </c>
      <c r="CN11" s="181" t="s">
        <v>744</v>
      </c>
      <c r="CO11" s="179"/>
      <c r="CP11" s="179"/>
      <c r="CQ11" s="179"/>
      <c r="CR11" s="182"/>
      <c r="CS11" s="708"/>
      <c r="CT11" s="708"/>
      <c r="CU11" s="708"/>
      <c r="CV11" s="708"/>
      <c r="CW11" s="708"/>
      <c r="CX11" s="708"/>
      <c r="CY11" s="708"/>
      <c r="CZ11" s="708"/>
      <c r="DA11" s="708"/>
      <c r="DB11" s="708"/>
      <c r="DC11" s="708"/>
      <c r="DD11" s="708"/>
      <c r="DE11" s="708"/>
      <c r="DF11" s="708"/>
      <c r="DG11" s="708"/>
      <c r="DH11" s="708"/>
      <c r="DI11" s="708"/>
      <c r="DJ11" s="708"/>
      <c r="DK11" s="708"/>
      <c r="DL11" s="708"/>
      <c r="DM11" s="708"/>
      <c r="DN11" s="708"/>
      <c r="DO11" s="708"/>
      <c r="DP11" s="708"/>
      <c r="DQ11" s="708"/>
      <c r="DR11" s="708"/>
      <c r="DS11" s="708"/>
      <c r="DT11" s="708"/>
      <c r="DU11" s="708"/>
      <c r="DV11" s="708"/>
      <c r="DW11" s="708"/>
      <c r="DX11" s="708"/>
      <c r="DY11" s="708"/>
      <c r="DZ11" s="708"/>
      <c r="EA11" s="708"/>
      <c r="EB11" s="708"/>
      <c r="EC11" s="708"/>
      <c r="ED11" s="708"/>
      <c r="EE11" s="708"/>
      <c r="EF11" s="708"/>
      <c r="EG11" s="708"/>
      <c r="EH11" s="708"/>
      <c r="EI11" s="708"/>
      <c r="EJ11" s="708"/>
      <c r="EK11" s="708"/>
      <c r="EL11" s="708"/>
      <c r="EM11" s="708"/>
      <c r="EN11" s="708"/>
      <c r="EO11" s="708"/>
      <c r="EP11" s="708"/>
      <c r="EQ11" s="708"/>
      <c r="ER11" s="708"/>
      <c r="ES11" s="708"/>
      <c r="ET11" s="708"/>
      <c r="EU11" s="708"/>
      <c r="EV11" s="708"/>
      <c r="EW11" s="708"/>
      <c r="EX11" s="708"/>
      <c r="EY11" s="708"/>
      <c r="EZ11" s="708"/>
      <c r="FA11" s="708"/>
      <c r="FB11" s="708"/>
      <c r="FC11" s="708"/>
      <c r="FD11" s="708"/>
      <c r="FE11" s="708"/>
      <c r="FF11" s="708"/>
      <c r="FG11" s="708"/>
      <c r="FH11" s="708"/>
      <c r="FI11" s="708"/>
      <c r="FJ11" s="708"/>
      <c r="FK11" s="708"/>
      <c r="FL11" s="708"/>
      <c r="FM11" s="708"/>
      <c r="FN11" s="708"/>
      <c r="FO11" s="708"/>
      <c r="FP11" s="708"/>
      <c r="FQ11" s="708"/>
      <c r="FR11" s="708"/>
      <c r="FS11" s="708"/>
      <c r="FT11" s="708"/>
      <c r="FU11" s="708"/>
      <c r="FV11" s="708"/>
      <c r="FW11" s="708"/>
      <c r="FX11" s="708"/>
      <c r="FY11" s="708"/>
      <c r="FZ11" s="708"/>
      <c r="GA11" s="708"/>
      <c r="GB11" s="708"/>
      <c r="GC11" s="708"/>
      <c r="GD11" s="708"/>
      <c r="GE11" s="708"/>
      <c r="GF11" s="708"/>
      <c r="GG11" s="708"/>
      <c r="GH11" s="708"/>
      <c r="GI11" s="708"/>
      <c r="GJ11" s="708"/>
      <c r="GK11" s="708"/>
      <c r="GL11" s="708"/>
      <c r="GM11" s="708"/>
      <c r="GN11" s="708"/>
      <c r="GO11" s="708"/>
      <c r="GP11" s="708"/>
      <c r="GQ11" s="708"/>
      <c r="GR11" s="708"/>
      <c r="GS11" s="708"/>
      <c r="GT11" s="708"/>
      <c r="GU11" s="708"/>
      <c r="GV11" s="708"/>
      <c r="GW11" s="708"/>
      <c r="GX11" s="708"/>
      <c r="GY11" s="708"/>
      <c r="GZ11" s="708"/>
      <c r="HA11" s="708"/>
      <c r="HB11" s="708"/>
      <c r="HC11" s="708"/>
      <c r="HD11" s="708"/>
      <c r="HE11" s="708"/>
      <c r="HF11" s="708"/>
      <c r="HG11" s="708"/>
      <c r="HH11" s="708"/>
      <c r="HI11" s="708"/>
      <c r="HJ11" s="708"/>
      <c r="HK11" s="708"/>
      <c r="HL11" s="708"/>
      <c r="HM11" s="708"/>
      <c r="HN11" s="708"/>
      <c r="HO11" s="708"/>
      <c r="HP11" s="708"/>
      <c r="HQ11" s="708"/>
      <c r="HR11" s="708"/>
      <c r="HS11" s="708"/>
      <c r="HT11" s="708"/>
      <c r="HU11" s="708"/>
      <c r="HV11" s="708"/>
      <c r="HW11" s="708"/>
      <c r="HX11" s="708"/>
      <c r="HY11" s="708"/>
      <c r="HZ11" s="708"/>
      <c r="IA11" s="708"/>
      <c r="IB11" s="708"/>
      <c r="IC11" s="708"/>
      <c r="ID11" s="708"/>
      <c r="IE11" s="708"/>
      <c r="IF11" s="708"/>
      <c r="IG11" s="708"/>
      <c r="IH11" s="708"/>
      <c r="II11" s="708"/>
      <c r="IJ11" s="708"/>
      <c r="IK11" s="708"/>
      <c r="IL11" s="708"/>
      <c r="IM11" s="708"/>
      <c r="IN11" s="708"/>
      <c r="IO11" s="708"/>
      <c r="IP11" s="708"/>
      <c r="IQ11" s="708"/>
      <c r="IR11" s="708"/>
      <c r="IS11" s="708"/>
      <c r="IT11" s="708"/>
      <c r="IU11" s="708"/>
      <c r="IV11" s="708"/>
      <c r="IW11" s="708"/>
      <c r="IX11" s="708"/>
      <c r="IY11" s="708"/>
      <c r="IZ11" s="708"/>
      <c r="JA11" s="708"/>
      <c r="JB11" s="708"/>
      <c r="JC11" s="708"/>
      <c r="JD11" s="708"/>
      <c r="JE11" s="708"/>
      <c r="JF11" s="708"/>
      <c r="JG11" s="708"/>
      <c r="JH11" s="708"/>
      <c r="JI11" s="708"/>
      <c r="JJ11" s="708"/>
      <c r="JK11" s="708"/>
      <c r="JL11" s="708"/>
      <c r="JM11" s="708"/>
      <c r="JN11" s="708"/>
      <c r="JO11" s="708"/>
      <c r="JP11" s="708"/>
      <c r="JQ11" s="708"/>
      <c r="JR11" s="708"/>
    </row>
    <row r="12" spans="1:278" s="160" customFormat="1" ht="99" customHeight="1" x14ac:dyDescent="0.25">
      <c r="A12" s="632"/>
      <c r="B12" s="632"/>
      <c r="C12" s="632"/>
      <c r="D12" s="616"/>
      <c r="E12" s="618" t="s">
        <v>745</v>
      </c>
      <c r="F12" s="618" t="s">
        <v>746</v>
      </c>
      <c r="G12" s="616"/>
      <c r="H12" s="618" t="s">
        <v>720</v>
      </c>
      <c r="I12" s="618" t="s">
        <v>747</v>
      </c>
      <c r="J12" s="511"/>
      <c r="K12" s="616"/>
      <c r="L12" s="628" t="s">
        <v>748</v>
      </c>
      <c r="M12" s="548" t="s">
        <v>749</v>
      </c>
      <c r="N12" s="548" t="s">
        <v>60</v>
      </c>
      <c r="O12" s="548"/>
      <c r="P12" s="548">
        <v>100</v>
      </c>
      <c r="Q12" s="161" t="s">
        <v>750</v>
      </c>
      <c r="R12" s="161" t="s">
        <v>751</v>
      </c>
      <c r="S12" s="161" t="s">
        <v>93</v>
      </c>
      <c r="T12" s="170">
        <v>3500000000</v>
      </c>
      <c r="U12" s="161">
        <v>30</v>
      </c>
      <c r="V12" s="611">
        <v>864689120</v>
      </c>
      <c r="W12" s="545"/>
      <c r="X12" s="532"/>
      <c r="Y12" s="609">
        <f>+AC12+AC13</f>
        <v>1807011508</v>
      </c>
      <c r="Z12" s="605">
        <f>+AD12+AD13</f>
        <v>4271204129.7360001</v>
      </c>
      <c r="AA12" s="607">
        <f>+Y12/Z12</f>
        <v>0.42306840251900818</v>
      </c>
      <c r="AB12" s="612" t="s">
        <v>752</v>
      </c>
      <c r="AC12" s="183">
        <v>1807011508</v>
      </c>
      <c r="AD12" s="183">
        <v>4271204129.7360001</v>
      </c>
      <c r="AE12" s="184">
        <f>+AC12/AD12</f>
        <v>0.42306840251900818</v>
      </c>
      <c r="AF12" s="185" t="s">
        <v>753</v>
      </c>
      <c r="AG12" s="609">
        <f>+AK12+AK13</f>
        <v>2177617586</v>
      </c>
      <c r="AH12" s="605">
        <f>+AL12+AL13</f>
        <v>7161101459.7360001</v>
      </c>
      <c r="AI12" s="607">
        <f>+AG12/AH12</f>
        <v>0.30408975466188687</v>
      </c>
      <c r="AJ12" s="602" t="s">
        <v>754</v>
      </c>
      <c r="AK12" s="186">
        <f>+AC12+216454628</f>
        <v>2023466136</v>
      </c>
      <c r="AL12" s="186">
        <f>+AD12</f>
        <v>4271204129.7360001</v>
      </c>
      <c r="AM12" s="184">
        <f>+AK12/AL12</f>
        <v>0.47374606189216928</v>
      </c>
      <c r="AN12" s="185" t="s">
        <v>755</v>
      </c>
      <c r="AO12" s="609">
        <f>+AS12+AS13</f>
        <v>2827788025</v>
      </c>
      <c r="AP12" s="605">
        <f>+AT12+AT13</f>
        <v>7161101459.7360001</v>
      </c>
      <c r="AQ12" s="607">
        <f>+AO12/AP12</f>
        <v>0.39488171490091534</v>
      </c>
      <c r="AR12" s="602" t="s">
        <v>756</v>
      </c>
      <c r="AS12" s="186">
        <f>+AK12+205223653</f>
        <v>2228689789</v>
      </c>
      <c r="AT12" s="186">
        <f>+AL12</f>
        <v>4271204129.7360001</v>
      </c>
      <c r="AU12" s="184">
        <f>+AS12/AT12</f>
        <v>0.52179425784966027</v>
      </c>
      <c r="AV12" s="185" t="s">
        <v>757</v>
      </c>
      <c r="AW12" s="609">
        <f>+BA12+BA13</f>
        <v>2857777518</v>
      </c>
      <c r="AX12" s="605">
        <f>+BB12+BB13</f>
        <v>7307123087.7360001</v>
      </c>
      <c r="AY12" s="607">
        <f>+AW12/AX12</f>
        <v>0.39109475558121992</v>
      </c>
      <c r="AZ12" s="602" t="s">
        <v>758</v>
      </c>
      <c r="BA12" s="186">
        <f>+AS12+16032903</f>
        <v>2244722692</v>
      </c>
      <c r="BB12" s="186">
        <f>+AT12+146021628</f>
        <v>4417225757.7360001</v>
      </c>
      <c r="BC12" s="184">
        <f>+BA12/BB12</f>
        <v>0.50817477192981586</v>
      </c>
      <c r="BD12" s="185" t="s">
        <v>759</v>
      </c>
      <c r="BE12" s="609">
        <f>+BI12+BI13</f>
        <v>3400562631</v>
      </c>
      <c r="BF12" s="605">
        <f>+BJ12+BJ13</f>
        <v>7686245328</v>
      </c>
      <c r="BG12" s="607">
        <f>+BE12/BF12</f>
        <v>0.44242181792092805</v>
      </c>
      <c r="BH12" s="602" t="s">
        <v>760</v>
      </c>
      <c r="BI12" s="186">
        <f>+BA12+269898639</f>
        <v>2514621331</v>
      </c>
      <c r="BJ12" s="187">
        <v>5496718185</v>
      </c>
      <c r="BK12" s="184">
        <f>+BI12/BJ12</f>
        <v>0.45747685188994275</v>
      </c>
      <c r="BL12" s="188" t="s">
        <v>761</v>
      </c>
      <c r="BM12" s="609">
        <f>+BQ12+BQ13</f>
        <v>4409234725</v>
      </c>
      <c r="BN12" s="605">
        <f>+BR12+BR13</f>
        <v>7511014783</v>
      </c>
      <c r="BO12" s="607">
        <f>+BM12/BN12</f>
        <v>0.58703582037670976</v>
      </c>
      <c r="BP12" s="602" t="s">
        <v>762</v>
      </c>
      <c r="BQ12" s="186">
        <f>+BI12+227575617</f>
        <v>2742196948</v>
      </c>
      <c r="BR12" s="187">
        <f>5496718185+175230543</f>
        <v>5671948728</v>
      </c>
      <c r="BS12" s="184">
        <f>+BQ12/BR12</f>
        <v>0.48346645562272789</v>
      </c>
      <c r="BT12" s="188" t="s">
        <v>763</v>
      </c>
      <c r="BU12" s="609">
        <f>+BY12+BY13</f>
        <v>4688542465</v>
      </c>
      <c r="BV12" s="605">
        <f>+BZ12+BZ13</f>
        <v>9902092370.3999996</v>
      </c>
      <c r="BW12" s="607">
        <f>+BU12/BV12</f>
        <v>0.47349007559405387</v>
      </c>
      <c r="BX12" s="602" t="s">
        <v>764</v>
      </c>
      <c r="BY12" s="186">
        <f>+BQ12+92252670</f>
        <v>2834449618</v>
      </c>
      <c r="BZ12" s="187">
        <f>5496718185+175230543+4678014</f>
        <v>5676626742</v>
      </c>
      <c r="CA12" s="184">
        <f>+BY12/BZ12</f>
        <v>0.49931935757350171</v>
      </c>
      <c r="CB12" s="188" t="s">
        <v>765</v>
      </c>
      <c r="CC12" s="609">
        <f>+CG12+CG13</f>
        <v>5432503675</v>
      </c>
      <c r="CD12" s="605">
        <f>+CH12+CH13</f>
        <v>9857131754.3999996</v>
      </c>
      <c r="CE12" s="607">
        <f>+CC12/CD12</f>
        <v>0.55112418199899316</v>
      </c>
      <c r="CF12" s="602" t="s">
        <v>766</v>
      </c>
      <c r="CG12" s="186">
        <f>+BY12+99125320</f>
        <v>2933574938</v>
      </c>
      <c r="CH12" s="187">
        <f>5496718185+175230543+4678014+44960616</f>
        <v>5721587358</v>
      </c>
      <c r="CI12" s="184">
        <f>+CG12/CH12</f>
        <v>0.51272046627029755</v>
      </c>
      <c r="CJ12" s="188" t="s">
        <v>767</v>
      </c>
      <c r="CK12" s="609">
        <f>+CO12+CO13</f>
        <v>6804891515</v>
      </c>
      <c r="CL12" s="605">
        <f>+CP12+CP13</f>
        <v>9859365899.3999996</v>
      </c>
      <c r="CM12" s="607">
        <f>+CK12/CL12</f>
        <v>0.69019565603241462</v>
      </c>
      <c r="CN12" s="602" t="s">
        <v>768</v>
      </c>
      <c r="CO12" s="186">
        <f>2933574938+50826200</f>
        <v>2984401138</v>
      </c>
      <c r="CP12" s="187">
        <f>5496718185+175230543+4678014+44960616+67455</f>
        <v>5721654813</v>
      </c>
      <c r="CQ12" s="184">
        <f>+CO12/CP12</f>
        <v>0.52159755097760041</v>
      </c>
      <c r="CR12" s="188" t="s">
        <v>769</v>
      </c>
      <c r="CS12" s="709">
        <f>CO12-CG12</f>
        <v>50826200</v>
      </c>
      <c r="CT12" s="708"/>
      <c r="CU12" s="708"/>
      <c r="CV12" s="708"/>
      <c r="CW12" s="708"/>
      <c r="CX12" s="708"/>
      <c r="CY12" s="708"/>
      <c r="CZ12" s="708"/>
      <c r="DA12" s="708"/>
      <c r="DB12" s="708"/>
      <c r="DC12" s="708"/>
      <c r="DD12" s="708"/>
      <c r="DE12" s="708"/>
      <c r="DF12" s="708"/>
      <c r="DG12" s="708"/>
      <c r="DH12" s="708"/>
      <c r="DI12" s="708"/>
      <c r="DJ12" s="708"/>
      <c r="DK12" s="708"/>
      <c r="DL12" s="708"/>
      <c r="DM12" s="708"/>
      <c r="DN12" s="708"/>
      <c r="DO12" s="708"/>
      <c r="DP12" s="708"/>
      <c r="DQ12" s="708"/>
      <c r="DR12" s="708"/>
      <c r="DS12" s="708"/>
      <c r="DT12" s="708"/>
      <c r="DU12" s="708"/>
      <c r="DV12" s="708"/>
      <c r="DW12" s="708"/>
      <c r="DX12" s="708"/>
      <c r="DY12" s="708"/>
      <c r="DZ12" s="708"/>
      <c r="EA12" s="708"/>
      <c r="EB12" s="708"/>
      <c r="EC12" s="708"/>
      <c r="ED12" s="708"/>
      <c r="EE12" s="708"/>
      <c r="EF12" s="708"/>
      <c r="EG12" s="708"/>
      <c r="EH12" s="708"/>
      <c r="EI12" s="708"/>
      <c r="EJ12" s="708"/>
      <c r="EK12" s="708"/>
      <c r="EL12" s="708"/>
      <c r="EM12" s="708"/>
      <c r="EN12" s="708"/>
      <c r="EO12" s="708"/>
      <c r="EP12" s="708"/>
      <c r="EQ12" s="708"/>
      <c r="ER12" s="708"/>
      <c r="ES12" s="708"/>
      <c r="ET12" s="708"/>
      <c r="EU12" s="708"/>
      <c r="EV12" s="708"/>
      <c r="EW12" s="708"/>
      <c r="EX12" s="708"/>
      <c r="EY12" s="708"/>
      <c r="EZ12" s="708"/>
      <c r="FA12" s="708"/>
      <c r="FB12" s="708"/>
      <c r="FC12" s="708"/>
      <c r="FD12" s="708"/>
      <c r="FE12" s="708"/>
      <c r="FF12" s="708"/>
      <c r="FG12" s="708"/>
      <c r="FH12" s="708"/>
      <c r="FI12" s="708"/>
      <c r="FJ12" s="708"/>
      <c r="FK12" s="708"/>
      <c r="FL12" s="708"/>
      <c r="FM12" s="708"/>
      <c r="FN12" s="708"/>
      <c r="FO12" s="708"/>
      <c r="FP12" s="708"/>
      <c r="FQ12" s="708"/>
      <c r="FR12" s="708"/>
      <c r="FS12" s="708"/>
      <c r="FT12" s="708"/>
      <c r="FU12" s="708"/>
      <c r="FV12" s="708"/>
      <c r="FW12" s="708"/>
      <c r="FX12" s="708"/>
      <c r="FY12" s="708"/>
      <c r="FZ12" s="708"/>
      <c r="GA12" s="708"/>
      <c r="GB12" s="708"/>
      <c r="GC12" s="708"/>
      <c r="GD12" s="708"/>
      <c r="GE12" s="708"/>
      <c r="GF12" s="708"/>
      <c r="GG12" s="708"/>
      <c r="GH12" s="708"/>
      <c r="GI12" s="708"/>
      <c r="GJ12" s="708"/>
      <c r="GK12" s="708"/>
      <c r="GL12" s="708"/>
      <c r="GM12" s="708"/>
      <c r="GN12" s="708"/>
      <c r="GO12" s="708"/>
      <c r="GP12" s="708"/>
      <c r="GQ12" s="708"/>
      <c r="GR12" s="708"/>
      <c r="GS12" s="708"/>
      <c r="GT12" s="708"/>
      <c r="GU12" s="708"/>
      <c r="GV12" s="708"/>
      <c r="GW12" s="708"/>
      <c r="GX12" s="708"/>
      <c r="GY12" s="708"/>
      <c r="GZ12" s="708"/>
      <c r="HA12" s="708"/>
      <c r="HB12" s="708"/>
      <c r="HC12" s="708"/>
      <c r="HD12" s="708"/>
      <c r="HE12" s="708"/>
      <c r="HF12" s="708"/>
      <c r="HG12" s="708"/>
      <c r="HH12" s="708"/>
      <c r="HI12" s="708"/>
      <c r="HJ12" s="708"/>
      <c r="HK12" s="708"/>
      <c r="HL12" s="708"/>
      <c r="HM12" s="708"/>
      <c r="HN12" s="708"/>
      <c r="HO12" s="708"/>
      <c r="HP12" s="708"/>
      <c r="HQ12" s="708"/>
      <c r="HR12" s="708"/>
      <c r="HS12" s="708"/>
      <c r="HT12" s="708"/>
      <c r="HU12" s="708"/>
      <c r="HV12" s="708"/>
      <c r="HW12" s="708"/>
      <c r="HX12" s="708"/>
      <c r="HY12" s="708"/>
      <c r="HZ12" s="708"/>
      <c r="IA12" s="708"/>
      <c r="IB12" s="708"/>
      <c r="IC12" s="708"/>
      <c r="ID12" s="708"/>
      <c r="IE12" s="708"/>
      <c r="IF12" s="708"/>
      <c r="IG12" s="708"/>
      <c r="IH12" s="708"/>
      <c r="II12" s="708"/>
      <c r="IJ12" s="708"/>
      <c r="IK12" s="708"/>
      <c r="IL12" s="708"/>
      <c r="IM12" s="708"/>
      <c r="IN12" s="708"/>
      <c r="IO12" s="708"/>
      <c r="IP12" s="708"/>
      <c r="IQ12" s="708"/>
      <c r="IR12" s="708"/>
      <c r="IS12" s="708"/>
      <c r="IT12" s="708"/>
      <c r="IU12" s="708"/>
      <c r="IV12" s="708"/>
      <c r="IW12" s="708"/>
      <c r="IX12" s="708"/>
      <c r="IY12" s="708"/>
      <c r="IZ12" s="708"/>
      <c r="JA12" s="708"/>
      <c r="JB12" s="708"/>
      <c r="JC12" s="708"/>
      <c r="JD12" s="708"/>
      <c r="JE12" s="708"/>
      <c r="JF12" s="708"/>
      <c r="JG12" s="708"/>
      <c r="JH12" s="708"/>
      <c r="JI12" s="708"/>
      <c r="JJ12" s="708"/>
      <c r="JK12" s="708"/>
      <c r="JL12" s="708"/>
      <c r="JM12" s="708"/>
      <c r="JN12" s="708"/>
      <c r="JO12" s="708"/>
      <c r="JP12" s="708"/>
      <c r="JQ12" s="708"/>
      <c r="JR12" s="708"/>
    </row>
    <row r="13" spans="1:278" s="160" customFormat="1" ht="123" customHeight="1" thickBot="1" x14ac:dyDescent="0.3">
      <c r="A13" s="632"/>
      <c r="B13" s="632"/>
      <c r="C13" s="632"/>
      <c r="D13" s="616"/>
      <c r="E13" s="617"/>
      <c r="F13" s="617"/>
      <c r="G13" s="616"/>
      <c r="H13" s="617"/>
      <c r="I13" s="617"/>
      <c r="J13" s="511"/>
      <c r="K13" s="617"/>
      <c r="L13" s="628"/>
      <c r="M13" s="548"/>
      <c r="N13" s="548"/>
      <c r="O13" s="548"/>
      <c r="P13" s="548"/>
      <c r="Q13" s="155" t="s">
        <v>770</v>
      </c>
      <c r="R13" s="155" t="s">
        <v>771</v>
      </c>
      <c r="S13" s="155" t="s">
        <v>93</v>
      </c>
      <c r="T13" s="155"/>
      <c r="U13" s="155">
        <v>60</v>
      </c>
      <c r="V13" s="611"/>
      <c r="W13" s="545"/>
      <c r="X13" s="532"/>
      <c r="Y13" s="610"/>
      <c r="Z13" s="606"/>
      <c r="AA13" s="608"/>
      <c r="AB13" s="603"/>
      <c r="AC13" s="189">
        <v>0</v>
      </c>
      <c r="AD13" s="189">
        <v>0</v>
      </c>
      <c r="AE13" s="189">
        <v>0</v>
      </c>
      <c r="AF13" s="190" t="s">
        <v>772</v>
      </c>
      <c r="AG13" s="610"/>
      <c r="AH13" s="606"/>
      <c r="AI13" s="608"/>
      <c r="AJ13" s="603"/>
      <c r="AK13" s="191">
        <v>154151450</v>
      </c>
      <c r="AL13" s="191">
        <v>2889897330</v>
      </c>
      <c r="AM13" s="192">
        <f>+AK13/AL13</f>
        <v>5.334149708356594E-2</v>
      </c>
      <c r="AN13" s="190" t="s">
        <v>773</v>
      </c>
      <c r="AO13" s="610"/>
      <c r="AP13" s="606"/>
      <c r="AQ13" s="608"/>
      <c r="AR13" s="603"/>
      <c r="AS13" s="191">
        <f>+AK13+444946786</f>
        <v>599098236</v>
      </c>
      <c r="AT13" s="191">
        <f>+AL13</f>
        <v>2889897330</v>
      </c>
      <c r="AU13" s="192">
        <f>+AS13/AT13</f>
        <v>0.20730779248825423</v>
      </c>
      <c r="AV13" s="190" t="s">
        <v>774</v>
      </c>
      <c r="AW13" s="610"/>
      <c r="AX13" s="606"/>
      <c r="AY13" s="608"/>
      <c r="AZ13" s="603"/>
      <c r="BA13" s="191">
        <f>+AS13+13956590</f>
        <v>613054826</v>
      </c>
      <c r="BB13" s="191">
        <f>+AT13</f>
        <v>2889897330</v>
      </c>
      <c r="BC13" s="192">
        <f>+BA13/BB13</f>
        <v>0.2121372339549516</v>
      </c>
      <c r="BD13" s="190" t="s">
        <v>775</v>
      </c>
      <c r="BE13" s="610"/>
      <c r="BF13" s="606"/>
      <c r="BG13" s="608"/>
      <c r="BH13" s="603"/>
      <c r="BI13" s="191">
        <f>+BA13+272886474</f>
        <v>885941300</v>
      </c>
      <c r="BJ13" s="191">
        <v>2189527143</v>
      </c>
      <c r="BK13" s="192">
        <f>+BI13/BJ13</f>
        <v>0.40462677196416014</v>
      </c>
      <c r="BL13" s="193" t="s">
        <v>776</v>
      </c>
      <c r="BM13" s="610"/>
      <c r="BN13" s="606"/>
      <c r="BO13" s="608"/>
      <c r="BP13" s="603"/>
      <c r="BQ13" s="191">
        <f>+BI13+781096477</f>
        <v>1667037777</v>
      </c>
      <c r="BR13" s="191">
        <v>1839066055</v>
      </c>
      <c r="BS13" s="192">
        <f>+BQ13/BR13</f>
        <v>0.90645889116799561</v>
      </c>
      <c r="BT13" s="194" t="s">
        <v>777</v>
      </c>
      <c r="BU13" s="610"/>
      <c r="BV13" s="606"/>
      <c r="BW13" s="608"/>
      <c r="BX13" s="603"/>
      <c r="BY13" s="191">
        <f>+BQ13+187055070</f>
        <v>1854092847</v>
      </c>
      <c r="BZ13" s="191">
        <v>4225465628.3999996</v>
      </c>
      <c r="CA13" s="192">
        <f>+BY13/BZ13</f>
        <v>0.43879018552141541</v>
      </c>
      <c r="CB13" s="194" t="s">
        <v>778</v>
      </c>
      <c r="CC13" s="610"/>
      <c r="CD13" s="606"/>
      <c r="CE13" s="608"/>
      <c r="CF13" s="603"/>
      <c r="CG13" s="191">
        <f>+BY13+644835890</f>
        <v>2498928737</v>
      </c>
      <c r="CH13" s="191">
        <f>+CF20</f>
        <v>4135544396.3999996</v>
      </c>
      <c r="CI13" s="192">
        <f>+CG13/CH13</f>
        <v>0.60425629553761362</v>
      </c>
      <c r="CJ13" s="194" t="s">
        <v>779</v>
      </c>
      <c r="CK13" s="610"/>
      <c r="CL13" s="606"/>
      <c r="CM13" s="608"/>
      <c r="CN13" s="603"/>
      <c r="CO13" s="191">
        <f>2498928737+1321561640</f>
        <v>3820490377</v>
      </c>
      <c r="CP13" s="191">
        <v>4137711086.4000001</v>
      </c>
      <c r="CQ13" s="192">
        <f>+CO13/CP13</f>
        <v>0.92333425346137521</v>
      </c>
      <c r="CR13" s="194" t="s">
        <v>780</v>
      </c>
      <c r="CS13" s="709">
        <f>CO13-CG13</f>
        <v>1321561640</v>
      </c>
      <c r="CT13" s="708"/>
      <c r="CU13" s="708"/>
      <c r="CV13" s="708"/>
      <c r="CW13" s="708"/>
      <c r="CX13" s="708"/>
      <c r="CY13" s="708"/>
      <c r="CZ13" s="708"/>
      <c r="DA13" s="708"/>
      <c r="DB13" s="708"/>
      <c r="DC13" s="708"/>
      <c r="DD13" s="708"/>
      <c r="DE13" s="708"/>
      <c r="DF13" s="708"/>
      <c r="DG13" s="708"/>
      <c r="DH13" s="708"/>
      <c r="DI13" s="708"/>
      <c r="DJ13" s="708"/>
      <c r="DK13" s="708"/>
      <c r="DL13" s="708"/>
      <c r="DM13" s="708"/>
      <c r="DN13" s="708"/>
      <c r="DO13" s="708"/>
      <c r="DP13" s="708"/>
      <c r="DQ13" s="708"/>
      <c r="DR13" s="708"/>
      <c r="DS13" s="708"/>
      <c r="DT13" s="708"/>
      <c r="DU13" s="708"/>
      <c r="DV13" s="708"/>
      <c r="DW13" s="708"/>
      <c r="DX13" s="708"/>
      <c r="DY13" s="708"/>
      <c r="DZ13" s="708"/>
      <c r="EA13" s="708"/>
      <c r="EB13" s="708"/>
      <c r="EC13" s="708"/>
      <c r="ED13" s="708"/>
      <c r="EE13" s="708"/>
      <c r="EF13" s="708"/>
      <c r="EG13" s="708"/>
      <c r="EH13" s="708"/>
      <c r="EI13" s="708"/>
      <c r="EJ13" s="708"/>
      <c r="EK13" s="708"/>
      <c r="EL13" s="708"/>
      <c r="EM13" s="708"/>
      <c r="EN13" s="708"/>
      <c r="EO13" s="708"/>
      <c r="EP13" s="708"/>
      <c r="EQ13" s="708"/>
      <c r="ER13" s="708"/>
      <c r="ES13" s="708"/>
      <c r="ET13" s="708"/>
      <c r="EU13" s="708"/>
      <c r="EV13" s="708"/>
      <c r="EW13" s="708"/>
      <c r="EX13" s="708"/>
      <c r="EY13" s="708"/>
      <c r="EZ13" s="708"/>
      <c r="FA13" s="708"/>
      <c r="FB13" s="708"/>
      <c r="FC13" s="708"/>
      <c r="FD13" s="708"/>
      <c r="FE13" s="708"/>
      <c r="FF13" s="708"/>
      <c r="FG13" s="708"/>
      <c r="FH13" s="708"/>
      <c r="FI13" s="708"/>
      <c r="FJ13" s="708"/>
      <c r="FK13" s="708"/>
      <c r="FL13" s="708"/>
      <c r="FM13" s="708"/>
      <c r="FN13" s="708"/>
      <c r="FO13" s="708"/>
      <c r="FP13" s="708"/>
      <c r="FQ13" s="708"/>
      <c r="FR13" s="708"/>
      <c r="FS13" s="708"/>
      <c r="FT13" s="708"/>
      <c r="FU13" s="708"/>
      <c r="FV13" s="708"/>
      <c r="FW13" s="708"/>
      <c r="FX13" s="708"/>
      <c r="FY13" s="708"/>
      <c r="FZ13" s="708"/>
      <c r="GA13" s="708"/>
      <c r="GB13" s="708"/>
      <c r="GC13" s="708"/>
      <c r="GD13" s="708"/>
      <c r="GE13" s="708"/>
      <c r="GF13" s="708"/>
      <c r="GG13" s="708"/>
      <c r="GH13" s="708"/>
      <c r="GI13" s="708"/>
      <c r="GJ13" s="708"/>
      <c r="GK13" s="708"/>
      <c r="GL13" s="708"/>
      <c r="GM13" s="708"/>
      <c r="GN13" s="708"/>
      <c r="GO13" s="708"/>
      <c r="GP13" s="708"/>
      <c r="GQ13" s="708"/>
      <c r="GR13" s="708"/>
      <c r="GS13" s="708"/>
      <c r="GT13" s="708"/>
      <c r="GU13" s="708"/>
      <c r="GV13" s="708"/>
      <c r="GW13" s="708"/>
      <c r="GX13" s="708"/>
      <c r="GY13" s="708"/>
      <c r="GZ13" s="708"/>
      <c r="HA13" s="708"/>
      <c r="HB13" s="708"/>
      <c r="HC13" s="708"/>
      <c r="HD13" s="708"/>
      <c r="HE13" s="708"/>
      <c r="HF13" s="708"/>
      <c r="HG13" s="708"/>
      <c r="HH13" s="708"/>
      <c r="HI13" s="708"/>
      <c r="HJ13" s="708"/>
      <c r="HK13" s="708"/>
      <c r="HL13" s="708"/>
      <c r="HM13" s="708"/>
      <c r="HN13" s="708"/>
      <c r="HO13" s="708"/>
      <c r="HP13" s="708"/>
      <c r="HQ13" s="708"/>
      <c r="HR13" s="708"/>
      <c r="HS13" s="708"/>
      <c r="HT13" s="708"/>
      <c r="HU13" s="708"/>
      <c r="HV13" s="708"/>
      <c r="HW13" s="708"/>
      <c r="HX13" s="708"/>
      <c r="HY13" s="708"/>
      <c r="HZ13" s="708"/>
      <c r="IA13" s="708"/>
      <c r="IB13" s="708"/>
      <c r="IC13" s="708"/>
      <c r="ID13" s="708"/>
      <c r="IE13" s="708"/>
      <c r="IF13" s="708"/>
      <c r="IG13" s="708"/>
      <c r="IH13" s="708"/>
      <c r="II13" s="708"/>
      <c r="IJ13" s="708"/>
      <c r="IK13" s="708"/>
      <c r="IL13" s="708"/>
      <c r="IM13" s="708"/>
      <c r="IN13" s="708"/>
      <c r="IO13" s="708"/>
      <c r="IP13" s="708"/>
      <c r="IQ13" s="708"/>
      <c r="IR13" s="708"/>
      <c r="IS13" s="708"/>
      <c r="IT13" s="708"/>
      <c r="IU13" s="708"/>
      <c r="IV13" s="708"/>
      <c r="IW13" s="708"/>
      <c r="IX13" s="708"/>
      <c r="IY13" s="708"/>
      <c r="IZ13" s="708"/>
      <c r="JA13" s="708"/>
      <c r="JB13" s="708"/>
      <c r="JC13" s="708"/>
      <c r="JD13" s="708"/>
      <c r="JE13" s="708"/>
      <c r="JF13" s="708"/>
      <c r="JG13" s="708"/>
      <c r="JH13" s="708"/>
      <c r="JI13" s="708"/>
      <c r="JJ13" s="708"/>
      <c r="JK13" s="708"/>
      <c r="JL13" s="708"/>
      <c r="JM13" s="708"/>
      <c r="JN13" s="708"/>
      <c r="JO13" s="708"/>
      <c r="JP13" s="708"/>
      <c r="JQ13" s="708"/>
      <c r="JR13" s="708"/>
    </row>
    <row r="14" spans="1:278" hidden="1" x14ac:dyDescent="0.25"/>
    <row r="15" spans="1:278" hidden="1" x14ac:dyDescent="0.25">
      <c r="V15" s="195"/>
      <c r="BR15">
        <v>584101811</v>
      </c>
      <c r="CH15" s="196">
        <f>+CH13-89921232</f>
        <v>4045623164.3999996</v>
      </c>
    </row>
    <row r="16" spans="1:278" hidden="1" x14ac:dyDescent="0.25">
      <c r="BL16">
        <v>3649211905</v>
      </c>
      <c r="BP16" s="197">
        <f>+BL16-BR15</f>
        <v>3065110094</v>
      </c>
      <c r="BR16" s="196">
        <f>+BR15*30%</f>
        <v>175230543.29999998</v>
      </c>
      <c r="BX16">
        <v>3065110094</v>
      </c>
      <c r="BY16">
        <v>15593380</v>
      </c>
      <c r="BZ16">
        <f>+BX16-BY16+CB16</f>
        <v>7042442714</v>
      </c>
      <c r="CB16">
        <v>3992926000</v>
      </c>
      <c r="CF16">
        <v>7042442714</v>
      </c>
      <c r="CG16">
        <v>149868720</v>
      </c>
    </row>
    <row r="17" spans="26:95" hidden="1" x14ac:dyDescent="0.25">
      <c r="BL17">
        <f>+BL16*60%</f>
        <v>2189527143</v>
      </c>
      <c r="BO17" s="604"/>
      <c r="BP17" s="195">
        <f>+BP16*60%</f>
        <v>1839066056.3999999</v>
      </c>
      <c r="BY17">
        <f>+BY16*30%</f>
        <v>4678014</v>
      </c>
      <c r="BZ17">
        <f>+BZ16*60%</f>
        <v>4225465628.3999996</v>
      </c>
      <c r="CB17">
        <f>+CB16*60%</f>
        <v>2395755600</v>
      </c>
      <c r="CF17">
        <v>4225465628.3999996</v>
      </c>
      <c r="CG17">
        <f>+CG16*30%</f>
        <v>44960616</v>
      </c>
    </row>
    <row r="18" spans="26:95" hidden="1" x14ac:dyDescent="0.25">
      <c r="BO18" s="604"/>
      <c r="BP18" s="195"/>
      <c r="CB18" s="196">
        <f>+BY13+CB17</f>
        <v>4249848447</v>
      </c>
    </row>
    <row r="19" spans="26:95" hidden="1" x14ac:dyDescent="0.25">
      <c r="BO19" s="604"/>
      <c r="BP19" s="195"/>
      <c r="CF19" s="198">
        <f>+CF16-CG16</f>
        <v>6892573994</v>
      </c>
    </row>
    <row r="20" spans="26:95" hidden="1" x14ac:dyDescent="0.25">
      <c r="BO20" s="604"/>
      <c r="BP20" s="195"/>
      <c r="CF20" s="199">
        <f>+CF19*60%</f>
        <v>4135544396.3999996</v>
      </c>
    </row>
    <row r="21" spans="26:95" hidden="1" x14ac:dyDescent="0.25"/>
    <row r="22" spans="26:95" hidden="1" x14ac:dyDescent="0.25"/>
    <row r="23" spans="26:95" hidden="1" x14ac:dyDescent="0.25"/>
    <row r="24" spans="26:95" x14ac:dyDescent="0.25">
      <c r="Z24" t="s">
        <v>781</v>
      </c>
      <c r="AA24" s="200">
        <f>AVERAGE(AA7:AA13)</f>
        <v>0.58547724555728831</v>
      </c>
      <c r="AD24" t="s">
        <v>782</v>
      </c>
      <c r="AE24" s="200">
        <f>AVERAGE(AE13,AE12,AE9,AE8,AE7)</f>
        <v>0.14877992114257255</v>
      </c>
      <c r="AH24" t="s">
        <v>781</v>
      </c>
      <c r="AI24" s="200">
        <f>AVERAGE(AI7:AI13)</f>
        <v>0.55269137599517204</v>
      </c>
      <c r="AL24" t="s">
        <v>782</v>
      </c>
      <c r="AM24" s="200">
        <f>AVERAGE(AM13,AM12,AM9,AM8,AM7)</f>
        <v>0.15349676587440114</v>
      </c>
      <c r="AP24" t="s">
        <v>781</v>
      </c>
      <c r="AQ24" s="200">
        <f>AVERAGE(AQ7:AQ13)</f>
        <v>0.59752833063258581</v>
      </c>
      <c r="AT24" t="s">
        <v>782</v>
      </c>
      <c r="AU24" s="200">
        <f>AVERAGE(AU13,AU12,AU9,AU8,AU7)</f>
        <v>0.20347075971793255</v>
      </c>
      <c r="AX24" t="s">
        <v>781</v>
      </c>
      <c r="AY24" s="200">
        <f>AVERAGE(AY7:AY13)</f>
        <v>0.61803935647023689</v>
      </c>
      <c r="BB24" t="s">
        <v>782</v>
      </c>
      <c r="BC24" s="200">
        <f>AVERAGE(BC13,BC12,BC9,BC8,BC7)</f>
        <v>0.20037941749396979</v>
      </c>
      <c r="BF24" t="s">
        <v>781</v>
      </c>
      <c r="BG24" s="200">
        <f>AVERAGE(BG7:BG13)</f>
        <v>0.67807034653640463</v>
      </c>
      <c r="BJ24" t="s">
        <v>782</v>
      </c>
      <c r="BK24" s="200">
        <f>AVERAGE(BK13,BK12,BK9,BK8,BK7)</f>
        <v>0.22726920961930541</v>
      </c>
      <c r="BN24" t="s">
        <v>781</v>
      </c>
      <c r="BO24" s="200">
        <f>AVERAGE(BO7:BO13)</f>
        <v>0.73840640845825212</v>
      </c>
      <c r="BR24" t="s">
        <v>782</v>
      </c>
      <c r="BS24" s="200">
        <f>AVERAGE(BS13,BS12,BS9,BS8,BS7)</f>
        <v>0.32630674767982304</v>
      </c>
      <c r="BV24" t="s">
        <v>781</v>
      </c>
      <c r="BW24" s="200">
        <f>AVERAGE(BW7:BW13)</f>
        <v>0.74631770242151396</v>
      </c>
      <c r="BZ24" t="s">
        <v>782</v>
      </c>
      <c r="CA24" s="200">
        <f>AVERAGE(CA13,CA12,CA9,CA8,CA7)</f>
        <v>0.26475477575185058</v>
      </c>
      <c r="CD24" t="s">
        <v>781</v>
      </c>
      <c r="CE24" s="200">
        <f>AVERAGE(CE7:CE13)</f>
        <v>0.78284235340165576</v>
      </c>
      <c r="CH24" t="s">
        <v>782</v>
      </c>
      <c r="CI24" s="200">
        <f>AVERAGE(CI13,CI12,CI9,CI8,CI7)</f>
        <v>0.28132076028699016</v>
      </c>
      <c r="CL24" t="s">
        <v>781</v>
      </c>
      <c r="CM24" s="200">
        <f>AVERAGE(CM7:CM13)</f>
        <v>0.84145218376287201</v>
      </c>
      <c r="CP24" t="s">
        <v>782</v>
      </c>
      <c r="CQ24" s="200">
        <f>AVERAGE(CQ13,CQ12,CQ9,CQ8,CQ7)</f>
        <v>0.35292575482718908</v>
      </c>
    </row>
  </sheetData>
  <sheetProtection algorithmName="SHA-512" hashValue="bcRP9opGVkg0CLy3L4E8sIu5NwmQmlZbGwuGMskepboUgeZ70rxcAMjhCZWAFzMWZOCTYlGjYQca+Y3GDbGnDw==" saltValue="248pRN5l8rQqj12jAkrlUw==" spinCount="100000" sheet="1" objects="1" scenarios="1" selectLockedCells="1"/>
  <mergeCells count="146">
    <mergeCell ref="C1:CP3"/>
    <mergeCell ref="A4:K4"/>
    <mergeCell ref="L4:P5"/>
    <mergeCell ref="Q4:U5"/>
    <mergeCell ref="V4:W5"/>
    <mergeCell ref="X4:X5"/>
    <mergeCell ref="BU4:CB4"/>
    <mergeCell ref="CC4:CJ4"/>
    <mergeCell ref="CK4:CR4"/>
    <mergeCell ref="A5:C5"/>
    <mergeCell ref="E5:F5"/>
    <mergeCell ref="G5:I5"/>
    <mergeCell ref="J5:J6"/>
    <mergeCell ref="K5:K6"/>
    <mergeCell ref="Y5:AB5"/>
    <mergeCell ref="AC5:AF5"/>
    <mergeCell ref="Y4:AF4"/>
    <mergeCell ref="AG4:AN4"/>
    <mergeCell ref="AO4:AV4"/>
    <mergeCell ref="AW4:BD4"/>
    <mergeCell ref="BE4:BL4"/>
    <mergeCell ref="BM4:BT4"/>
    <mergeCell ref="CG5:CJ5"/>
    <mergeCell ref="CK5:CN5"/>
    <mergeCell ref="CO5:CR5"/>
    <mergeCell ref="A7:A13"/>
    <mergeCell ref="B7:B13"/>
    <mergeCell ref="C7:C13"/>
    <mergeCell ref="D7:D9"/>
    <mergeCell ref="E7:E9"/>
    <mergeCell ref="F7:F9"/>
    <mergeCell ref="BE5:BH5"/>
    <mergeCell ref="BI5:BL5"/>
    <mergeCell ref="BM5:BP5"/>
    <mergeCell ref="BQ5:BT5"/>
    <mergeCell ref="BU5:BX5"/>
    <mergeCell ref="BY5:CB5"/>
    <mergeCell ref="AG5:AJ5"/>
    <mergeCell ref="AK5:AN5"/>
    <mergeCell ref="AO5:AR5"/>
    <mergeCell ref="AS5:AV5"/>
    <mergeCell ref="AW5:AZ5"/>
    <mergeCell ref="BA5:BD5"/>
    <mergeCell ref="G7:G9"/>
    <mergeCell ref="H7:H9"/>
    <mergeCell ref="I7:I9"/>
    <mergeCell ref="J7:J13"/>
    <mergeCell ref="K7:K9"/>
    <mergeCell ref="L7:L9"/>
    <mergeCell ref="I12:I13"/>
    <mergeCell ref="L12:L13"/>
    <mergeCell ref="CC5:CF5"/>
    <mergeCell ref="M7:M9"/>
    <mergeCell ref="N7:N9"/>
    <mergeCell ref="O7:O9"/>
    <mergeCell ref="P7:P9"/>
    <mergeCell ref="V7:V9"/>
    <mergeCell ref="W7:W13"/>
    <mergeCell ref="M12:M13"/>
    <mergeCell ref="N12:N13"/>
    <mergeCell ref="O12:O13"/>
    <mergeCell ref="P12:P13"/>
    <mergeCell ref="AH7:AH9"/>
    <mergeCell ref="AI7:AI9"/>
    <mergeCell ref="AJ7:AJ9"/>
    <mergeCell ref="AO7:AO9"/>
    <mergeCell ref="AP7:AP9"/>
    <mergeCell ref="AQ7:AQ9"/>
    <mergeCell ref="X7:X13"/>
    <mergeCell ref="Y7:Y9"/>
    <mergeCell ref="Z7:Z9"/>
    <mergeCell ref="AA7:AA9"/>
    <mergeCell ref="AB7:AB9"/>
    <mergeCell ref="AG7:AG9"/>
    <mergeCell ref="BH7:BH9"/>
    <mergeCell ref="BM7:BM9"/>
    <mergeCell ref="BN7:BN9"/>
    <mergeCell ref="BO7:BO9"/>
    <mergeCell ref="AR7:AR9"/>
    <mergeCell ref="AW7:AW9"/>
    <mergeCell ref="AX7:AX9"/>
    <mergeCell ref="AY7:AY9"/>
    <mergeCell ref="AZ7:AZ9"/>
    <mergeCell ref="BE7:BE9"/>
    <mergeCell ref="CN7:CN9"/>
    <mergeCell ref="D10:D13"/>
    <mergeCell ref="E10:E11"/>
    <mergeCell ref="F10:F11"/>
    <mergeCell ref="G10:G13"/>
    <mergeCell ref="H10:H11"/>
    <mergeCell ref="K10:K13"/>
    <mergeCell ref="E12:E13"/>
    <mergeCell ref="F12:F13"/>
    <mergeCell ref="H12:H13"/>
    <mergeCell ref="CD7:CD9"/>
    <mergeCell ref="CE7:CE9"/>
    <mergeCell ref="CF7:CF9"/>
    <mergeCell ref="CK7:CK9"/>
    <mergeCell ref="CL7:CL9"/>
    <mergeCell ref="CM7:CM9"/>
    <mergeCell ref="BP7:BP9"/>
    <mergeCell ref="BU7:BU9"/>
    <mergeCell ref="BV7:BV9"/>
    <mergeCell ref="BW7:BW9"/>
    <mergeCell ref="BX7:BX9"/>
    <mergeCell ref="CC7:CC9"/>
    <mergeCell ref="BF7:BF9"/>
    <mergeCell ref="BG7:BG9"/>
    <mergeCell ref="AH12:AH13"/>
    <mergeCell ref="AI12:AI13"/>
    <mergeCell ref="AJ12:AJ13"/>
    <mergeCell ref="AO12:AO13"/>
    <mergeCell ref="AP12:AP13"/>
    <mergeCell ref="AQ12:AQ13"/>
    <mergeCell ref="V12:V13"/>
    <mergeCell ref="Y12:Y13"/>
    <mergeCell ref="Z12:Z13"/>
    <mergeCell ref="AA12:AA13"/>
    <mergeCell ref="AB12:AB13"/>
    <mergeCell ref="AG12:AG13"/>
    <mergeCell ref="BF12:BF13"/>
    <mergeCell ref="BG12:BG13"/>
    <mergeCell ref="BH12:BH13"/>
    <mergeCell ref="BM12:BM13"/>
    <mergeCell ref="BN12:BN13"/>
    <mergeCell ref="BO12:BO13"/>
    <mergeCell ref="AR12:AR13"/>
    <mergeCell ref="AW12:AW13"/>
    <mergeCell ref="AX12:AX13"/>
    <mergeCell ref="AY12:AY13"/>
    <mergeCell ref="AZ12:AZ13"/>
    <mergeCell ref="BE12:BE13"/>
    <mergeCell ref="CN12:CN13"/>
    <mergeCell ref="BO17:BO20"/>
    <mergeCell ref="CD12:CD13"/>
    <mergeCell ref="CE12:CE13"/>
    <mergeCell ref="CF12:CF13"/>
    <mergeCell ref="CK12:CK13"/>
    <mergeCell ref="CL12:CL13"/>
    <mergeCell ref="CM12:CM13"/>
    <mergeCell ref="BP12:BP13"/>
    <mergeCell ref="BU12:BU13"/>
    <mergeCell ref="BV12:BV13"/>
    <mergeCell ref="BW12:BW13"/>
    <mergeCell ref="BX12:BX13"/>
    <mergeCell ref="CC12:CC13"/>
  </mergeCells>
  <pageMargins left="0.7" right="0.7" top="0.75" bottom="0.75" header="0.3" footer="0.3"/>
  <pageSetup paperSize="9" orientation="portrait" horizontalDpi="300" verticalDpi="30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tint="-0.249977111117893"/>
  </sheetPr>
  <dimension ref="A1:CZ19"/>
  <sheetViews>
    <sheetView topLeftCell="CM1" zoomScale="70" zoomScaleNormal="70" workbookViewId="0">
      <selection activeCell="DB1" sqref="DB1"/>
    </sheetView>
  </sheetViews>
  <sheetFormatPr baseColWidth="10" defaultColWidth="11.42578125" defaultRowHeight="15" x14ac:dyDescent="0.25"/>
  <cols>
    <col min="1" max="1" width="23.140625" customWidth="1"/>
    <col min="2" max="2" width="23" customWidth="1"/>
    <col min="3" max="3" width="17.42578125" customWidth="1"/>
    <col min="4" max="4" width="22.5703125" customWidth="1"/>
    <col min="5" max="6" width="22" customWidth="1"/>
    <col min="7" max="7" width="14.7109375" customWidth="1"/>
    <col min="8" max="8" width="15.28515625" customWidth="1"/>
    <col min="9" max="9" width="14.140625" customWidth="1"/>
    <col min="10" max="10" width="14.42578125" customWidth="1"/>
    <col min="11" max="11" width="17.42578125" customWidth="1"/>
    <col min="12" max="12" width="23.5703125" customWidth="1"/>
    <col min="13" max="13" width="22.28515625" customWidth="1"/>
    <col min="17" max="17" width="24.42578125" customWidth="1"/>
    <col min="18" max="18" width="22.5703125" customWidth="1"/>
    <col min="19" max="19" width="13.5703125" customWidth="1"/>
    <col min="22" max="23" width="13.5703125" bestFit="1" customWidth="1"/>
    <col min="24" max="24" width="69.42578125" customWidth="1"/>
    <col min="25" max="25" width="17.140625" customWidth="1"/>
    <col min="26" max="26" width="11.42578125" customWidth="1"/>
    <col min="27" max="27" width="15.42578125" customWidth="1"/>
    <col min="28" max="28" width="32.7109375" customWidth="1"/>
    <col min="29" max="29" width="17.140625" customWidth="1"/>
    <col min="30" max="30" width="11.42578125" customWidth="1"/>
    <col min="31" max="31" width="17.7109375" customWidth="1"/>
    <col min="32" max="32" width="44.5703125" customWidth="1"/>
    <col min="33" max="33" width="16.42578125" customWidth="1"/>
    <col min="34" max="35" width="11.42578125" customWidth="1"/>
    <col min="36" max="36" width="34.140625" customWidth="1"/>
    <col min="37" max="39" width="11.42578125" customWidth="1"/>
    <col min="40" max="40" width="32.28515625" customWidth="1"/>
    <col min="41" max="43" width="11.42578125" customWidth="1"/>
    <col min="44" max="44" width="33.85546875" customWidth="1"/>
    <col min="45" max="47" width="11.42578125" customWidth="1"/>
    <col min="48" max="48" width="32.28515625" customWidth="1"/>
    <col min="49" max="50" width="11.42578125" customWidth="1"/>
    <col min="51" max="51" width="15.140625" customWidth="1"/>
    <col min="52" max="52" width="29" customWidth="1"/>
    <col min="53" max="54" width="11.42578125" customWidth="1"/>
    <col min="55" max="55" width="14.7109375" customWidth="1"/>
    <col min="56" max="56" width="27.5703125" customWidth="1"/>
    <col min="60" max="60" width="27.5703125" customWidth="1"/>
    <col min="64" max="64" width="31.7109375" customWidth="1"/>
    <col min="68" max="68" width="23.28515625" customWidth="1"/>
    <col min="72" max="72" width="26.7109375" customWidth="1"/>
    <col min="76" max="76" width="25.140625" customWidth="1"/>
    <col min="80" max="80" width="26.7109375" customWidth="1"/>
    <col min="83" max="83" width="17" customWidth="1"/>
    <col min="84" max="84" width="26.140625" customWidth="1"/>
    <col min="87" max="87" width="17.7109375" customWidth="1"/>
    <col min="88" max="88" width="30.5703125" customWidth="1"/>
    <col min="91" max="91" width="12" customWidth="1"/>
    <col min="92" max="92" width="19.140625" customWidth="1"/>
    <col min="96" max="96" width="33.28515625" customWidth="1"/>
    <col min="99" max="99" width="15.7109375" customWidth="1"/>
    <col min="100" max="100" width="31.140625" customWidth="1"/>
    <col min="104" max="104" width="35.85546875" customWidth="1"/>
  </cols>
  <sheetData>
    <row r="1" spans="1:104" s="40" customFormat="1" ht="15.75" customHeight="1" x14ac:dyDescent="0.25">
      <c r="C1" s="556" t="s">
        <v>0</v>
      </c>
      <c r="D1" s="556"/>
      <c r="E1" s="556"/>
      <c r="F1" s="556"/>
      <c r="G1" s="556"/>
      <c r="H1" s="556"/>
      <c r="I1" s="556"/>
      <c r="J1" s="556"/>
      <c r="K1" s="556"/>
      <c r="L1" s="556"/>
      <c r="M1" s="556"/>
      <c r="N1" s="556"/>
      <c r="O1" s="556"/>
      <c r="P1" s="556"/>
      <c r="Q1" s="556"/>
      <c r="R1" s="556"/>
      <c r="S1" s="556"/>
      <c r="T1" s="556"/>
      <c r="U1" s="556"/>
      <c r="V1" s="556"/>
      <c r="W1" s="556"/>
      <c r="X1" s="556"/>
      <c r="Y1" s="556"/>
      <c r="Z1" s="556"/>
      <c r="AA1" s="556"/>
      <c r="AB1" s="556"/>
      <c r="AC1" s="556"/>
      <c r="AD1" s="556"/>
      <c r="AE1" s="556"/>
      <c r="AF1" s="556"/>
      <c r="AG1" s="556"/>
      <c r="AH1" s="556"/>
      <c r="AI1" s="556"/>
      <c r="AJ1" s="556"/>
      <c r="AK1" s="556"/>
      <c r="AL1" s="556"/>
      <c r="AM1" s="556"/>
      <c r="AN1" s="556"/>
      <c r="AO1" s="556"/>
      <c r="AP1" s="556"/>
      <c r="AQ1" s="556"/>
      <c r="AR1" s="556"/>
      <c r="AS1" s="556"/>
      <c r="AT1" s="556"/>
      <c r="AU1" s="556"/>
      <c r="AV1" s="556"/>
      <c r="AW1" s="556"/>
      <c r="AX1" s="556"/>
      <c r="AY1" s="556"/>
      <c r="AZ1" s="556"/>
      <c r="BA1" s="556"/>
      <c r="BB1" s="556"/>
      <c r="BC1" s="556"/>
      <c r="BD1" s="556"/>
      <c r="BE1" s="556"/>
      <c r="BF1" s="556"/>
      <c r="BG1" s="556"/>
      <c r="BH1" s="556"/>
      <c r="BI1" s="556"/>
      <c r="BJ1" s="556"/>
      <c r="BK1" s="556"/>
      <c r="BL1" s="556"/>
      <c r="BM1" s="556"/>
      <c r="BN1" s="556"/>
      <c r="BO1" s="556"/>
      <c r="BP1" s="556"/>
      <c r="BQ1" s="556"/>
      <c r="BR1" s="556"/>
      <c r="BS1" s="556"/>
      <c r="BT1" s="556"/>
      <c r="BU1" s="556"/>
      <c r="BV1" s="556"/>
      <c r="BW1" s="556"/>
      <c r="BX1" s="556"/>
      <c r="BY1" s="556"/>
      <c r="BZ1" s="556"/>
      <c r="CA1" s="556"/>
      <c r="CB1" s="556"/>
      <c r="CC1" s="556"/>
      <c r="CD1" s="556"/>
      <c r="CE1" s="556"/>
      <c r="CF1" s="556"/>
      <c r="CG1" s="556"/>
      <c r="CH1" s="556"/>
      <c r="CI1" s="556"/>
      <c r="CJ1" s="556"/>
      <c r="CK1" s="556"/>
      <c r="CL1" s="556"/>
      <c r="CM1" s="556"/>
      <c r="CN1" s="556"/>
      <c r="CO1" s="556"/>
      <c r="CP1" s="556"/>
      <c r="CQ1" s="556"/>
      <c r="CR1" s="556"/>
      <c r="CS1" s="556"/>
      <c r="CT1" s="556"/>
      <c r="CU1" s="556"/>
      <c r="CV1" s="556"/>
      <c r="CW1" s="556"/>
      <c r="CX1" s="662"/>
      <c r="CY1" s="144" t="s">
        <v>1</v>
      </c>
      <c r="CZ1" s="145">
        <v>43458</v>
      </c>
    </row>
    <row r="2" spans="1:104" s="40" customFormat="1" ht="30" customHeight="1" x14ac:dyDescent="0.25">
      <c r="C2" s="556"/>
      <c r="D2" s="556"/>
      <c r="E2" s="556"/>
      <c r="F2" s="556"/>
      <c r="G2" s="556"/>
      <c r="H2" s="556"/>
      <c r="I2" s="556"/>
      <c r="J2" s="556"/>
      <c r="K2" s="556"/>
      <c r="L2" s="556"/>
      <c r="M2" s="556"/>
      <c r="N2" s="556"/>
      <c r="O2" s="556"/>
      <c r="P2" s="556"/>
      <c r="Q2" s="556"/>
      <c r="R2" s="556"/>
      <c r="S2" s="556"/>
      <c r="T2" s="556"/>
      <c r="U2" s="556"/>
      <c r="V2" s="556"/>
      <c r="W2" s="556"/>
      <c r="X2" s="556"/>
      <c r="Y2" s="556"/>
      <c r="Z2" s="556"/>
      <c r="AA2" s="556"/>
      <c r="AB2" s="556"/>
      <c r="AC2" s="556"/>
      <c r="AD2" s="556"/>
      <c r="AE2" s="556"/>
      <c r="AF2" s="556"/>
      <c r="AG2" s="556"/>
      <c r="AH2" s="556"/>
      <c r="AI2" s="556"/>
      <c r="AJ2" s="556"/>
      <c r="AK2" s="556"/>
      <c r="AL2" s="556"/>
      <c r="AM2" s="556"/>
      <c r="AN2" s="556"/>
      <c r="AO2" s="556"/>
      <c r="AP2" s="556"/>
      <c r="AQ2" s="556"/>
      <c r="AR2" s="556"/>
      <c r="AS2" s="556"/>
      <c r="AT2" s="556"/>
      <c r="AU2" s="556"/>
      <c r="AV2" s="556"/>
      <c r="AW2" s="556"/>
      <c r="AX2" s="556"/>
      <c r="AY2" s="556"/>
      <c r="AZ2" s="556"/>
      <c r="BA2" s="556"/>
      <c r="BB2" s="556"/>
      <c r="BC2" s="556"/>
      <c r="BD2" s="556"/>
      <c r="BE2" s="556"/>
      <c r="BF2" s="556"/>
      <c r="BG2" s="556"/>
      <c r="BH2" s="556"/>
      <c r="BI2" s="556"/>
      <c r="BJ2" s="556"/>
      <c r="BK2" s="556"/>
      <c r="BL2" s="556"/>
      <c r="BM2" s="556"/>
      <c r="BN2" s="556"/>
      <c r="BO2" s="556"/>
      <c r="BP2" s="556"/>
      <c r="BQ2" s="556"/>
      <c r="BR2" s="556"/>
      <c r="BS2" s="556"/>
      <c r="BT2" s="556"/>
      <c r="BU2" s="556"/>
      <c r="BV2" s="556"/>
      <c r="BW2" s="556"/>
      <c r="BX2" s="556"/>
      <c r="BY2" s="556"/>
      <c r="BZ2" s="556"/>
      <c r="CA2" s="556"/>
      <c r="CB2" s="556"/>
      <c r="CC2" s="556"/>
      <c r="CD2" s="556"/>
      <c r="CE2" s="556"/>
      <c r="CF2" s="556"/>
      <c r="CG2" s="556"/>
      <c r="CH2" s="556"/>
      <c r="CI2" s="556"/>
      <c r="CJ2" s="556"/>
      <c r="CK2" s="556"/>
      <c r="CL2" s="556"/>
      <c r="CM2" s="556"/>
      <c r="CN2" s="556"/>
      <c r="CO2" s="556"/>
      <c r="CP2" s="556"/>
      <c r="CQ2" s="556"/>
      <c r="CR2" s="556"/>
      <c r="CS2" s="556"/>
      <c r="CT2" s="556"/>
      <c r="CU2" s="556"/>
      <c r="CV2" s="556"/>
      <c r="CW2" s="556"/>
      <c r="CX2" s="662"/>
      <c r="CY2" s="144" t="s">
        <v>2</v>
      </c>
      <c r="CZ2" s="144">
        <v>5</v>
      </c>
    </row>
    <row r="3" spans="1:104" s="40" customFormat="1" ht="29.25" customHeight="1" x14ac:dyDescent="0.25">
      <c r="C3" s="556"/>
      <c r="D3" s="556"/>
      <c r="E3" s="556"/>
      <c r="F3" s="556"/>
      <c r="G3" s="556"/>
      <c r="H3" s="556"/>
      <c r="I3" s="556"/>
      <c r="J3" s="556"/>
      <c r="K3" s="556"/>
      <c r="L3" s="556"/>
      <c r="M3" s="556"/>
      <c r="N3" s="556"/>
      <c r="O3" s="556"/>
      <c r="P3" s="556"/>
      <c r="Q3" s="556"/>
      <c r="R3" s="556"/>
      <c r="S3" s="556"/>
      <c r="T3" s="556"/>
      <c r="U3" s="556"/>
      <c r="V3" s="556"/>
      <c r="W3" s="556"/>
      <c r="X3" s="556"/>
      <c r="Y3" s="556"/>
      <c r="Z3" s="556"/>
      <c r="AA3" s="556"/>
      <c r="AB3" s="556"/>
      <c r="AC3" s="556"/>
      <c r="AD3" s="556"/>
      <c r="AE3" s="556"/>
      <c r="AF3" s="556"/>
      <c r="AG3" s="556"/>
      <c r="AH3" s="556"/>
      <c r="AI3" s="556"/>
      <c r="AJ3" s="556"/>
      <c r="AK3" s="556"/>
      <c r="AL3" s="556"/>
      <c r="AM3" s="556"/>
      <c r="AN3" s="556"/>
      <c r="AO3" s="556"/>
      <c r="AP3" s="556"/>
      <c r="AQ3" s="556"/>
      <c r="AR3" s="556"/>
      <c r="AS3" s="556"/>
      <c r="AT3" s="556"/>
      <c r="AU3" s="556"/>
      <c r="AV3" s="556"/>
      <c r="AW3" s="556"/>
      <c r="AX3" s="556"/>
      <c r="AY3" s="556"/>
      <c r="AZ3" s="556"/>
      <c r="BA3" s="556"/>
      <c r="BB3" s="556"/>
      <c r="BC3" s="556"/>
      <c r="BD3" s="556"/>
      <c r="BE3" s="556"/>
      <c r="BF3" s="556"/>
      <c r="BG3" s="556"/>
      <c r="BH3" s="556"/>
      <c r="BI3" s="556"/>
      <c r="BJ3" s="556"/>
      <c r="BK3" s="556"/>
      <c r="BL3" s="556"/>
      <c r="BM3" s="556"/>
      <c r="BN3" s="556"/>
      <c r="BO3" s="556"/>
      <c r="BP3" s="556"/>
      <c r="BQ3" s="556"/>
      <c r="BR3" s="556"/>
      <c r="BS3" s="556"/>
      <c r="BT3" s="556"/>
      <c r="BU3" s="556"/>
      <c r="BV3" s="556"/>
      <c r="BW3" s="556"/>
      <c r="BX3" s="556"/>
      <c r="BY3" s="556"/>
      <c r="BZ3" s="556"/>
      <c r="CA3" s="556"/>
      <c r="CB3" s="556"/>
      <c r="CC3" s="556"/>
      <c r="CD3" s="556"/>
      <c r="CE3" s="556"/>
      <c r="CF3" s="556"/>
      <c r="CG3" s="556"/>
      <c r="CH3" s="556"/>
      <c r="CI3" s="556"/>
      <c r="CJ3" s="556"/>
      <c r="CK3" s="556"/>
      <c r="CL3" s="556"/>
      <c r="CM3" s="556"/>
      <c r="CN3" s="556"/>
      <c r="CO3" s="556"/>
      <c r="CP3" s="556"/>
      <c r="CQ3" s="556"/>
      <c r="CR3" s="556"/>
      <c r="CS3" s="556"/>
      <c r="CT3" s="556"/>
      <c r="CU3" s="556"/>
      <c r="CV3" s="556"/>
      <c r="CW3" s="556"/>
      <c r="CX3" s="662"/>
      <c r="CY3" s="144" t="s">
        <v>3</v>
      </c>
      <c r="CZ3" s="144" t="s">
        <v>4</v>
      </c>
    </row>
    <row r="4" spans="1:104" x14ac:dyDescent="0.25">
      <c r="A4" s="557" t="s">
        <v>5</v>
      </c>
      <c r="B4" s="558"/>
      <c r="C4" s="558"/>
      <c r="D4" s="558"/>
      <c r="E4" s="558"/>
      <c r="F4" s="558"/>
      <c r="G4" s="558"/>
      <c r="H4" s="558"/>
      <c r="I4" s="558"/>
      <c r="J4" s="558"/>
      <c r="K4" s="559"/>
      <c r="L4" s="560" t="s">
        <v>6</v>
      </c>
      <c r="M4" s="561"/>
      <c r="N4" s="561"/>
      <c r="O4" s="561"/>
      <c r="P4" s="562"/>
      <c r="Q4" s="560" t="s">
        <v>7</v>
      </c>
      <c r="R4" s="561"/>
      <c r="S4" s="561"/>
      <c r="T4" s="561"/>
      <c r="U4" s="562"/>
      <c r="V4" s="633" t="s">
        <v>8</v>
      </c>
      <c r="W4" s="634"/>
      <c r="X4" s="567" t="s">
        <v>9</v>
      </c>
      <c r="Y4" s="549" t="s">
        <v>923</v>
      </c>
      <c r="Z4" s="550"/>
      <c r="AA4" s="550"/>
      <c r="AB4" s="550"/>
      <c r="AC4" s="550"/>
      <c r="AD4" s="550"/>
      <c r="AE4" s="550"/>
      <c r="AF4" s="551"/>
      <c r="AG4" s="549" t="s">
        <v>923</v>
      </c>
      <c r="AH4" s="550"/>
      <c r="AI4" s="550"/>
      <c r="AJ4" s="550"/>
      <c r="AK4" s="550"/>
      <c r="AL4" s="550"/>
      <c r="AM4" s="550"/>
      <c r="AN4" s="550"/>
      <c r="AO4" s="657" t="s">
        <v>923</v>
      </c>
      <c r="AP4" s="657"/>
      <c r="AQ4" s="657"/>
      <c r="AR4" s="657"/>
      <c r="AS4" s="657"/>
      <c r="AT4" s="657"/>
      <c r="AU4" s="657"/>
      <c r="AV4" s="657"/>
      <c r="AW4" s="657" t="s">
        <v>923</v>
      </c>
      <c r="AX4" s="657"/>
      <c r="AY4" s="657"/>
      <c r="AZ4" s="657"/>
      <c r="BA4" s="657"/>
      <c r="BB4" s="657"/>
      <c r="BC4" s="657"/>
      <c r="BD4" s="657"/>
      <c r="BE4" s="657" t="s">
        <v>923</v>
      </c>
      <c r="BF4" s="657"/>
      <c r="BG4" s="657"/>
      <c r="BH4" s="657"/>
      <c r="BI4" s="657"/>
      <c r="BJ4" s="657"/>
      <c r="BK4" s="657"/>
      <c r="BL4" s="657"/>
      <c r="BM4" s="657" t="s">
        <v>923</v>
      </c>
      <c r="BN4" s="657"/>
      <c r="BO4" s="657"/>
      <c r="BP4" s="657"/>
      <c r="BQ4" s="657"/>
      <c r="BR4" s="657"/>
      <c r="BS4" s="657"/>
      <c r="BT4" s="657"/>
      <c r="BU4" s="657" t="s">
        <v>923</v>
      </c>
      <c r="BV4" s="657"/>
      <c r="BW4" s="657"/>
      <c r="BX4" s="657"/>
      <c r="BY4" s="657"/>
      <c r="BZ4" s="657"/>
      <c r="CA4" s="657"/>
      <c r="CB4" s="657"/>
      <c r="CC4" s="657" t="s">
        <v>923</v>
      </c>
      <c r="CD4" s="657"/>
      <c r="CE4" s="657"/>
      <c r="CF4" s="657"/>
      <c r="CG4" s="657"/>
      <c r="CH4" s="657"/>
      <c r="CI4" s="657"/>
      <c r="CJ4" s="657"/>
      <c r="CK4" s="657" t="s">
        <v>923</v>
      </c>
      <c r="CL4" s="657"/>
      <c r="CM4" s="657"/>
      <c r="CN4" s="657"/>
      <c r="CO4" s="657"/>
      <c r="CP4" s="657"/>
      <c r="CQ4" s="657"/>
      <c r="CR4" s="657"/>
      <c r="CS4" s="657" t="s">
        <v>923</v>
      </c>
      <c r="CT4" s="657"/>
      <c r="CU4" s="657"/>
      <c r="CV4" s="657"/>
      <c r="CW4" s="657"/>
      <c r="CX4" s="657"/>
      <c r="CY4" s="657"/>
      <c r="CZ4" s="657"/>
    </row>
    <row r="5" spans="1:104" ht="30" x14ac:dyDescent="0.25">
      <c r="A5" s="538" t="s">
        <v>17</v>
      </c>
      <c r="B5" s="539"/>
      <c r="C5" s="542"/>
      <c r="D5" s="148" t="s">
        <v>18</v>
      </c>
      <c r="E5" s="538" t="s">
        <v>19</v>
      </c>
      <c r="F5" s="542"/>
      <c r="G5" s="538" t="s">
        <v>20</v>
      </c>
      <c r="H5" s="539"/>
      <c r="I5" s="542"/>
      <c r="J5" s="506" t="s">
        <v>21</v>
      </c>
      <c r="K5" s="506" t="s">
        <v>22</v>
      </c>
      <c r="L5" s="549"/>
      <c r="M5" s="550"/>
      <c r="N5" s="550"/>
      <c r="O5" s="550"/>
      <c r="P5" s="551"/>
      <c r="Q5" s="549"/>
      <c r="R5" s="550"/>
      <c r="S5" s="550"/>
      <c r="T5" s="550"/>
      <c r="U5" s="551"/>
      <c r="V5" s="635"/>
      <c r="W5" s="636"/>
      <c r="X5" s="568"/>
      <c r="Y5" s="538" t="s">
        <v>924</v>
      </c>
      <c r="Z5" s="539"/>
      <c r="AA5" s="539"/>
      <c r="AB5" s="540"/>
      <c r="AC5" s="541" t="s">
        <v>925</v>
      </c>
      <c r="AD5" s="539"/>
      <c r="AE5" s="539"/>
      <c r="AF5" s="542"/>
      <c r="AG5" s="538" t="s">
        <v>926</v>
      </c>
      <c r="AH5" s="539"/>
      <c r="AI5" s="539"/>
      <c r="AJ5" s="540"/>
      <c r="AK5" s="541" t="s">
        <v>927</v>
      </c>
      <c r="AL5" s="539"/>
      <c r="AM5" s="539"/>
      <c r="AN5" s="539"/>
      <c r="AO5" s="657" t="s">
        <v>928</v>
      </c>
      <c r="AP5" s="657"/>
      <c r="AQ5" s="657"/>
      <c r="AR5" s="657"/>
      <c r="AS5" s="657" t="s">
        <v>929</v>
      </c>
      <c r="AT5" s="657"/>
      <c r="AU5" s="657"/>
      <c r="AV5" s="657"/>
      <c r="AW5" s="657" t="s">
        <v>930</v>
      </c>
      <c r="AX5" s="657"/>
      <c r="AY5" s="657"/>
      <c r="AZ5" s="657"/>
      <c r="BA5" s="657" t="s">
        <v>931</v>
      </c>
      <c r="BB5" s="657"/>
      <c r="BC5" s="657"/>
      <c r="BD5" s="657"/>
      <c r="BE5" s="657" t="s">
        <v>932</v>
      </c>
      <c r="BF5" s="657"/>
      <c r="BG5" s="657"/>
      <c r="BH5" s="657"/>
      <c r="BI5" s="657" t="s">
        <v>933</v>
      </c>
      <c r="BJ5" s="657"/>
      <c r="BK5" s="657"/>
      <c r="BL5" s="657"/>
      <c r="BM5" s="657" t="s">
        <v>934</v>
      </c>
      <c r="BN5" s="657"/>
      <c r="BO5" s="657"/>
      <c r="BP5" s="657"/>
      <c r="BQ5" s="657" t="s">
        <v>934</v>
      </c>
      <c r="BR5" s="657"/>
      <c r="BS5" s="657"/>
      <c r="BT5" s="657"/>
      <c r="BU5" s="657" t="s">
        <v>934</v>
      </c>
      <c r="BV5" s="657"/>
      <c r="BW5" s="657"/>
      <c r="BX5" s="657"/>
      <c r="BY5" s="657" t="s">
        <v>935</v>
      </c>
      <c r="BZ5" s="657"/>
      <c r="CA5" s="657"/>
      <c r="CB5" s="657"/>
      <c r="CC5" s="657" t="s">
        <v>936</v>
      </c>
      <c r="CD5" s="657"/>
      <c r="CE5" s="657"/>
      <c r="CF5" s="657"/>
      <c r="CG5" s="657" t="s">
        <v>936</v>
      </c>
      <c r="CH5" s="657"/>
      <c r="CI5" s="657"/>
      <c r="CJ5" s="657"/>
      <c r="CK5" s="657" t="s">
        <v>936</v>
      </c>
      <c r="CL5" s="657"/>
      <c r="CM5" s="657"/>
      <c r="CN5" s="657"/>
      <c r="CO5" s="657" t="s">
        <v>936</v>
      </c>
      <c r="CP5" s="657"/>
      <c r="CQ5" s="657"/>
      <c r="CR5" s="657"/>
      <c r="CS5" s="657" t="s">
        <v>937</v>
      </c>
      <c r="CT5" s="657"/>
      <c r="CU5" s="657"/>
      <c r="CV5" s="657"/>
      <c r="CW5" s="657" t="s">
        <v>937</v>
      </c>
      <c r="CX5" s="657"/>
      <c r="CY5" s="657"/>
      <c r="CZ5" s="657"/>
    </row>
    <row r="6" spans="1:104" ht="30" x14ac:dyDescent="0.25">
      <c r="A6" s="143" t="s">
        <v>25</v>
      </c>
      <c r="B6" s="143" t="s">
        <v>26</v>
      </c>
      <c r="C6" s="143" t="s">
        <v>27</v>
      </c>
      <c r="D6" s="143" t="s">
        <v>28</v>
      </c>
      <c r="E6" s="143" t="s">
        <v>29</v>
      </c>
      <c r="F6" s="143" t="s">
        <v>30</v>
      </c>
      <c r="G6" s="143" t="s">
        <v>31</v>
      </c>
      <c r="H6" s="143" t="s">
        <v>32</v>
      </c>
      <c r="I6" s="143" t="s">
        <v>33</v>
      </c>
      <c r="J6" s="552"/>
      <c r="K6" s="552"/>
      <c r="L6" s="143" t="s">
        <v>6</v>
      </c>
      <c r="M6" s="143" t="s">
        <v>34</v>
      </c>
      <c r="N6" s="143" t="s">
        <v>35</v>
      </c>
      <c r="O6" s="143" t="s">
        <v>36</v>
      </c>
      <c r="P6" s="143" t="s">
        <v>37</v>
      </c>
      <c r="Q6" s="143" t="s">
        <v>7</v>
      </c>
      <c r="R6" s="143" t="s">
        <v>38</v>
      </c>
      <c r="S6" s="143" t="s">
        <v>35</v>
      </c>
      <c r="T6" s="143" t="s">
        <v>36</v>
      </c>
      <c r="U6" s="143" t="s">
        <v>39</v>
      </c>
      <c r="V6" s="282" t="s">
        <v>40</v>
      </c>
      <c r="W6" s="282" t="s">
        <v>41</v>
      </c>
      <c r="X6" s="143" t="s">
        <v>42</v>
      </c>
      <c r="Y6" s="143" t="s">
        <v>43</v>
      </c>
      <c r="Z6" s="143" t="s">
        <v>44</v>
      </c>
      <c r="AA6" s="143" t="s">
        <v>45</v>
      </c>
      <c r="AB6" s="143" t="s">
        <v>46</v>
      </c>
      <c r="AC6" s="143" t="s">
        <v>43</v>
      </c>
      <c r="AD6" s="143" t="s">
        <v>44</v>
      </c>
      <c r="AE6" s="143" t="s">
        <v>45</v>
      </c>
      <c r="AF6" s="143" t="s">
        <v>46</v>
      </c>
      <c r="AG6" s="143" t="s">
        <v>43</v>
      </c>
      <c r="AH6" s="143" t="s">
        <v>44</v>
      </c>
      <c r="AI6" s="143" t="s">
        <v>45</v>
      </c>
      <c r="AJ6" s="143" t="s">
        <v>46</v>
      </c>
      <c r="AK6" s="143" t="s">
        <v>43</v>
      </c>
      <c r="AL6" s="143" t="s">
        <v>44</v>
      </c>
      <c r="AM6" s="143" t="s">
        <v>45</v>
      </c>
      <c r="AN6" s="283" t="s">
        <v>46</v>
      </c>
      <c r="AO6" s="284" t="s">
        <v>43</v>
      </c>
      <c r="AP6" s="284" t="s">
        <v>44</v>
      </c>
      <c r="AQ6" s="284" t="s">
        <v>45</v>
      </c>
      <c r="AR6" s="284" t="s">
        <v>46</v>
      </c>
      <c r="AS6" s="284" t="s">
        <v>43</v>
      </c>
      <c r="AT6" s="284" t="s">
        <v>44</v>
      </c>
      <c r="AU6" s="284" t="s">
        <v>45</v>
      </c>
      <c r="AV6" s="284" t="s">
        <v>46</v>
      </c>
      <c r="AW6" s="284" t="s">
        <v>43</v>
      </c>
      <c r="AX6" s="284" t="s">
        <v>44</v>
      </c>
      <c r="AY6" s="284" t="s">
        <v>45</v>
      </c>
      <c r="AZ6" s="284" t="s">
        <v>46</v>
      </c>
      <c r="BA6" s="284" t="s">
        <v>43</v>
      </c>
      <c r="BB6" s="284" t="s">
        <v>44</v>
      </c>
      <c r="BC6" s="284" t="s">
        <v>45</v>
      </c>
      <c r="BD6" s="284" t="s">
        <v>46</v>
      </c>
      <c r="BE6" s="284" t="s">
        <v>43</v>
      </c>
      <c r="BF6" s="284" t="s">
        <v>44</v>
      </c>
      <c r="BG6" s="284" t="s">
        <v>45</v>
      </c>
      <c r="BH6" s="284" t="s">
        <v>46</v>
      </c>
      <c r="BI6" s="284" t="s">
        <v>43</v>
      </c>
      <c r="BJ6" s="284" t="s">
        <v>44</v>
      </c>
      <c r="BK6" s="284" t="s">
        <v>45</v>
      </c>
      <c r="BL6" s="284" t="s">
        <v>46</v>
      </c>
      <c r="BM6" s="284" t="s">
        <v>43</v>
      </c>
      <c r="BN6" s="284" t="s">
        <v>44</v>
      </c>
      <c r="BO6" s="284" t="s">
        <v>45</v>
      </c>
      <c r="BP6" s="284" t="s">
        <v>46</v>
      </c>
      <c r="BQ6" s="284" t="s">
        <v>43</v>
      </c>
      <c r="BR6" s="284" t="s">
        <v>44</v>
      </c>
      <c r="BS6" s="284" t="s">
        <v>45</v>
      </c>
      <c r="BT6" s="284" t="s">
        <v>46</v>
      </c>
      <c r="BU6" s="284" t="s">
        <v>43</v>
      </c>
      <c r="BV6" s="284" t="s">
        <v>44</v>
      </c>
      <c r="BW6" s="284" t="s">
        <v>45</v>
      </c>
      <c r="BX6" s="284" t="s">
        <v>46</v>
      </c>
      <c r="BY6" s="284" t="s">
        <v>43</v>
      </c>
      <c r="BZ6" s="284" t="s">
        <v>44</v>
      </c>
      <c r="CA6" s="284" t="s">
        <v>45</v>
      </c>
      <c r="CB6" s="284" t="s">
        <v>46</v>
      </c>
      <c r="CC6" s="284" t="s">
        <v>43</v>
      </c>
      <c r="CD6" s="284" t="s">
        <v>44</v>
      </c>
      <c r="CE6" s="284" t="s">
        <v>45</v>
      </c>
      <c r="CF6" s="284" t="s">
        <v>46</v>
      </c>
      <c r="CG6" s="284" t="s">
        <v>43</v>
      </c>
      <c r="CH6" s="284" t="s">
        <v>44</v>
      </c>
      <c r="CI6" s="284" t="s">
        <v>45</v>
      </c>
      <c r="CJ6" s="284" t="s">
        <v>46</v>
      </c>
      <c r="CK6" s="284" t="s">
        <v>43</v>
      </c>
      <c r="CL6" s="284" t="s">
        <v>44</v>
      </c>
      <c r="CM6" s="284" t="s">
        <v>45</v>
      </c>
      <c r="CN6" s="284" t="s">
        <v>46</v>
      </c>
      <c r="CO6" s="284" t="s">
        <v>43</v>
      </c>
      <c r="CP6" s="284" t="s">
        <v>44</v>
      </c>
      <c r="CQ6" s="284" t="s">
        <v>45</v>
      </c>
      <c r="CR6" s="284" t="s">
        <v>46</v>
      </c>
      <c r="CS6" s="284" t="s">
        <v>43</v>
      </c>
      <c r="CT6" s="284" t="s">
        <v>44</v>
      </c>
      <c r="CU6" s="284" t="s">
        <v>45</v>
      </c>
      <c r="CV6" s="284" t="s">
        <v>46</v>
      </c>
      <c r="CW6" s="284" t="s">
        <v>43</v>
      </c>
      <c r="CX6" s="284" t="s">
        <v>44</v>
      </c>
      <c r="CY6" s="284" t="s">
        <v>45</v>
      </c>
      <c r="CZ6" s="284" t="s">
        <v>46</v>
      </c>
    </row>
    <row r="7" spans="1:104" ht="198.75" customHeight="1" x14ac:dyDescent="0.25">
      <c r="A7" s="646" t="s">
        <v>47</v>
      </c>
      <c r="B7" s="646" t="s">
        <v>48</v>
      </c>
      <c r="C7" s="646" t="s">
        <v>49</v>
      </c>
      <c r="D7" s="646" t="s">
        <v>790</v>
      </c>
      <c r="E7" s="646" t="s">
        <v>938</v>
      </c>
      <c r="F7" s="646" t="s">
        <v>939</v>
      </c>
      <c r="G7" s="661" t="s">
        <v>940</v>
      </c>
      <c r="H7" s="646" t="s">
        <v>941</v>
      </c>
      <c r="I7" s="646" t="s">
        <v>942</v>
      </c>
      <c r="J7" s="646" t="s">
        <v>943</v>
      </c>
      <c r="K7" s="646" t="s">
        <v>943</v>
      </c>
      <c r="L7" s="647" t="s">
        <v>944</v>
      </c>
      <c r="M7" s="647" t="s">
        <v>944</v>
      </c>
      <c r="N7" s="647" t="s">
        <v>60</v>
      </c>
      <c r="O7" s="647"/>
      <c r="P7" s="658">
        <v>3610</v>
      </c>
      <c r="Q7" s="285" t="s">
        <v>945</v>
      </c>
      <c r="R7" s="285" t="s">
        <v>946</v>
      </c>
      <c r="S7" s="285" t="s">
        <v>60</v>
      </c>
      <c r="T7" s="285"/>
      <c r="U7" s="286">
        <v>10</v>
      </c>
      <c r="V7" s="659">
        <v>295199874</v>
      </c>
      <c r="W7" s="659">
        <v>664924547</v>
      </c>
      <c r="X7" s="647" t="s">
        <v>947</v>
      </c>
      <c r="Y7" s="660">
        <v>106</v>
      </c>
      <c r="Z7" s="644">
        <v>3610</v>
      </c>
      <c r="AA7" s="643">
        <f>Y7/Z7</f>
        <v>2.9362880886426593E-2</v>
      </c>
      <c r="AB7" s="648" t="s">
        <v>948</v>
      </c>
      <c r="AC7" s="287">
        <v>8</v>
      </c>
      <c r="AD7" s="287">
        <v>10</v>
      </c>
      <c r="AE7" s="288">
        <f t="shared" ref="AE7:AE12" si="0">AC7/AD7</f>
        <v>0.8</v>
      </c>
      <c r="AF7" s="287" t="s">
        <v>949</v>
      </c>
      <c r="AG7" s="651">
        <v>711</v>
      </c>
      <c r="AH7" s="648">
        <v>3610</v>
      </c>
      <c r="AI7" s="654">
        <f>AG7/AH7</f>
        <v>0.19695290858725761</v>
      </c>
      <c r="AJ7" s="648" t="s">
        <v>950</v>
      </c>
      <c r="AK7" s="287">
        <v>10</v>
      </c>
      <c r="AL7" s="287">
        <v>10</v>
      </c>
      <c r="AM7" s="288">
        <f t="shared" ref="AM7:AM12" si="1">AK7/AL7</f>
        <v>1</v>
      </c>
      <c r="AN7" s="289" t="s">
        <v>951</v>
      </c>
      <c r="AO7" s="645">
        <v>1173</v>
      </c>
      <c r="AP7" s="642">
        <v>3610</v>
      </c>
      <c r="AQ7" s="643">
        <f>AO7/AP7</f>
        <v>0.32493074792243765</v>
      </c>
      <c r="AR7" s="644" t="s">
        <v>952</v>
      </c>
      <c r="AS7" s="287">
        <v>10</v>
      </c>
      <c r="AT7" s="287">
        <v>10</v>
      </c>
      <c r="AU7" s="288">
        <f t="shared" ref="AU7:AU12" si="2">AS7/AT7</f>
        <v>1</v>
      </c>
      <c r="AV7" s="287" t="s">
        <v>953</v>
      </c>
      <c r="AW7" s="645">
        <v>1740</v>
      </c>
      <c r="AX7" s="642">
        <v>3610</v>
      </c>
      <c r="AY7" s="643">
        <f>AW7/AX7</f>
        <v>0.48199445983379502</v>
      </c>
      <c r="AZ7" s="644" t="s">
        <v>954</v>
      </c>
      <c r="BA7" s="287">
        <v>10</v>
      </c>
      <c r="BB7" s="287">
        <v>10</v>
      </c>
      <c r="BC7" s="288">
        <f t="shared" ref="BC7:BC9" si="3">BA7/BB7</f>
        <v>1</v>
      </c>
      <c r="BD7" s="287" t="s">
        <v>955</v>
      </c>
      <c r="BE7" s="645">
        <v>2210</v>
      </c>
      <c r="BF7" s="642">
        <v>3610</v>
      </c>
      <c r="BG7" s="643">
        <f>BE7/BF7</f>
        <v>0.61218836565096957</v>
      </c>
      <c r="BH7" s="644" t="s">
        <v>956</v>
      </c>
      <c r="BI7" s="287">
        <v>10</v>
      </c>
      <c r="BJ7" s="287">
        <v>10</v>
      </c>
      <c r="BK7" s="288">
        <f t="shared" ref="BK7:BK9" si="4">BI7/BJ7</f>
        <v>1</v>
      </c>
      <c r="BL7" s="287" t="s">
        <v>957</v>
      </c>
      <c r="BM7" s="645">
        <f>BQ8+BQ9</f>
        <v>2646</v>
      </c>
      <c r="BN7" s="642">
        <v>3610</v>
      </c>
      <c r="BO7" s="643">
        <f>BM7/BN7</f>
        <v>0.73296398891966763</v>
      </c>
      <c r="BP7" s="642" t="s">
        <v>958</v>
      </c>
      <c r="BQ7" s="287">
        <v>10</v>
      </c>
      <c r="BR7" s="287">
        <v>10</v>
      </c>
      <c r="BS7" s="288">
        <f>BQ7/BR7</f>
        <v>1</v>
      </c>
      <c r="BT7" s="287" t="s">
        <v>959</v>
      </c>
      <c r="BU7" s="645">
        <v>3118</v>
      </c>
      <c r="BV7" s="642">
        <v>3610</v>
      </c>
      <c r="BW7" s="643">
        <f>BU7/BV7</f>
        <v>0.86371191135734071</v>
      </c>
      <c r="BX7" s="642" t="s">
        <v>960</v>
      </c>
      <c r="BY7" s="287">
        <v>10</v>
      </c>
      <c r="BZ7" s="287">
        <v>10</v>
      </c>
      <c r="CA7" s="288">
        <f>BY7/BZ7</f>
        <v>1</v>
      </c>
      <c r="CB7" s="287" t="s">
        <v>961</v>
      </c>
      <c r="CC7" s="645">
        <v>3773</v>
      </c>
      <c r="CD7" s="642">
        <v>3610</v>
      </c>
      <c r="CE7" s="643">
        <f>CC7/CD7</f>
        <v>1.0451523545706372</v>
      </c>
      <c r="CF7" s="642" t="s">
        <v>962</v>
      </c>
      <c r="CG7" s="287">
        <v>10</v>
      </c>
      <c r="CH7" s="287">
        <v>10</v>
      </c>
      <c r="CI7" s="288">
        <f>CG7/CH7</f>
        <v>1</v>
      </c>
      <c r="CJ7" s="287" t="s">
        <v>963</v>
      </c>
      <c r="CK7" s="645">
        <v>3773</v>
      </c>
      <c r="CL7" s="642">
        <v>3610</v>
      </c>
      <c r="CM7" s="643">
        <f>CK7/CL7</f>
        <v>1.0451523545706372</v>
      </c>
      <c r="CN7" s="642" t="s">
        <v>962</v>
      </c>
      <c r="CO7" s="287">
        <v>10</v>
      </c>
      <c r="CP7" s="287">
        <v>10</v>
      </c>
      <c r="CQ7" s="288">
        <f>CO7/CP7</f>
        <v>1</v>
      </c>
      <c r="CR7" s="287" t="s">
        <v>963</v>
      </c>
      <c r="CS7" s="645">
        <v>4305</v>
      </c>
      <c r="CT7" s="642">
        <v>3610</v>
      </c>
      <c r="CU7" s="643">
        <f>CS7/CT7</f>
        <v>1.1925207756232687</v>
      </c>
      <c r="CV7" s="642" t="s">
        <v>964</v>
      </c>
      <c r="CW7" s="287">
        <v>10</v>
      </c>
      <c r="CX7" s="287">
        <v>10</v>
      </c>
      <c r="CY7" s="288">
        <f>CW7/CX7</f>
        <v>1</v>
      </c>
      <c r="CZ7" s="287" t="s">
        <v>965</v>
      </c>
    </row>
    <row r="8" spans="1:104" ht="223.5" customHeight="1" x14ac:dyDescent="0.25">
      <c r="A8" s="646"/>
      <c r="B8" s="646"/>
      <c r="C8" s="646"/>
      <c r="D8" s="646"/>
      <c r="E8" s="646"/>
      <c r="F8" s="646"/>
      <c r="G8" s="661"/>
      <c r="H8" s="646"/>
      <c r="I8" s="646"/>
      <c r="J8" s="646"/>
      <c r="K8" s="646"/>
      <c r="L8" s="647"/>
      <c r="M8" s="647"/>
      <c r="N8" s="647"/>
      <c r="O8" s="647"/>
      <c r="P8" s="658"/>
      <c r="Q8" s="290" t="s">
        <v>966</v>
      </c>
      <c r="R8" s="290" t="s">
        <v>967</v>
      </c>
      <c r="S8" s="290" t="s">
        <v>60</v>
      </c>
      <c r="T8" s="290"/>
      <c r="U8" s="291">
        <v>1100</v>
      </c>
      <c r="V8" s="659"/>
      <c r="W8" s="659"/>
      <c r="X8" s="647"/>
      <c r="Y8" s="660"/>
      <c r="Z8" s="644"/>
      <c r="AA8" s="643"/>
      <c r="AB8" s="649"/>
      <c r="AC8" s="292">
        <v>57</v>
      </c>
      <c r="AD8" s="290">
        <v>1100</v>
      </c>
      <c r="AE8" s="293">
        <f t="shared" si="0"/>
        <v>5.1818181818181819E-2</v>
      </c>
      <c r="AF8" s="290" t="s">
        <v>968</v>
      </c>
      <c r="AG8" s="652"/>
      <c r="AH8" s="649"/>
      <c r="AI8" s="655"/>
      <c r="AJ8" s="649"/>
      <c r="AK8" s="294">
        <f>228</f>
        <v>228</v>
      </c>
      <c r="AL8" s="295">
        <v>1100</v>
      </c>
      <c r="AM8" s="293">
        <f t="shared" si="1"/>
        <v>0.20727272727272728</v>
      </c>
      <c r="AN8" s="296" t="s">
        <v>969</v>
      </c>
      <c r="AO8" s="645"/>
      <c r="AP8" s="642"/>
      <c r="AQ8" s="643"/>
      <c r="AR8" s="644"/>
      <c r="AS8" s="294">
        <v>360</v>
      </c>
      <c r="AT8" s="295">
        <v>1100</v>
      </c>
      <c r="AU8" s="293">
        <f t="shared" si="2"/>
        <v>0.32727272727272727</v>
      </c>
      <c r="AV8" s="293" t="s">
        <v>970</v>
      </c>
      <c r="AW8" s="645"/>
      <c r="AX8" s="642"/>
      <c r="AY8" s="643"/>
      <c r="AZ8" s="644"/>
      <c r="BA8" s="294">
        <v>571</v>
      </c>
      <c r="BB8" s="295">
        <v>1100</v>
      </c>
      <c r="BC8" s="293">
        <f t="shared" si="3"/>
        <v>0.51909090909090905</v>
      </c>
      <c r="BD8" s="293" t="s">
        <v>971</v>
      </c>
      <c r="BE8" s="645"/>
      <c r="BF8" s="642"/>
      <c r="BG8" s="643"/>
      <c r="BH8" s="644"/>
      <c r="BI8" s="294">
        <v>678</v>
      </c>
      <c r="BJ8" s="295">
        <v>1100</v>
      </c>
      <c r="BK8" s="293">
        <f t="shared" si="4"/>
        <v>0.61636363636363634</v>
      </c>
      <c r="BL8" s="297" t="s">
        <v>972</v>
      </c>
      <c r="BM8" s="645"/>
      <c r="BN8" s="642"/>
      <c r="BO8" s="643"/>
      <c r="BP8" s="642"/>
      <c r="BQ8" s="298">
        <v>769</v>
      </c>
      <c r="BR8" s="295">
        <v>1100</v>
      </c>
      <c r="BS8" s="293">
        <f t="shared" ref="BS8" si="5">BQ8/BR8</f>
        <v>0.6990909090909091</v>
      </c>
      <c r="BT8" s="297" t="s">
        <v>973</v>
      </c>
      <c r="BU8" s="645"/>
      <c r="BV8" s="642"/>
      <c r="BW8" s="643"/>
      <c r="BX8" s="642"/>
      <c r="BY8" s="298">
        <v>865</v>
      </c>
      <c r="BZ8" s="295">
        <v>1100</v>
      </c>
      <c r="CA8" s="293">
        <f t="shared" ref="CA8" si="6">BY8/BZ8</f>
        <v>0.78636363636363638</v>
      </c>
      <c r="CB8" s="297" t="s">
        <v>974</v>
      </c>
      <c r="CC8" s="645"/>
      <c r="CD8" s="642"/>
      <c r="CE8" s="643"/>
      <c r="CF8" s="642"/>
      <c r="CG8" s="298">
        <v>989</v>
      </c>
      <c r="CH8" s="295">
        <v>1100</v>
      </c>
      <c r="CI8" s="293">
        <f t="shared" ref="CI8" si="7">CG8/CH8</f>
        <v>0.89909090909090905</v>
      </c>
      <c r="CJ8" s="297" t="s">
        <v>975</v>
      </c>
      <c r="CK8" s="645"/>
      <c r="CL8" s="642"/>
      <c r="CM8" s="643"/>
      <c r="CN8" s="642"/>
      <c r="CO8" s="298">
        <v>989</v>
      </c>
      <c r="CP8" s="295">
        <v>1100</v>
      </c>
      <c r="CQ8" s="293">
        <f t="shared" ref="CQ8" si="8">CO8/CP8</f>
        <v>0.89909090909090905</v>
      </c>
      <c r="CR8" s="297" t="s">
        <v>975</v>
      </c>
      <c r="CS8" s="645"/>
      <c r="CT8" s="642"/>
      <c r="CU8" s="643"/>
      <c r="CV8" s="642"/>
      <c r="CW8" s="298">
        <v>1110</v>
      </c>
      <c r="CX8" s="295">
        <v>1100</v>
      </c>
      <c r="CY8" s="293">
        <f t="shared" ref="CY8" si="9">CW8/CX8</f>
        <v>1.009090909090909</v>
      </c>
      <c r="CZ8" s="297" t="s">
        <v>976</v>
      </c>
    </row>
    <row r="9" spans="1:104" ht="217.5" customHeight="1" x14ac:dyDescent="0.25">
      <c r="A9" s="646"/>
      <c r="B9" s="646"/>
      <c r="C9" s="646"/>
      <c r="D9" s="646"/>
      <c r="E9" s="646"/>
      <c r="F9" s="646"/>
      <c r="G9" s="661"/>
      <c r="H9" s="646"/>
      <c r="I9" s="646"/>
      <c r="J9" s="646"/>
      <c r="K9" s="646"/>
      <c r="L9" s="647"/>
      <c r="M9" s="647"/>
      <c r="N9" s="647"/>
      <c r="O9" s="647"/>
      <c r="P9" s="658"/>
      <c r="Q9" s="285" t="s">
        <v>977</v>
      </c>
      <c r="R9" s="285" t="s">
        <v>978</v>
      </c>
      <c r="S9" s="285" t="s">
        <v>60</v>
      </c>
      <c r="T9" s="285"/>
      <c r="U9" s="286">
        <v>2510</v>
      </c>
      <c r="V9" s="659"/>
      <c r="W9" s="659"/>
      <c r="X9" s="647"/>
      <c r="Y9" s="660"/>
      <c r="Z9" s="644"/>
      <c r="AA9" s="643"/>
      <c r="AB9" s="649"/>
      <c r="AC9" s="285">
        <v>49</v>
      </c>
      <c r="AD9" s="285">
        <v>2510</v>
      </c>
      <c r="AE9" s="299">
        <f t="shared" si="0"/>
        <v>1.9521912350597609E-2</v>
      </c>
      <c r="AF9" s="285" t="s">
        <v>979</v>
      </c>
      <c r="AG9" s="652"/>
      <c r="AH9" s="649"/>
      <c r="AI9" s="655"/>
      <c r="AJ9" s="649"/>
      <c r="AK9" s="287">
        <f>377</f>
        <v>377</v>
      </c>
      <c r="AL9" s="287">
        <v>2510</v>
      </c>
      <c r="AM9" s="299">
        <f t="shared" si="1"/>
        <v>0.150199203187251</v>
      </c>
      <c r="AN9" s="300" t="s">
        <v>980</v>
      </c>
      <c r="AO9" s="645"/>
      <c r="AP9" s="642"/>
      <c r="AQ9" s="643"/>
      <c r="AR9" s="644"/>
      <c r="AS9" s="287">
        <v>813</v>
      </c>
      <c r="AT9" s="287">
        <v>2510</v>
      </c>
      <c r="AU9" s="299">
        <f t="shared" si="2"/>
        <v>0.32390438247011955</v>
      </c>
      <c r="AV9" s="290" t="s">
        <v>981</v>
      </c>
      <c r="AW9" s="645"/>
      <c r="AX9" s="642"/>
      <c r="AY9" s="643"/>
      <c r="AZ9" s="644"/>
      <c r="BA9" s="287">
        <v>1169</v>
      </c>
      <c r="BB9" s="287">
        <v>2510</v>
      </c>
      <c r="BC9" s="299">
        <f t="shared" si="3"/>
        <v>0.4657370517928287</v>
      </c>
      <c r="BD9" s="290" t="s">
        <v>982</v>
      </c>
      <c r="BE9" s="645"/>
      <c r="BF9" s="642"/>
      <c r="BG9" s="643"/>
      <c r="BH9" s="644"/>
      <c r="BI9" s="287">
        <v>1532</v>
      </c>
      <c r="BJ9" s="287">
        <v>2510</v>
      </c>
      <c r="BK9" s="299">
        <f t="shared" si="4"/>
        <v>0.61035856573705183</v>
      </c>
      <c r="BL9" s="290" t="s">
        <v>983</v>
      </c>
      <c r="BM9" s="645"/>
      <c r="BN9" s="642"/>
      <c r="BO9" s="643"/>
      <c r="BP9" s="642"/>
      <c r="BQ9" s="287">
        <v>1877</v>
      </c>
      <c r="BR9" s="287">
        <v>2510</v>
      </c>
      <c r="BS9" s="299">
        <f>BQ9/BR9</f>
        <v>0.74780876494023907</v>
      </c>
      <c r="BT9" s="290" t="s">
        <v>984</v>
      </c>
      <c r="BU9" s="645"/>
      <c r="BV9" s="642"/>
      <c r="BW9" s="643"/>
      <c r="BX9" s="642"/>
      <c r="BY9" s="287">
        <v>2253</v>
      </c>
      <c r="BZ9" s="287">
        <v>2510</v>
      </c>
      <c r="CA9" s="299">
        <f>BY9/BZ9</f>
        <v>0.89760956175298801</v>
      </c>
      <c r="CB9" s="290" t="s">
        <v>985</v>
      </c>
      <c r="CC9" s="645"/>
      <c r="CD9" s="642"/>
      <c r="CE9" s="643"/>
      <c r="CF9" s="642"/>
      <c r="CG9" s="287">
        <v>2801</v>
      </c>
      <c r="CH9" s="287">
        <v>2510</v>
      </c>
      <c r="CI9" s="299">
        <f>CG9/CH9</f>
        <v>1.1159362549800798</v>
      </c>
      <c r="CJ9" s="290" t="s">
        <v>986</v>
      </c>
      <c r="CK9" s="645"/>
      <c r="CL9" s="642"/>
      <c r="CM9" s="643"/>
      <c r="CN9" s="642"/>
      <c r="CO9" s="287">
        <v>2801</v>
      </c>
      <c r="CP9" s="287">
        <v>2510</v>
      </c>
      <c r="CQ9" s="299">
        <f>CO9/CP9</f>
        <v>1.1159362549800798</v>
      </c>
      <c r="CR9" s="290" t="s">
        <v>986</v>
      </c>
      <c r="CS9" s="645"/>
      <c r="CT9" s="642"/>
      <c r="CU9" s="643"/>
      <c r="CV9" s="642"/>
      <c r="CW9" s="287">
        <v>3205</v>
      </c>
      <c r="CX9" s="287">
        <v>2510</v>
      </c>
      <c r="CY9" s="299">
        <f>CW9/CX9</f>
        <v>1.2768924302788844</v>
      </c>
      <c r="CZ9" s="290" t="s">
        <v>987</v>
      </c>
    </row>
    <row r="10" spans="1:104" ht="162" customHeight="1" x14ac:dyDescent="0.25">
      <c r="A10" s="646"/>
      <c r="B10" s="646"/>
      <c r="C10" s="646"/>
      <c r="D10" s="646"/>
      <c r="E10" s="646"/>
      <c r="F10" s="646"/>
      <c r="G10" s="661"/>
      <c r="H10" s="646"/>
      <c r="I10" s="646"/>
      <c r="J10" s="646"/>
      <c r="K10" s="646"/>
      <c r="L10" s="647"/>
      <c r="M10" s="647"/>
      <c r="N10" s="647"/>
      <c r="O10" s="301"/>
      <c r="P10" s="658"/>
      <c r="Q10" s="290" t="s">
        <v>988</v>
      </c>
      <c r="R10" s="290" t="s">
        <v>989</v>
      </c>
      <c r="S10" s="290" t="s">
        <v>60</v>
      </c>
      <c r="T10" s="290"/>
      <c r="U10" s="302">
        <v>1</v>
      </c>
      <c r="V10" s="659"/>
      <c r="W10" s="659"/>
      <c r="X10" s="647"/>
      <c r="Y10" s="660"/>
      <c r="Z10" s="644"/>
      <c r="AA10" s="643"/>
      <c r="AB10" s="650"/>
      <c r="AC10" s="295">
        <v>0</v>
      </c>
      <c r="AD10" s="295">
        <v>1</v>
      </c>
      <c r="AE10" s="303">
        <f t="shared" si="0"/>
        <v>0</v>
      </c>
      <c r="AF10" s="295" t="s">
        <v>990</v>
      </c>
      <c r="AG10" s="653"/>
      <c r="AH10" s="650"/>
      <c r="AI10" s="656"/>
      <c r="AJ10" s="650"/>
      <c r="AK10" s="295">
        <v>0</v>
      </c>
      <c r="AL10" s="295">
        <v>1</v>
      </c>
      <c r="AM10" s="303">
        <v>0.1</v>
      </c>
      <c r="AN10" s="304" t="s">
        <v>991</v>
      </c>
      <c r="AO10" s="645"/>
      <c r="AP10" s="642"/>
      <c r="AQ10" s="643"/>
      <c r="AR10" s="644"/>
      <c r="AS10" s="295">
        <v>0</v>
      </c>
      <c r="AT10" s="295">
        <v>1</v>
      </c>
      <c r="AU10" s="303">
        <v>0.1</v>
      </c>
      <c r="AV10" s="295" t="s">
        <v>992</v>
      </c>
      <c r="AW10" s="645"/>
      <c r="AX10" s="642"/>
      <c r="AY10" s="643"/>
      <c r="AZ10" s="644"/>
      <c r="BA10" s="295">
        <v>0</v>
      </c>
      <c r="BB10" s="295">
        <v>1</v>
      </c>
      <c r="BC10" s="303">
        <v>0.1</v>
      </c>
      <c r="BD10" s="295" t="s">
        <v>993</v>
      </c>
      <c r="BE10" s="645"/>
      <c r="BF10" s="642"/>
      <c r="BG10" s="643"/>
      <c r="BH10" s="644"/>
      <c r="BI10" s="295">
        <v>0</v>
      </c>
      <c r="BJ10" s="295">
        <v>1</v>
      </c>
      <c r="BK10" s="303">
        <v>0.2</v>
      </c>
      <c r="BL10" s="295" t="s">
        <v>994</v>
      </c>
      <c r="BM10" s="645"/>
      <c r="BN10" s="642"/>
      <c r="BO10" s="643"/>
      <c r="BP10" s="642"/>
      <c r="BQ10" s="295">
        <v>0</v>
      </c>
      <c r="BR10" s="295">
        <v>1</v>
      </c>
      <c r="BS10" s="303">
        <v>0.3</v>
      </c>
      <c r="BT10" s="295" t="s">
        <v>995</v>
      </c>
      <c r="BU10" s="645"/>
      <c r="BV10" s="642"/>
      <c r="BW10" s="643"/>
      <c r="BX10" s="642"/>
      <c r="BY10" s="295">
        <v>0</v>
      </c>
      <c r="BZ10" s="295">
        <v>1</v>
      </c>
      <c r="CA10" s="303">
        <v>0.4</v>
      </c>
      <c r="CB10" s="295" t="s">
        <v>996</v>
      </c>
      <c r="CC10" s="645"/>
      <c r="CD10" s="642"/>
      <c r="CE10" s="643"/>
      <c r="CF10" s="642"/>
      <c r="CG10" s="303">
        <v>1</v>
      </c>
      <c r="CH10" s="295">
        <v>1</v>
      </c>
      <c r="CI10" s="303">
        <v>1</v>
      </c>
      <c r="CJ10" s="295" t="s">
        <v>997</v>
      </c>
      <c r="CK10" s="645"/>
      <c r="CL10" s="642"/>
      <c r="CM10" s="643"/>
      <c r="CN10" s="642"/>
      <c r="CO10" s="303">
        <v>1</v>
      </c>
      <c r="CP10" s="295">
        <v>1</v>
      </c>
      <c r="CQ10" s="303">
        <v>1</v>
      </c>
      <c r="CR10" s="295" t="s">
        <v>997</v>
      </c>
      <c r="CS10" s="645"/>
      <c r="CT10" s="642"/>
      <c r="CU10" s="643"/>
      <c r="CV10" s="642"/>
      <c r="CW10" s="303">
        <v>1</v>
      </c>
      <c r="CX10" s="295">
        <v>1</v>
      </c>
      <c r="CY10" s="303">
        <v>1</v>
      </c>
      <c r="CZ10" s="295" t="s">
        <v>997</v>
      </c>
    </row>
    <row r="11" spans="1:104" ht="201.75" customHeight="1" x14ac:dyDescent="0.25">
      <c r="A11" s="646"/>
      <c r="B11" s="646"/>
      <c r="C11" s="646"/>
      <c r="D11" s="646"/>
      <c r="E11" s="646"/>
      <c r="F11" s="646"/>
      <c r="G11" s="661"/>
      <c r="H11" s="646"/>
      <c r="I11" s="646"/>
      <c r="J11" s="646"/>
      <c r="K11" s="646"/>
      <c r="L11" s="290" t="s">
        <v>998</v>
      </c>
      <c r="M11" s="290" t="s">
        <v>999</v>
      </c>
      <c r="N11" s="290" t="s">
        <v>93</v>
      </c>
      <c r="O11" s="290"/>
      <c r="P11" s="305">
        <v>55</v>
      </c>
      <c r="Q11" s="285" t="s">
        <v>1000</v>
      </c>
      <c r="R11" s="285" t="s">
        <v>1001</v>
      </c>
      <c r="S11" s="285" t="s">
        <v>60</v>
      </c>
      <c r="T11" s="285"/>
      <c r="U11" s="286">
        <v>400</v>
      </c>
      <c r="V11" s="306">
        <v>185740681</v>
      </c>
      <c r="W11" s="659"/>
      <c r="X11" s="647"/>
      <c r="Y11" s="303">
        <f>50%</f>
        <v>0.5</v>
      </c>
      <c r="Z11" s="303">
        <v>0.55000000000000004</v>
      </c>
      <c r="AA11" s="303">
        <f>Y11/Z11</f>
        <v>0.90909090909090906</v>
      </c>
      <c r="AB11" s="307" t="s">
        <v>1002</v>
      </c>
      <c r="AC11" s="308">
        <v>16</v>
      </c>
      <c r="AD11" s="309">
        <v>400</v>
      </c>
      <c r="AE11" s="310">
        <f t="shared" si="0"/>
        <v>0.04</v>
      </c>
      <c r="AF11" s="311" t="s">
        <v>1003</v>
      </c>
      <c r="AG11" s="303">
        <f>61%</f>
        <v>0.61</v>
      </c>
      <c r="AH11" s="303">
        <v>0.55000000000000004</v>
      </c>
      <c r="AI11" s="303">
        <f>AG11/AH11</f>
        <v>1.1090909090909089</v>
      </c>
      <c r="AJ11" s="307" t="s">
        <v>1004</v>
      </c>
      <c r="AK11" s="309">
        <f>AC11+66</f>
        <v>82</v>
      </c>
      <c r="AL11" s="309">
        <v>400</v>
      </c>
      <c r="AM11" s="310">
        <f t="shared" si="1"/>
        <v>0.20499999999999999</v>
      </c>
      <c r="AN11" s="312" t="s">
        <v>1004</v>
      </c>
      <c r="AO11" s="303">
        <v>0.71</v>
      </c>
      <c r="AP11" s="303">
        <v>0.55000000000000004</v>
      </c>
      <c r="AQ11" s="303">
        <f>AO11/AP11</f>
        <v>1.2909090909090908</v>
      </c>
      <c r="AR11" s="285" t="s">
        <v>1005</v>
      </c>
      <c r="AS11" s="309">
        <v>110</v>
      </c>
      <c r="AT11" s="309">
        <v>400</v>
      </c>
      <c r="AU11" s="313">
        <f t="shared" si="2"/>
        <v>0.27500000000000002</v>
      </c>
      <c r="AV11" s="307" t="s">
        <v>1006</v>
      </c>
      <c r="AW11" s="303">
        <v>0.62</v>
      </c>
      <c r="AX11" s="303">
        <v>0.55000000000000004</v>
      </c>
      <c r="AY11" s="303">
        <f>AW11/AX11</f>
        <v>1.1272727272727272</v>
      </c>
      <c r="AZ11" s="285" t="s">
        <v>1007</v>
      </c>
      <c r="BA11" s="309">
        <v>157</v>
      </c>
      <c r="BB11" s="309">
        <v>400</v>
      </c>
      <c r="BC11" s="313">
        <f t="shared" ref="BC11:BC12" si="10">BA11/BB11</f>
        <v>0.39250000000000002</v>
      </c>
      <c r="BD11" s="285" t="s">
        <v>1007</v>
      </c>
      <c r="BE11" s="303">
        <v>0.41</v>
      </c>
      <c r="BF11" s="303">
        <v>0.55000000000000004</v>
      </c>
      <c r="BG11" s="303">
        <f>BE11/BF11</f>
        <v>0.74545454545454537</v>
      </c>
      <c r="BH11" s="287" t="s">
        <v>1008</v>
      </c>
      <c r="BI11" s="309">
        <v>201</v>
      </c>
      <c r="BJ11" s="309">
        <v>400</v>
      </c>
      <c r="BK11" s="313">
        <f>BI11/BJ11</f>
        <v>0.50249999999999995</v>
      </c>
      <c r="BL11" s="287" t="s">
        <v>1009</v>
      </c>
      <c r="BM11" s="303">
        <v>0.63</v>
      </c>
      <c r="BN11" s="303">
        <v>0.55000000000000004</v>
      </c>
      <c r="BO11" s="303">
        <f>BM11/BN11</f>
        <v>1.1454545454545453</v>
      </c>
      <c r="BP11" s="287" t="s">
        <v>1010</v>
      </c>
      <c r="BQ11" s="309">
        <v>241</v>
      </c>
      <c r="BR11" s="309">
        <v>400</v>
      </c>
      <c r="BS11" s="313">
        <f>BQ11/BR11</f>
        <v>0.60250000000000004</v>
      </c>
      <c r="BT11" s="287" t="s">
        <v>1010</v>
      </c>
      <c r="BU11" s="303">
        <v>0.57999999999999996</v>
      </c>
      <c r="BV11" s="303">
        <v>0.55000000000000004</v>
      </c>
      <c r="BW11" s="303">
        <f>BU11/BV11</f>
        <v>1.0545454545454545</v>
      </c>
      <c r="BX11" s="287" t="s">
        <v>1011</v>
      </c>
      <c r="BY11" s="309">
        <v>263</v>
      </c>
      <c r="BZ11" s="309">
        <v>400</v>
      </c>
      <c r="CA11" s="313">
        <f>BY11/BZ11</f>
        <v>0.65749999999999997</v>
      </c>
      <c r="CB11" s="287" t="s">
        <v>1011</v>
      </c>
      <c r="CC11" s="303">
        <v>0.48</v>
      </c>
      <c r="CD11" s="303">
        <v>0.55000000000000004</v>
      </c>
      <c r="CE11" s="303">
        <f>CC11/CD11</f>
        <v>0.87272727272727257</v>
      </c>
      <c r="CF11" s="287" t="s">
        <v>1012</v>
      </c>
      <c r="CG11" s="309">
        <v>290</v>
      </c>
      <c r="CH11" s="309">
        <v>400</v>
      </c>
      <c r="CI11" s="313">
        <f>CG11/CH11</f>
        <v>0.72499999999999998</v>
      </c>
      <c r="CJ11" s="287" t="s">
        <v>1013</v>
      </c>
      <c r="CK11" s="303">
        <v>0.48</v>
      </c>
      <c r="CL11" s="303">
        <v>0.55000000000000004</v>
      </c>
      <c r="CM11" s="303">
        <f>CK11/CL11</f>
        <v>0.87272727272727257</v>
      </c>
      <c r="CN11" s="287" t="s">
        <v>1012</v>
      </c>
      <c r="CO11" s="309">
        <v>290</v>
      </c>
      <c r="CP11" s="309">
        <v>400</v>
      </c>
      <c r="CQ11" s="313">
        <f>CO11/CP11</f>
        <v>0.72499999999999998</v>
      </c>
      <c r="CR11" s="287" t="s">
        <v>1013</v>
      </c>
      <c r="CS11" s="303">
        <v>0.35</v>
      </c>
      <c r="CT11" s="303">
        <v>0.55000000000000004</v>
      </c>
      <c r="CU11" s="303">
        <f>CS11/CT11</f>
        <v>0.63636363636363624</v>
      </c>
      <c r="CV11" s="287" t="s">
        <v>1014</v>
      </c>
      <c r="CW11" s="309">
        <v>349</v>
      </c>
      <c r="CX11" s="309">
        <v>400</v>
      </c>
      <c r="CY11" s="313">
        <f>CW11/CX11</f>
        <v>0.87250000000000005</v>
      </c>
      <c r="CZ11" s="287" t="s">
        <v>1014</v>
      </c>
    </row>
    <row r="12" spans="1:104" ht="161.25" customHeight="1" x14ac:dyDescent="0.25">
      <c r="A12" s="646"/>
      <c r="B12" s="646"/>
      <c r="C12" s="646"/>
      <c r="D12" s="646"/>
      <c r="E12" s="646"/>
      <c r="F12" s="646"/>
      <c r="G12" s="661"/>
      <c r="H12" s="646"/>
      <c r="I12" s="646"/>
      <c r="J12" s="646"/>
      <c r="K12" s="646"/>
      <c r="L12" s="285" t="s">
        <v>1015</v>
      </c>
      <c r="M12" s="285" t="s">
        <v>1016</v>
      </c>
      <c r="N12" s="285" t="s">
        <v>93</v>
      </c>
      <c r="O12" s="285"/>
      <c r="P12" s="314">
        <v>100</v>
      </c>
      <c r="Q12" s="290" t="s">
        <v>1017</v>
      </c>
      <c r="R12" s="290" t="s">
        <v>1018</v>
      </c>
      <c r="S12" s="290" t="s">
        <v>60</v>
      </c>
      <c r="T12" s="290"/>
      <c r="U12" s="302">
        <v>10</v>
      </c>
      <c r="V12" s="315">
        <v>120124000</v>
      </c>
      <c r="W12" s="659"/>
      <c r="X12" s="647"/>
      <c r="Y12" s="295">
        <v>4</v>
      </c>
      <c r="Z12" s="295">
        <v>10</v>
      </c>
      <c r="AA12" s="303">
        <f>Y12/Z12</f>
        <v>0.4</v>
      </c>
      <c r="AB12" s="295" t="s">
        <v>1019</v>
      </c>
      <c r="AC12" s="291">
        <v>1</v>
      </c>
      <c r="AD12" s="295">
        <v>10</v>
      </c>
      <c r="AE12" s="303">
        <f t="shared" si="0"/>
        <v>0.1</v>
      </c>
      <c r="AF12" s="295" t="s">
        <v>1020</v>
      </c>
      <c r="AG12" s="295">
        <v>6</v>
      </c>
      <c r="AH12" s="295">
        <v>10</v>
      </c>
      <c r="AI12" s="303">
        <f>AG12/AH12</f>
        <v>0.6</v>
      </c>
      <c r="AJ12" s="295" t="s">
        <v>1021</v>
      </c>
      <c r="AK12" s="291">
        <v>4</v>
      </c>
      <c r="AL12" s="295">
        <v>10</v>
      </c>
      <c r="AM12" s="303">
        <f t="shared" si="1"/>
        <v>0.4</v>
      </c>
      <c r="AN12" s="304" t="s">
        <v>1022</v>
      </c>
      <c r="AO12" s="295">
        <v>14</v>
      </c>
      <c r="AP12" s="295">
        <v>10</v>
      </c>
      <c r="AQ12" s="316">
        <f>AO12/AP12</f>
        <v>1.4</v>
      </c>
      <c r="AR12" s="295" t="s">
        <v>1023</v>
      </c>
      <c r="AS12" s="291">
        <v>6</v>
      </c>
      <c r="AT12" s="295">
        <v>10</v>
      </c>
      <c r="AU12" s="303">
        <f t="shared" si="2"/>
        <v>0.6</v>
      </c>
      <c r="AV12" s="295" t="s">
        <v>1024</v>
      </c>
      <c r="AW12" s="295">
        <v>14</v>
      </c>
      <c r="AX12" s="295">
        <v>10</v>
      </c>
      <c r="AY12" s="303">
        <f>AW12/AX12</f>
        <v>1.4</v>
      </c>
      <c r="AZ12" s="295" t="s">
        <v>1025</v>
      </c>
      <c r="BA12" s="291">
        <v>6</v>
      </c>
      <c r="BB12" s="295">
        <v>10</v>
      </c>
      <c r="BC12" s="303">
        <f t="shared" si="10"/>
        <v>0.6</v>
      </c>
      <c r="BD12" s="295" t="s">
        <v>1026</v>
      </c>
      <c r="BE12" s="295">
        <v>14</v>
      </c>
      <c r="BF12" s="295">
        <v>10</v>
      </c>
      <c r="BG12" s="303">
        <f>BE12/BF12</f>
        <v>1.4</v>
      </c>
      <c r="BH12" s="295" t="s">
        <v>1027</v>
      </c>
      <c r="BI12" s="291">
        <v>9</v>
      </c>
      <c r="BJ12" s="295">
        <v>10</v>
      </c>
      <c r="BK12" s="303">
        <f t="shared" ref="BK12" si="11">BI12/BJ12</f>
        <v>0.9</v>
      </c>
      <c r="BL12" s="295" t="s">
        <v>1028</v>
      </c>
      <c r="BM12" s="295">
        <v>14</v>
      </c>
      <c r="BN12" s="295">
        <v>10</v>
      </c>
      <c r="BO12" s="303">
        <f>BM12/BN12</f>
        <v>1.4</v>
      </c>
      <c r="BP12" s="295" t="s">
        <v>1029</v>
      </c>
      <c r="BQ12" s="291">
        <v>10</v>
      </c>
      <c r="BR12" s="295">
        <v>10</v>
      </c>
      <c r="BS12" s="303">
        <f t="shared" ref="BS12" si="12">BQ12/BR12</f>
        <v>1</v>
      </c>
      <c r="BT12" s="295" t="s">
        <v>1030</v>
      </c>
      <c r="BU12" s="295">
        <v>14</v>
      </c>
      <c r="BV12" s="295">
        <v>10</v>
      </c>
      <c r="BW12" s="303">
        <f>BU12/BV12</f>
        <v>1.4</v>
      </c>
      <c r="BX12" s="295" t="s">
        <v>1031</v>
      </c>
      <c r="BY12" s="291">
        <v>11</v>
      </c>
      <c r="BZ12" s="295">
        <v>10</v>
      </c>
      <c r="CA12" s="303">
        <f t="shared" ref="CA12" si="13">BY12/BZ12</f>
        <v>1.1000000000000001</v>
      </c>
      <c r="CB12" s="295" t="s">
        <v>1032</v>
      </c>
      <c r="CC12" s="295">
        <v>15</v>
      </c>
      <c r="CD12" s="295">
        <v>10</v>
      </c>
      <c r="CE12" s="303">
        <f>CC12/CD12</f>
        <v>1.5</v>
      </c>
      <c r="CF12" s="295" t="s">
        <v>1033</v>
      </c>
      <c r="CG12" s="291">
        <v>13</v>
      </c>
      <c r="CH12" s="295">
        <v>10</v>
      </c>
      <c r="CI12" s="303">
        <f t="shared" ref="CI12" si="14">CG12/CH12</f>
        <v>1.3</v>
      </c>
      <c r="CJ12" s="295" t="s">
        <v>1034</v>
      </c>
      <c r="CK12" s="295">
        <v>15</v>
      </c>
      <c r="CL12" s="295">
        <v>10</v>
      </c>
      <c r="CM12" s="303">
        <v>1.5</v>
      </c>
      <c r="CN12" s="295" t="s">
        <v>1033</v>
      </c>
      <c r="CO12" s="291">
        <v>13</v>
      </c>
      <c r="CP12" s="295">
        <v>10</v>
      </c>
      <c r="CQ12" s="303">
        <v>1.3</v>
      </c>
      <c r="CR12" s="295" t="s">
        <v>1034</v>
      </c>
      <c r="CS12" s="295">
        <v>16</v>
      </c>
      <c r="CT12" s="295">
        <v>10</v>
      </c>
      <c r="CU12" s="303">
        <f>CS12/CT12</f>
        <v>1.6</v>
      </c>
      <c r="CV12" s="295" t="s">
        <v>1035</v>
      </c>
      <c r="CW12" s="291">
        <v>14</v>
      </c>
      <c r="CX12" s="295">
        <v>10</v>
      </c>
      <c r="CY12" s="303">
        <f t="shared" ref="CY12" si="15">CW12/CX12</f>
        <v>1.4</v>
      </c>
      <c r="CZ12" s="295" t="s">
        <v>1036</v>
      </c>
    </row>
    <row r="13" spans="1:104" ht="30.75" customHeight="1" x14ac:dyDescent="0.25">
      <c r="Y13" s="640" t="s">
        <v>922</v>
      </c>
      <c r="Z13" s="641"/>
      <c r="AA13" s="317">
        <f>AVERAGE(AA7:AA12)</f>
        <v>0.44615126332577854</v>
      </c>
      <c r="AC13" s="640" t="s">
        <v>1037</v>
      </c>
      <c r="AD13" s="641"/>
      <c r="AE13" s="317">
        <f>AVERAGE(AE7:AE12)</f>
        <v>0.16855668236146326</v>
      </c>
      <c r="AG13" s="640" t="s">
        <v>922</v>
      </c>
      <c r="AH13" s="641"/>
      <c r="AI13" s="317">
        <f>AVERAGE(AI7:AI12)</f>
        <v>0.63534793922605548</v>
      </c>
      <c r="AK13" s="640" t="s">
        <v>1037</v>
      </c>
      <c r="AL13" s="641"/>
      <c r="AM13" s="317">
        <f>AVERAGE(AM7:AM12)</f>
        <v>0.34374532174332972</v>
      </c>
      <c r="AO13" s="640" t="s">
        <v>922</v>
      </c>
      <c r="AP13" s="641"/>
      <c r="AQ13" s="317">
        <f>AVERAGE(AQ7:AQ12)</f>
        <v>1.0052799462771762</v>
      </c>
      <c r="AS13" s="640" t="s">
        <v>1037</v>
      </c>
      <c r="AT13" s="641"/>
      <c r="AU13" s="317">
        <f>AVERAGE(AU7:AU12)</f>
        <v>0.43769618495714119</v>
      </c>
      <c r="AW13" s="640" t="s">
        <v>922</v>
      </c>
      <c r="AX13" s="641"/>
      <c r="AY13" s="317">
        <f>AVERAGE(AY7:AY12)</f>
        <v>1.0030890623688407</v>
      </c>
      <c r="BA13" s="640" t="s">
        <v>1037</v>
      </c>
      <c r="BB13" s="641"/>
      <c r="BC13" s="317">
        <f>AVERAGE(BC7:BC12)</f>
        <v>0.51288799348062297</v>
      </c>
      <c r="BE13" s="640" t="s">
        <v>922</v>
      </c>
      <c r="BF13" s="641"/>
      <c r="BG13" s="317">
        <f>AVERAGE(BG7:BG12)</f>
        <v>0.91921430370183821</v>
      </c>
      <c r="BI13" s="640" t="s">
        <v>1037</v>
      </c>
      <c r="BJ13" s="641"/>
      <c r="BK13" s="317">
        <f>AVERAGE(BK7:BK12)</f>
        <v>0.63820370035011464</v>
      </c>
      <c r="BL13" s="318"/>
      <c r="BM13" s="640" t="s">
        <v>922</v>
      </c>
      <c r="BN13" s="641"/>
      <c r="BO13" s="317">
        <f>AVERAGE(BO7:BO12)</f>
        <v>1.0928061781247376</v>
      </c>
      <c r="BQ13" s="640" t="s">
        <v>1037</v>
      </c>
      <c r="BR13" s="641"/>
      <c r="BS13" s="317">
        <f>AVERAGE(BS7:BS12)</f>
        <v>0.724899945671858</v>
      </c>
      <c r="BU13" s="640" t="s">
        <v>922</v>
      </c>
      <c r="BV13" s="641"/>
      <c r="BW13" s="317">
        <f>AVERAGE(BW7:BW12)</f>
        <v>1.106085788634265</v>
      </c>
      <c r="BY13" s="640" t="s">
        <v>1037</v>
      </c>
      <c r="BZ13" s="641"/>
      <c r="CA13" s="317">
        <f>AVERAGE(CA7:CA12)</f>
        <v>0.80691219968610406</v>
      </c>
      <c r="CC13" s="640" t="s">
        <v>922</v>
      </c>
      <c r="CD13" s="641"/>
      <c r="CE13" s="317">
        <f>AVERAGE(CE7:CE12)</f>
        <v>1.1392932090993033</v>
      </c>
      <c r="CG13" s="640" t="s">
        <v>1037</v>
      </c>
      <c r="CH13" s="641"/>
      <c r="CI13" s="317">
        <f>AVERAGE(CI7:CI12)</f>
        <v>1.0066711940118314</v>
      </c>
      <c r="CK13" s="640" t="s">
        <v>922</v>
      </c>
      <c r="CL13" s="641"/>
      <c r="CM13" s="317">
        <f>AVERAGE(CM7:CM12)</f>
        <v>1.1392932090993033</v>
      </c>
      <c r="CO13" s="640" t="s">
        <v>1037</v>
      </c>
      <c r="CP13" s="641"/>
      <c r="CQ13" s="317">
        <f>AVERAGE(CQ7:CQ12)</f>
        <v>1.0066711940118314</v>
      </c>
      <c r="CS13" s="640" t="s">
        <v>922</v>
      </c>
      <c r="CT13" s="641"/>
      <c r="CU13" s="317">
        <f>AVERAGE(CU7:CU12)</f>
        <v>1.1429614706623017</v>
      </c>
      <c r="CW13" s="640" t="s">
        <v>1037</v>
      </c>
      <c r="CX13" s="641"/>
      <c r="CY13" s="317">
        <f>AVERAGE(CY7:CY12)</f>
        <v>1.0930805565616322</v>
      </c>
    </row>
    <row r="14" spans="1:104" x14ac:dyDescent="0.25">
      <c r="V14" s="195"/>
      <c r="AE14" s="319"/>
    </row>
    <row r="18" spans="28:28" x14ac:dyDescent="0.25">
      <c r="AB18" s="320"/>
    </row>
    <row r="19" spans="28:28" x14ac:dyDescent="0.25">
      <c r="AB19" s="321"/>
    </row>
  </sheetData>
  <sheetProtection algorithmName="SHA-512" hashValue="ut3JHY8m0nz7vwfIRaVo2l6uZDdrt07DVlWUHJ2jfq7c6R1Qqdnh8myRlECuIm84SH12hTK+oTt3dxbPlzvqyQ==" saltValue="SfcJvoMzsoKaIlVtt2enyQ==" spinCount="100000" sheet="1" objects="1" scenarios="1" selectLockedCells="1"/>
  <mergeCells count="120">
    <mergeCell ref="A4:K4"/>
    <mergeCell ref="L4:P5"/>
    <mergeCell ref="Q4:U5"/>
    <mergeCell ref="V4:W5"/>
    <mergeCell ref="X4:X5"/>
    <mergeCell ref="AK5:AN5"/>
    <mergeCell ref="AO5:AR5"/>
    <mergeCell ref="AS5:AV5"/>
    <mergeCell ref="C1:CX3"/>
    <mergeCell ref="AW5:AZ5"/>
    <mergeCell ref="BU4:CB4"/>
    <mergeCell ref="CC4:CJ4"/>
    <mergeCell ref="CK4:CR4"/>
    <mergeCell ref="CS4:CZ4"/>
    <mergeCell ref="A5:C5"/>
    <mergeCell ref="E5:F5"/>
    <mergeCell ref="G5:I5"/>
    <mergeCell ref="J5:J6"/>
    <mergeCell ref="K5:K6"/>
    <mergeCell ref="Y5:AB5"/>
    <mergeCell ref="Y4:AF4"/>
    <mergeCell ref="AG4:AN4"/>
    <mergeCell ref="AO4:AV4"/>
    <mergeCell ref="AW4:BD4"/>
    <mergeCell ref="BE4:BL4"/>
    <mergeCell ref="BM4:BT4"/>
    <mergeCell ref="CW5:CZ5"/>
    <mergeCell ref="BY5:CB5"/>
    <mergeCell ref="CC5:CF5"/>
    <mergeCell ref="CG5:CJ5"/>
    <mergeCell ref="CK5:CN5"/>
    <mergeCell ref="CO5:CR5"/>
    <mergeCell ref="CS5:CV5"/>
    <mergeCell ref="A7:A12"/>
    <mergeCell ref="B7:B12"/>
    <mergeCell ref="C7:C12"/>
    <mergeCell ref="D7:D12"/>
    <mergeCell ref="E7:E12"/>
    <mergeCell ref="F7:F12"/>
    <mergeCell ref="G7:G12"/>
    <mergeCell ref="H7:H12"/>
    <mergeCell ref="I7:I12"/>
    <mergeCell ref="BA5:BD5"/>
    <mergeCell ref="BE5:BH5"/>
    <mergeCell ref="BI5:BL5"/>
    <mergeCell ref="BM5:BP5"/>
    <mergeCell ref="BQ5:BT5"/>
    <mergeCell ref="BU5:BX5"/>
    <mergeCell ref="AC5:AF5"/>
    <mergeCell ref="AG5:AJ5"/>
    <mergeCell ref="P7:P10"/>
    <mergeCell ref="V7:V10"/>
    <mergeCell ref="W7:W12"/>
    <mergeCell ref="X7:X12"/>
    <mergeCell ref="Y7:Y10"/>
    <mergeCell ref="Z7:Z10"/>
    <mergeCell ref="AR7:AR10"/>
    <mergeCell ref="AW7:AW10"/>
    <mergeCell ref="AX7:AX10"/>
    <mergeCell ref="BO7:BO10"/>
    <mergeCell ref="BP7:BP10"/>
    <mergeCell ref="BU7:BU10"/>
    <mergeCell ref="BV7:BV10"/>
    <mergeCell ref="AY7:AY10"/>
    <mergeCell ref="AZ7:AZ10"/>
    <mergeCell ref="BE7:BE10"/>
    <mergeCell ref="J7:J12"/>
    <mergeCell ref="K7:K12"/>
    <mergeCell ref="L7:L10"/>
    <mergeCell ref="M7:M10"/>
    <mergeCell ref="N7:N10"/>
    <mergeCell ref="O7:O9"/>
    <mergeCell ref="AO7:AO10"/>
    <mergeCell ref="AP7:AP10"/>
    <mergeCell ref="AQ7:AQ10"/>
    <mergeCell ref="AA7:AA10"/>
    <mergeCell ref="AB7:AB10"/>
    <mergeCell ref="AG7:AG10"/>
    <mergeCell ref="AH7:AH10"/>
    <mergeCell ref="AI7:AI10"/>
    <mergeCell ref="AJ7:AJ10"/>
    <mergeCell ref="Y13:Z13"/>
    <mergeCell ref="AC13:AD13"/>
    <mergeCell ref="AG13:AH13"/>
    <mergeCell ref="AK13:AL13"/>
    <mergeCell ref="AO13:AP13"/>
    <mergeCell ref="AS13:AT13"/>
    <mergeCell ref="AW13:AX13"/>
    <mergeCell ref="BA13:BB13"/>
    <mergeCell ref="CK7:CK10"/>
    <mergeCell ref="BW7:BW10"/>
    <mergeCell ref="BX7:BX10"/>
    <mergeCell ref="CC7:CC10"/>
    <mergeCell ref="CD7:CD10"/>
    <mergeCell ref="CE7:CE10"/>
    <mergeCell ref="CG13:CH13"/>
    <mergeCell ref="CK13:CL13"/>
    <mergeCell ref="CO13:CP13"/>
    <mergeCell ref="CS13:CT13"/>
    <mergeCell ref="CW13:CX13"/>
    <mergeCell ref="BF7:BF10"/>
    <mergeCell ref="BG7:BG10"/>
    <mergeCell ref="BH7:BH10"/>
    <mergeCell ref="CU7:CU10"/>
    <mergeCell ref="CV7:CV10"/>
    <mergeCell ref="CL7:CL10"/>
    <mergeCell ref="CM7:CM10"/>
    <mergeCell ref="CN7:CN10"/>
    <mergeCell ref="CS7:CS10"/>
    <mergeCell ref="CT7:CT10"/>
    <mergeCell ref="BE13:BF13"/>
    <mergeCell ref="BI13:BJ13"/>
    <mergeCell ref="BM13:BN13"/>
    <mergeCell ref="BQ13:BR13"/>
    <mergeCell ref="BU13:BV13"/>
    <mergeCell ref="BY13:BZ13"/>
    <mergeCell ref="CF7:CF10"/>
    <mergeCell ref="BM7:BM10"/>
    <mergeCell ref="BN7:BN10"/>
    <mergeCell ref="CC13:CD13"/>
  </mergeCells>
  <pageMargins left="0.7" right="0.7" top="0.75" bottom="0.75" header="0.3" footer="0.3"/>
  <pageSetup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5D5C2-96CE-426C-85C2-D294AEF4D89C}">
  <sheetPr>
    <tabColor theme="9"/>
  </sheetPr>
  <dimension ref="A1:ZV556"/>
  <sheetViews>
    <sheetView topLeftCell="J1" zoomScale="98" zoomScaleNormal="98" workbookViewId="0">
      <pane xSplit="3" ySplit="6" topLeftCell="CL7" activePane="bottomRight" state="frozen"/>
      <selection activeCell="J1" sqref="J1"/>
      <selection pane="topRight" activeCell="M1" sqref="M1"/>
      <selection pane="bottomLeft" activeCell="J7" sqref="J7"/>
      <selection pane="bottomRight" activeCell="CK4" sqref="CK4:CR4"/>
    </sheetView>
  </sheetViews>
  <sheetFormatPr baseColWidth="10" defaultColWidth="11.42578125" defaultRowHeight="22.5" customHeight="1" x14ac:dyDescent="0.25"/>
  <cols>
    <col min="1" max="1" width="22.42578125" style="75" customWidth="1"/>
    <col min="2" max="2" width="26.7109375" style="75" customWidth="1"/>
    <col min="3" max="3" width="23.85546875" style="75" customWidth="1"/>
    <col min="4" max="4" width="33.42578125" style="75" customWidth="1"/>
    <col min="5" max="5" width="43.42578125" style="75" bestFit="1" customWidth="1"/>
    <col min="6" max="6" width="17.140625" style="75" customWidth="1"/>
    <col min="7" max="7" width="26.7109375" style="75" customWidth="1"/>
    <col min="8" max="8" width="16.7109375" style="75" customWidth="1"/>
    <col min="9" max="9" width="17.28515625" style="75" customWidth="1"/>
    <col min="10" max="10" width="16.85546875" style="75" customWidth="1"/>
    <col min="11" max="11" width="15.85546875" style="75" customWidth="1"/>
    <col min="12" max="12" width="56.42578125" style="75" customWidth="1"/>
    <col min="13" max="13" width="35.42578125" style="75" customWidth="1"/>
    <col min="14" max="14" width="20.42578125" style="75" customWidth="1"/>
    <col min="15" max="15" width="14.140625" style="75" customWidth="1"/>
    <col min="16" max="16" width="21" style="75" customWidth="1"/>
    <col min="17" max="18" width="31.7109375" style="75" customWidth="1"/>
    <col min="19" max="19" width="17.140625" style="75" bestFit="1" customWidth="1"/>
    <col min="20" max="20" width="10.28515625" style="75" bestFit="1" customWidth="1"/>
    <col min="21" max="21" width="14.42578125" style="75" bestFit="1" customWidth="1"/>
    <col min="22" max="22" width="17" style="103" hidden="1" customWidth="1"/>
    <col min="23" max="23" width="18.42578125" style="103" customWidth="1"/>
    <col min="24" max="24" width="20.7109375" style="75" customWidth="1"/>
    <col min="25" max="25" width="17.5703125" style="75" customWidth="1"/>
    <col min="26" max="26" width="10.42578125" style="75" customWidth="1"/>
    <col min="27" max="27" width="19.140625" style="75" customWidth="1"/>
    <col min="28" max="28" width="43.42578125" style="75" customWidth="1"/>
    <col min="29" max="29" width="11.5703125" style="75" bestFit="1" customWidth="1"/>
    <col min="30" max="30" width="6.140625" style="75" bestFit="1" customWidth="1"/>
    <col min="31" max="31" width="20" style="75" bestFit="1" customWidth="1"/>
    <col min="32" max="32" width="17.28515625" style="75" bestFit="1" customWidth="1"/>
    <col min="33" max="33" width="15.5703125" style="75" customWidth="1"/>
    <col min="34" max="34" width="10.42578125" style="75" customWidth="1"/>
    <col min="35" max="35" width="19" style="75" customWidth="1"/>
    <col min="36" max="36" width="39.140625" style="75" customWidth="1"/>
    <col min="37" max="37" width="11.5703125" style="75" bestFit="1" customWidth="1"/>
    <col min="38" max="38" width="6.140625" style="75" bestFit="1" customWidth="1"/>
    <col min="39" max="39" width="20" style="75" bestFit="1" customWidth="1"/>
    <col min="40" max="40" width="17.28515625" style="75" bestFit="1" customWidth="1"/>
    <col min="41" max="41" width="16.42578125" style="75" customWidth="1"/>
    <col min="42" max="42" width="10.42578125" style="75" customWidth="1"/>
    <col min="43" max="43" width="19.42578125" style="75" customWidth="1"/>
    <col min="44" max="44" width="43.5703125" style="75" customWidth="1"/>
    <col min="45" max="45" width="11.5703125" style="75" bestFit="1" customWidth="1"/>
    <col min="46" max="46" width="6.140625" style="75" bestFit="1" customWidth="1"/>
    <col min="47" max="47" width="20" style="75" bestFit="1" customWidth="1"/>
    <col min="48" max="48" width="17.28515625" style="75" bestFit="1" customWidth="1"/>
    <col min="49" max="49" width="18" style="100" customWidth="1"/>
    <col min="50" max="50" width="10.42578125" style="100" customWidth="1"/>
    <col min="51" max="51" width="21.85546875" style="100" customWidth="1"/>
    <col min="52" max="52" width="47" style="75" customWidth="1"/>
    <col min="53" max="53" width="11.5703125" style="75" bestFit="1" customWidth="1"/>
    <col min="54" max="54" width="6.140625" style="75" bestFit="1" customWidth="1"/>
    <col min="55" max="55" width="20" style="75" bestFit="1" customWidth="1"/>
    <col min="56" max="56" width="17.28515625" style="75" bestFit="1" customWidth="1"/>
    <col min="57" max="57" width="17.28515625" style="100" customWidth="1"/>
    <col min="58" max="58" width="10.42578125" style="100" customWidth="1"/>
    <col min="59" max="59" width="21.85546875" style="100" customWidth="1"/>
    <col min="60" max="60" width="50.7109375" style="75" customWidth="1"/>
    <col min="61" max="61" width="11.5703125" style="75" bestFit="1" customWidth="1"/>
    <col min="62" max="62" width="6.140625" style="75" bestFit="1" customWidth="1"/>
    <col min="63" max="63" width="20" style="75" bestFit="1" customWidth="1"/>
    <col min="64" max="64" width="17.28515625" style="75" bestFit="1" customWidth="1"/>
    <col min="65" max="65" width="17" style="100" customWidth="1"/>
    <col min="66" max="66" width="10.42578125" style="100" customWidth="1"/>
    <col min="67" max="67" width="21.85546875" style="100" customWidth="1"/>
    <col min="68" max="68" width="50.7109375" style="75" customWidth="1"/>
    <col min="69" max="69" width="11.5703125" style="75" bestFit="1" customWidth="1"/>
    <col min="70" max="70" width="6.140625" style="75" bestFit="1" customWidth="1"/>
    <col min="71" max="71" width="20" style="75" bestFit="1" customWidth="1"/>
    <col min="72" max="72" width="17.28515625" style="75" bestFit="1" customWidth="1"/>
    <col min="73" max="75" width="11.42578125" style="17"/>
    <col min="76" max="76" width="58.7109375" style="17" customWidth="1"/>
    <col min="77" max="77" width="11.42578125" style="17"/>
    <col min="78" max="78" width="6.140625" style="17" bestFit="1" customWidth="1"/>
    <col min="79" max="79" width="20" style="17" bestFit="1" customWidth="1"/>
    <col min="80" max="80" width="17.28515625" style="17" bestFit="1" customWidth="1"/>
    <col min="81" max="82" width="11.42578125" style="17"/>
    <col min="83" max="83" width="20" style="17" bestFit="1" customWidth="1"/>
    <col min="84" max="84" width="54" style="17" customWidth="1"/>
    <col min="85" max="85" width="11.42578125" style="17"/>
    <col min="86" max="86" width="6.140625" style="17" bestFit="1" customWidth="1"/>
    <col min="87" max="87" width="20" style="17" bestFit="1" customWidth="1"/>
    <col min="88" max="88" width="17.28515625" style="17" bestFit="1" customWidth="1"/>
    <col min="89" max="91" width="11.42578125" style="17"/>
    <col min="92" max="92" width="62.5703125" style="17" customWidth="1"/>
    <col min="93" max="93" width="11.42578125" style="17"/>
    <col min="94" max="94" width="6.140625" style="17" bestFit="1" customWidth="1"/>
    <col min="95" max="95" width="20" style="17" bestFit="1" customWidth="1"/>
    <col min="96" max="96" width="17.28515625" style="17" bestFit="1" customWidth="1"/>
    <col min="97" max="698" width="11.42578125" style="17"/>
    <col min="699" max="16384" width="11.42578125" style="75"/>
  </cols>
  <sheetData>
    <row r="1" spans="1:698" s="1" customFormat="1" ht="15.75" customHeight="1" x14ac:dyDescent="0.25">
      <c r="C1" s="383" t="s">
        <v>0</v>
      </c>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c r="CA1" s="383"/>
      <c r="CB1" s="383"/>
      <c r="CC1" s="383"/>
      <c r="CD1" s="383"/>
      <c r="CE1" s="383"/>
      <c r="CF1" s="383"/>
      <c r="CG1" s="383"/>
      <c r="CH1" s="383"/>
      <c r="CI1" s="383"/>
      <c r="CJ1" s="383"/>
      <c r="CK1" s="383"/>
      <c r="CL1" s="383"/>
      <c r="CM1" s="383"/>
      <c r="CN1" s="383"/>
      <c r="CO1" s="383"/>
      <c r="CP1" s="384"/>
      <c r="CQ1" s="2" t="s">
        <v>1</v>
      </c>
      <c r="CR1" s="3">
        <v>43458</v>
      </c>
    </row>
    <row r="2" spans="1:698" s="1" customFormat="1" ht="30" customHeight="1" x14ac:dyDescent="0.25">
      <c r="C2" s="383"/>
      <c r="D2" s="383"/>
      <c r="E2" s="383"/>
      <c r="F2" s="383"/>
      <c r="G2" s="383"/>
      <c r="H2" s="383"/>
      <c r="I2" s="383"/>
      <c r="J2" s="383"/>
      <c r="K2" s="383"/>
      <c r="L2" s="383"/>
      <c r="M2" s="383"/>
      <c r="N2" s="383"/>
      <c r="O2" s="383"/>
      <c r="P2" s="383"/>
      <c r="Q2" s="383"/>
      <c r="R2" s="383"/>
      <c r="S2" s="383"/>
      <c r="T2" s="383"/>
      <c r="U2" s="383"/>
      <c r="V2" s="383"/>
      <c r="W2" s="383"/>
      <c r="X2" s="383"/>
      <c r="Y2" s="383"/>
      <c r="Z2" s="383"/>
      <c r="AA2" s="383"/>
      <c r="AB2" s="383"/>
      <c r="AC2" s="383"/>
      <c r="AD2" s="383"/>
      <c r="AE2" s="383"/>
      <c r="AF2" s="383"/>
      <c r="AG2" s="383"/>
      <c r="AH2" s="383"/>
      <c r="AI2" s="383"/>
      <c r="AJ2" s="383"/>
      <c r="AK2" s="383"/>
      <c r="AL2" s="383"/>
      <c r="AM2" s="383"/>
      <c r="AN2" s="383"/>
      <c r="AO2" s="383"/>
      <c r="AP2" s="383"/>
      <c r="AQ2" s="383"/>
      <c r="AR2" s="383"/>
      <c r="AS2" s="383"/>
      <c r="AT2" s="383"/>
      <c r="AU2" s="383"/>
      <c r="AV2" s="383"/>
      <c r="AW2" s="383"/>
      <c r="AX2" s="383"/>
      <c r="AY2" s="383"/>
      <c r="AZ2" s="383"/>
      <c r="BA2" s="383"/>
      <c r="BB2" s="383"/>
      <c r="BC2" s="383"/>
      <c r="BD2" s="383"/>
      <c r="BE2" s="383"/>
      <c r="BF2" s="383"/>
      <c r="BG2" s="383"/>
      <c r="BH2" s="383"/>
      <c r="BI2" s="383"/>
      <c r="BJ2" s="383"/>
      <c r="BK2" s="383"/>
      <c r="BL2" s="383"/>
      <c r="BM2" s="383"/>
      <c r="BN2" s="383"/>
      <c r="BO2" s="383"/>
      <c r="BP2" s="383"/>
      <c r="BQ2" s="383"/>
      <c r="BR2" s="383"/>
      <c r="BS2" s="383"/>
      <c r="BT2" s="383"/>
      <c r="BU2" s="383"/>
      <c r="BV2" s="383"/>
      <c r="BW2" s="383"/>
      <c r="BX2" s="383"/>
      <c r="BY2" s="383"/>
      <c r="BZ2" s="383"/>
      <c r="CA2" s="383"/>
      <c r="CB2" s="383"/>
      <c r="CC2" s="383"/>
      <c r="CD2" s="383"/>
      <c r="CE2" s="383"/>
      <c r="CF2" s="383"/>
      <c r="CG2" s="383"/>
      <c r="CH2" s="383"/>
      <c r="CI2" s="383"/>
      <c r="CJ2" s="383"/>
      <c r="CK2" s="383"/>
      <c r="CL2" s="383"/>
      <c r="CM2" s="383"/>
      <c r="CN2" s="383"/>
      <c r="CO2" s="383"/>
      <c r="CP2" s="384"/>
      <c r="CQ2" s="2" t="s">
        <v>2</v>
      </c>
      <c r="CR2" s="2">
        <v>5</v>
      </c>
    </row>
    <row r="3" spans="1:698" s="1" customFormat="1" ht="29.25" customHeight="1" x14ac:dyDescent="0.25">
      <c r="C3" s="383"/>
      <c r="D3" s="383"/>
      <c r="E3" s="383"/>
      <c r="F3" s="383"/>
      <c r="G3" s="383"/>
      <c r="H3" s="383"/>
      <c r="I3" s="383"/>
      <c r="J3" s="383"/>
      <c r="K3" s="383"/>
      <c r="L3" s="383"/>
      <c r="M3" s="383"/>
      <c r="N3" s="383"/>
      <c r="O3" s="383"/>
      <c r="P3" s="383"/>
      <c r="Q3" s="383"/>
      <c r="R3" s="383"/>
      <c r="S3" s="383"/>
      <c r="T3" s="383"/>
      <c r="U3" s="383"/>
      <c r="V3" s="383"/>
      <c r="W3" s="383"/>
      <c r="X3" s="383"/>
      <c r="Y3" s="383"/>
      <c r="Z3" s="383"/>
      <c r="AA3" s="383"/>
      <c r="AB3" s="383"/>
      <c r="AC3" s="383"/>
      <c r="AD3" s="383"/>
      <c r="AE3" s="383"/>
      <c r="AF3" s="383"/>
      <c r="AG3" s="383"/>
      <c r="AH3" s="383"/>
      <c r="AI3" s="383"/>
      <c r="AJ3" s="383"/>
      <c r="AK3" s="383"/>
      <c r="AL3" s="383"/>
      <c r="AM3" s="383"/>
      <c r="AN3" s="383"/>
      <c r="AO3" s="383"/>
      <c r="AP3" s="383"/>
      <c r="AQ3" s="383"/>
      <c r="AR3" s="383"/>
      <c r="AS3" s="383"/>
      <c r="AT3" s="383"/>
      <c r="AU3" s="383"/>
      <c r="AV3" s="383"/>
      <c r="AW3" s="383"/>
      <c r="AX3" s="383"/>
      <c r="AY3" s="383"/>
      <c r="AZ3" s="383"/>
      <c r="BA3" s="383"/>
      <c r="BB3" s="383"/>
      <c r="BC3" s="383"/>
      <c r="BD3" s="383"/>
      <c r="BE3" s="383"/>
      <c r="BF3" s="383"/>
      <c r="BG3" s="383"/>
      <c r="BH3" s="383"/>
      <c r="BI3" s="383"/>
      <c r="BJ3" s="383"/>
      <c r="BK3" s="383"/>
      <c r="BL3" s="383"/>
      <c r="BM3" s="383"/>
      <c r="BN3" s="383"/>
      <c r="BO3" s="383"/>
      <c r="BP3" s="383"/>
      <c r="BQ3" s="383"/>
      <c r="BR3" s="383"/>
      <c r="BS3" s="383"/>
      <c r="BT3" s="383"/>
      <c r="BU3" s="383"/>
      <c r="BV3" s="383"/>
      <c r="BW3" s="383"/>
      <c r="BX3" s="383"/>
      <c r="BY3" s="383"/>
      <c r="BZ3" s="383"/>
      <c r="CA3" s="383"/>
      <c r="CB3" s="383"/>
      <c r="CC3" s="383"/>
      <c r="CD3" s="383"/>
      <c r="CE3" s="383"/>
      <c r="CF3" s="383"/>
      <c r="CG3" s="383"/>
      <c r="CH3" s="383"/>
      <c r="CI3" s="383"/>
      <c r="CJ3" s="383"/>
      <c r="CK3" s="383"/>
      <c r="CL3" s="383"/>
      <c r="CM3" s="383"/>
      <c r="CN3" s="383"/>
      <c r="CO3" s="383"/>
      <c r="CP3" s="384"/>
      <c r="CQ3" s="2" t="s">
        <v>3</v>
      </c>
      <c r="CR3" s="2" t="s">
        <v>4</v>
      </c>
    </row>
    <row r="4" spans="1:698" s="5" customFormat="1" ht="15" x14ac:dyDescent="0.25">
      <c r="A4" s="419" t="s">
        <v>5</v>
      </c>
      <c r="B4" s="420"/>
      <c r="C4" s="420"/>
      <c r="D4" s="420"/>
      <c r="E4" s="420"/>
      <c r="F4" s="420"/>
      <c r="G4" s="420"/>
      <c r="H4" s="420"/>
      <c r="I4" s="420"/>
      <c r="J4" s="420"/>
      <c r="K4" s="421"/>
      <c r="L4" s="422" t="s">
        <v>6</v>
      </c>
      <c r="M4" s="423"/>
      <c r="N4" s="423"/>
      <c r="O4" s="423"/>
      <c r="P4" s="424"/>
      <c r="Q4" s="422" t="s">
        <v>7</v>
      </c>
      <c r="R4" s="423"/>
      <c r="S4" s="423"/>
      <c r="T4" s="423"/>
      <c r="U4" s="424"/>
      <c r="V4" s="425" t="s">
        <v>8</v>
      </c>
      <c r="W4" s="426"/>
      <c r="X4" s="429" t="s">
        <v>9</v>
      </c>
      <c r="Y4" s="399" t="s">
        <v>10</v>
      </c>
      <c r="Z4" s="400"/>
      <c r="AA4" s="400"/>
      <c r="AB4" s="400"/>
      <c r="AC4" s="400"/>
      <c r="AD4" s="400"/>
      <c r="AE4" s="400"/>
      <c r="AF4" s="401"/>
      <c r="AG4" s="399" t="s">
        <v>11</v>
      </c>
      <c r="AH4" s="400"/>
      <c r="AI4" s="400"/>
      <c r="AJ4" s="400"/>
      <c r="AK4" s="400"/>
      <c r="AL4" s="400"/>
      <c r="AM4" s="400"/>
      <c r="AN4" s="401"/>
      <c r="AO4" s="399" t="s">
        <v>12</v>
      </c>
      <c r="AP4" s="400"/>
      <c r="AQ4" s="400"/>
      <c r="AR4" s="400"/>
      <c r="AS4" s="400"/>
      <c r="AT4" s="400"/>
      <c r="AU4" s="400"/>
      <c r="AV4" s="401"/>
      <c r="AW4" s="399" t="s">
        <v>13</v>
      </c>
      <c r="AX4" s="400"/>
      <c r="AY4" s="400"/>
      <c r="AZ4" s="400"/>
      <c r="BA4" s="400"/>
      <c r="BB4" s="400"/>
      <c r="BC4" s="400"/>
      <c r="BD4" s="401"/>
      <c r="BE4" s="399" t="s">
        <v>14</v>
      </c>
      <c r="BF4" s="400"/>
      <c r="BG4" s="400"/>
      <c r="BH4" s="400"/>
      <c r="BI4" s="400"/>
      <c r="BJ4" s="400"/>
      <c r="BK4" s="400"/>
      <c r="BL4" s="401"/>
      <c r="BM4" s="399" t="s">
        <v>15</v>
      </c>
      <c r="BN4" s="400"/>
      <c r="BO4" s="400"/>
      <c r="BP4" s="400"/>
      <c r="BQ4" s="400"/>
      <c r="BR4" s="400"/>
      <c r="BS4" s="400"/>
      <c r="BT4" s="401"/>
      <c r="BU4" s="399" t="s">
        <v>16</v>
      </c>
      <c r="BV4" s="400"/>
      <c r="BW4" s="400"/>
      <c r="BX4" s="400"/>
      <c r="BY4" s="400"/>
      <c r="BZ4" s="400"/>
      <c r="CA4" s="400"/>
      <c r="CB4" s="401"/>
      <c r="CC4" s="399" t="s">
        <v>382</v>
      </c>
      <c r="CD4" s="400"/>
      <c r="CE4" s="400"/>
      <c r="CF4" s="400"/>
      <c r="CG4" s="400"/>
      <c r="CH4" s="400"/>
      <c r="CI4" s="400"/>
      <c r="CJ4" s="401"/>
      <c r="CK4" s="399" t="s">
        <v>595</v>
      </c>
      <c r="CL4" s="400"/>
      <c r="CM4" s="400"/>
      <c r="CN4" s="400"/>
      <c r="CO4" s="400"/>
      <c r="CP4" s="400"/>
      <c r="CQ4" s="400"/>
      <c r="CR4" s="401"/>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c r="IZ4" s="4"/>
      <c r="JA4" s="4"/>
      <c r="JB4" s="4"/>
      <c r="JC4" s="4"/>
      <c r="JD4" s="4"/>
      <c r="JE4" s="4"/>
      <c r="JF4" s="4"/>
      <c r="JG4" s="4"/>
      <c r="JH4" s="4"/>
      <c r="JI4" s="4"/>
      <c r="JJ4" s="4"/>
      <c r="JK4" s="4"/>
      <c r="JL4" s="4"/>
      <c r="JM4" s="4"/>
      <c r="JN4" s="4"/>
      <c r="JO4" s="4"/>
      <c r="JP4" s="4"/>
      <c r="JQ4" s="4"/>
      <c r="JR4" s="4"/>
      <c r="JS4" s="4"/>
      <c r="JT4" s="4"/>
      <c r="JU4" s="4"/>
      <c r="JV4" s="4"/>
      <c r="JW4" s="4"/>
      <c r="JX4" s="4"/>
      <c r="JY4" s="4"/>
      <c r="JZ4" s="4"/>
      <c r="KA4" s="4"/>
      <c r="KB4" s="4"/>
      <c r="KC4" s="4"/>
      <c r="KD4" s="4"/>
      <c r="KE4" s="4"/>
      <c r="KF4" s="4"/>
      <c r="KG4" s="4"/>
      <c r="KH4" s="4"/>
      <c r="KI4" s="4"/>
      <c r="KJ4" s="4"/>
      <c r="KK4" s="4"/>
      <c r="KL4" s="4"/>
      <c r="KM4" s="4"/>
      <c r="KN4" s="4"/>
      <c r="KO4" s="4"/>
      <c r="KP4" s="4"/>
      <c r="KQ4" s="4"/>
      <c r="KR4" s="4"/>
      <c r="KS4" s="4"/>
      <c r="KT4" s="4"/>
      <c r="KU4" s="4"/>
      <c r="KV4" s="4"/>
      <c r="KW4" s="4"/>
      <c r="KX4" s="4"/>
      <c r="KY4" s="4"/>
      <c r="KZ4" s="4"/>
      <c r="LA4" s="4"/>
      <c r="LB4" s="4"/>
      <c r="LC4" s="4"/>
      <c r="LD4" s="4"/>
      <c r="LE4" s="4"/>
      <c r="LF4" s="4"/>
      <c r="LG4" s="4"/>
      <c r="LH4" s="4"/>
      <c r="LI4" s="4"/>
      <c r="LJ4" s="4"/>
      <c r="LK4" s="4"/>
      <c r="LL4" s="4"/>
      <c r="LM4" s="4"/>
      <c r="LN4" s="4"/>
      <c r="LO4" s="4"/>
      <c r="LP4" s="4"/>
      <c r="LQ4" s="4"/>
      <c r="LR4" s="4"/>
      <c r="LS4" s="4"/>
      <c r="LT4" s="4"/>
      <c r="LU4" s="4"/>
      <c r="LV4" s="4"/>
      <c r="LW4" s="4"/>
      <c r="LX4" s="4"/>
      <c r="LY4" s="4"/>
      <c r="LZ4" s="4"/>
      <c r="MA4" s="4"/>
      <c r="MB4" s="4"/>
      <c r="MC4" s="4"/>
      <c r="MD4" s="4"/>
      <c r="ME4" s="4"/>
      <c r="MF4" s="4"/>
      <c r="MG4" s="4"/>
      <c r="MH4" s="4"/>
      <c r="MI4" s="4"/>
      <c r="MJ4" s="4"/>
      <c r="MK4" s="4"/>
      <c r="ML4" s="4"/>
      <c r="MM4" s="4"/>
      <c r="MN4" s="4"/>
      <c r="MO4" s="4"/>
      <c r="MP4" s="4"/>
      <c r="MQ4" s="4"/>
      <c r="MR4" s="4"/>
      <c r="MS4" s="4"/>
      <c r="MT4" s="4"/>
      <c r="MU4" s="4"/>
      <c r="MV4" s="4"/>
      <c r="MW4" s="4"/>
      <c r="MX4" s="4"/>
      <c r="MY4" s="4"/>
      <c r="MZ4" s="4"/>
      <c r="NA4" s="4"/>
      <c r="NB4" s="4"/>
      <c r="NC4" s="4"/>
      <c r="ND4" s="4"/>
      <c r="NE4" s="4"/>
      <c r="NF4" s="4"/>
      <c r="NG4" s="4"/>
      <c r="NH4" s="4"/>
      <c r="NI4" s="4"/>
      <c r="NJ4" s="4"/>
      <c r="NK4" s="4"/>
      <c r="NL4" s="4"/>
      <c r="NM4" s="4"/>
      <c r="NN4" s="4"/>
      <c r="NO4" s="4"/>
      <c r="NP4" s="4"/>
      <c r="NQ4" s="4"/>
      <c r="NR4" s="4"/>
      <c r="NS4" s="4"/>
      <c r="NT4" s="4"/>
      <c r="NU4" s="4"/>
      <c r="NV4" s="4"/>
      <c r="NW4" s="4"/>
      <c r="NX4" s="4"/>
      <c r="NY4" s="4"/>
      <c r="NZ4" s="4"/>
      <c r="OA4" s="4"/>
      <c r="OB4" s="4"/>
      <c r="OC4" s="4"/>
      <c r="OD4" s="4"/>
      <c r="OE4" s="4"/>
      <c r="OF4" s="4"/>
      <c r="OG4" s="4"/>
      <c r="OH4" s="4"/>
      <c r="OI4" s="4"/>
      <c r="OJ4" s="4"/>
      <c r="OK4" s="4"/>
      <c r="OL4" s="4"/>
      <c r="OM4" s="4"/>
      <c r="ON4" s="4"/>
      <c r="OO4" s="4"/>
      <c r="OP4" s="4"/>
      <c r="OQ4" s="4"/>
      <c r="OR4" s="4"/>
      <c r="OS4" s="4"/>
      <c r="OT4" s="4"/>
      <c r="OU4" s="4"/>
      <c r="OV4" s="4"/>
      <c r="OW4" s="4"/>
      <c r="OX4" s="4"/>
      <c r="OY4" s="4"/>
      <c r="OZ4" s="4"/>
      <c r="PA4" s="4"/>
      <c r="PB4" s="4"/>
      <c r="PC4" s="4"/>
      <c r="PD4" s="4"/>
      <c r="PE4" s="4"/>
      <c r="PF4" s="4"/>
      <c r="PG4" s="4"/>
      <c r="PH4" s="4"/>
      <c r="PI4" s="4"/>
      <c r="PJ4" s="4"/>
      <c r="PK4" s="4"/>
      <c r="PL4" s="4"/>
      <c r="PM4" s="4"/>
      <c r="PN4" s="4"/>
      <c r="PO4" s="4"/>
      <c r="PP4" s="4"/>
      <c r="PQ4" s="4"/>
      <c r="PR4" s="4"/>
      <c r="PS4" s="4"/>
      <c r="PT4" s="4"/>
      <c r="PU4" s="4"/>
      <c r="PV4" s="4"/>
      <c r="PW4" s="4"/>
      <c r="PX4" s="4"/>
      <c r="PY4" s="4"/>
      <c r="PZ4" s="4"/>
      <c r="QA4" s="4"/>
      <c r="QB4" s="4"/>
      <c r="QC4" s="4"/>
      <c r="QD4" s="4"/>
      <c r="QE4" s="4"/>
      <c r="QF4" s="4"/>
      <c r="QG4" s="4"/>
      <c r="QH4" s="4"/>
      <c r="QI4" s="4"/>
      <c r="QJ4" s="4"/>
      <c r="QK4" s="4"/>
      <c r="QL4" s="4"/>
      <c r="QM4" s="4"/>
      <c r="QN4" s="4"/>
      <c r="QO4" s="4"/>
      <c r="QP4" s="4"/>
      <c r="QQ4" s="4"/>
      <c r="QR4" s="4"/>
      <c r="QS4" s="4"/>
      <c r="QT4" s="4"/>
      <c r="QU4" s="4"/>
      <c r="QV4" s="4"/>
      <c r="QW4" s="4"/>
      <c r="QX4" s="4"/>
      <c r="QY4" s="4"/>
      <c r="QZ4" s="4"/>
      <c r="RA4" s="4"/>
      <c r="RB4" s="4"/>
      <c r="RC4" s="4"/>
      <c r="RD4" s="4"/>
      <c r="RE4" s="4"/>
      <c r="RF4" s="4"/>
      <c r="RG4" s="4"/>
      <c r="RH4" s="4"/>
      <c r="RI4" s="4"/>
      <c r="RJ4" s="4"/>
      <c r="RK4" s="4"/>
      <c r="RL4" s="4"/>
      <c r="RM4" s="4"/>
      <c r="RN4" s="4"/>
      <c r="RO4" s="4"/>
      <c r="RP4" s="4"/>
      <c r="RQ4" s="4"/>
      <c r="RR4" s="4"/>
      <c r="RS4" s="4"/>
      <c r="RT4" s="4"/>
      <c r="RU4" s="4"/>
      <c r="RV4" s="4"/>
      <c r="RW4" s="4"/>
      <c r="RX4" s="4"/>
      <c r="RY4" s="4"/>
      <c r="RZ4" s="4"/>
      <c r="SA4" s="4"/>
      <c r="SB4" s="4"/>
      <c r="SC4" s="4"/>
      <c r="SD4" s="4"/>
      <c r="SE4" s="4"/>
      <c r="SF4" s="4"/>
      <c r="SG4" s="4"/>
      <c r="SH4" s="4"/>
      <c r="SI4" s="4"/>
      <c r="SJ4" s="4"/>
      <c r="SK4" s="4"/>
      <c r="SL4" s="4"/>
      <c r="SM4" s="4"/>
      <c r="SN4" s="4"/>
      <c r="SO4" s="4"/>
      <c r="SP4" s="4"/>
      <c r="SQ4" s="4"/>
      <c r="SR4" s="4"/>
      <c r="SS4" s="4"/>
      <c r="ST4" s="4"/>
      <c r="SU4" s="4"/>
      <c r="SV4" s="4"/>
      <c r="SW4" s="4"/>
      <c r="SX4" s="4"/>
      <c r="SY4" s="4"/>
      <c r="SZ4" s="4"/>
      <c r="TA4" s="4"/>
      <c r="TB4" s="4"/>
      <c r="TC4" s="4"/>
      <c r="TD4" s="4"/>
      <c r="TE4" s="4"/>
      <c r="TF4" s="4"/>
      <c r="TG4" s="4"/>
      <c r="TH4" s="4"/>
      <c r="TI4" s="4"/>
      <c r="TJ4" s="4"/>
      <c r="TK4" s="4"/>
      <c r="TL4" s="4"/>
      <c r="TM4" s="4"/>
      <c r="TN4" s="4"/>
      <c r="TO4" s="4"/>
      <c r="TP4" s="4"/>
      <c r="TQ4" s="4"/>
      <c r="TR4" s="4"/>
      <c r="TS4" s="4"/>
      <c r="TT4" s="4"/>
      <c r="TU4" s="4"/>
      <c r="TV4" s="4"/>
      <c r="TW4" s="4"/>
      <c r="TX4" s="4"/>
      <c r="TY4" s="4"/>
      <c r="TZ4" s="4"/>
      <c r="UA4" s="4"/>
      <c r="UB4" s="4"/>
      <c r="UC4" s="4"/>
      <c r="UD4" s="4"/>
      <c r="UE4" s="4"/>
      <c r="UF4" s="4"/>
      <c r="UG4" s="4"/>
      <c r="UH4" s="4"/>
      <c r="UI4" s="4"/>
      <c r="UJ4" s="4"/>
      <c r="UK4" s="4"/>
      <c r="UL4" s="4"/>
      <c r="UM4" s="4"/>
      <c r="UN4" s="4"/>
      <c r="UO4" s="4"/>
      <c r="UP4" s="4"/>
      <c r="UQ4" s="4"/>
      <c r="UR4" s="4"/>
      <c r="US4" s="4"/>
      <c r="UT4" s="4"/>
      <c r="UU4" s="4"/>
      <c r="UV4" s="4"/>
      <c r="UW4" s="4"/>
      <c r="UX4" s="4"/>
      <c r="UY4" s="4"/>
      <c r="UZ4" s="4"/>
      <c r="VA4" s="4"/>
      <c r="VB4" s="4"/>
      <c r="VC4" s="4"/>
      <c r="VD4" s="4"/>
      <c r="VE4" s="4"/>
      <c r="VF4" s="4"/>
      <c r="VG4" s="4"/>
      <c r="VH4" s="4"/>
      <c r="VI4" s="4"/>
      <c r="VJ4" s="4"/>
      <c r="VK4" s="4"/>
      <c r="VL4" s="4"/>
      <c r="VM4" s="4"/>
      <c r="VN4" s="4"/>
      <c r="VO4" s="4"/>
      <c r="VP4" s="4"/>
      <c r="VQ4" s="4"/>
      <c r="VR4" s="4"/>
      <c r="VS4" s="4"/>
      <c r="VT4" s="4"/>
      <c r="VU4" s="4"/>
      <c r="VV4" s="4"/>
      <c r="VW4" s="4"/>
      <c r="VX4" s="4"/>
      <c r="VY4" s="4"/>
      <c r="VZ4" s="4"/>
      <c r="WA4" s="4"/>
      <c r="WB4" s="4"/>
      <c r="WC4" s="4"/>
      <c r="WD4" s="4"/>
      <c r="WE4" s="4"/>
      <c r="WF4" s="4"/>
      <c r="WG4" s="4"/>
      <c r="WH4" s="4"/>
      <c r="WI4" s="4"/>
      <c r="WJ4" s="4"/>
      <c r="WK4" s="4"/>
      <c r="WL4" s="4"/>
      <c r="WM4" s="4"/>
      <c r="WN4" s="4"/>
      <c r="WO4" s="4"/>
      <c r="WP4" s="4"/>
      <c r="WQ4" s="4"/>
      <c r="WR4" s="4"/>
      <c r="WS4" s="4"/>
      <c r="WT4" s="4"/>
      <c r="WU4" s="4"/>
      <c r="WV4" s="4"/>
      <c r="WW4" s="4"/>
      <c r="WX4" s="4"/>
      <c r="WY4" s="4"/>
      <c r="WZ4" s="4"/>
      <c r="XA4" s="4"/>
      <c r="XB4" s="4"/>
      <c r="XC4" s="4"/>
      <c r="XD4" s="4"/>
      <c r="XE4" s="4"/>
      <c r="XF4" s="4"/>
      <c r="XG4" s="4"/>
      <c r="XH4" s="4"/>
      <c r="XI4" s="4"/>
      <c r="XJ4" s="4"/>
      <c r="XK4" s="4"/>
      <c r="XL4" s="4"/>
      <c r="XM4" s="4"/>
      <c r="XN4" s="4"/>
      <c r="XO4" s="4"/>
      <c r="XP4" s="4"/>
      <c r="XQ4" s="4"/>
      <c r="XR4" s="4"/>
      <c r="XS4" s="4"/>
      <c r="XT4" s="4"/>
      <c r="XU4" s="4"/>
      <c r="XV4" s="4"/>
      <c r="XW4" s="4"/>
      <c r="XX4" s="4"/>
      <c r="XY4" s="4"/>
      <c r="XZ4" s="4"/>
      <c r="YA4" s="4"/>
      <c r="YB4" s="4"/>
      <c r="YC4" s="4"/>
      <c r="YD4" s="4"/>
      <c r="YE4" s="4"/>
      <c r="YF4" s="4"/>
      <c r="YG4" s="4"/>
      <c r="YH4" s="4"/>
      <c r="YI4" s="4"/>
      <c r="YJ4" s="4"/>
      <c r="YK4" s="4"/>
      <c r="YL4" s="4"/>
      <c r="YM4" s="4"/>
      <c r="YN4" s="4"/>
      <c r="YO4" s="4"/>
      <c r="YP4" s="4"/>
      <c r="YQ4" s="4"/>
      <c r="YR4" s="4"/>
      <c r="YS4" s="4"/>
      <c r="YT4" s="4"/>
      <c r="YU4" s="4"/>
      <c r="YV4" s="4"/>
      <c r="YW4" s="4"/>
      <c r="YX4" s="4"/>
      <c r="YY4" s="4"/>
      <c r="YZ4" s="4"/>
      <c r="ZA4" s="4"/>
      <c r="ZB4" s="4"/>
      <c r="ZC4" s="4"/>
      <c r="ZD4" s="4"/>
      <c r="ZE4" s="4"/>
      <c r="ZF4" s="4"/>
      <c r="ZG4" s="4"/>
      <c r="ZH4" s="4"/>
      <c r="ZI4" s="4"/>
      <c r="ZJ4" s="4"/>
      <c r="ZK4" s="4"/>
      <c r="ZL4" s="4"/>
      <c r="ZM4" s="4"/>
      <c r="ZN4" s="4"/>
      <c r="ZO4" s="4"/>
      <c r="ZP4" s="4"/>
      <c r="ZQ4" s="4"/>
      <c r="ZR4" s="4"/>
      <c r="ZS4" s="4"/>
      <c r="ZT4" s="4"/>
      <c r="ZU4" s="4"/>
      <c r="ZV4" s="4"/>
    </row>
    <row r="5" spans="1:698" s="372" customFormat="1" ht="15" x14ac:dyDescent="0.25">
      <c r="A5" s="402" t="s">
        <v>17</v>
      </c>
      <c r="B5" s="403"/>
      <c r="C5" s="406"/>
      <c r="D5" s="370" t="s">
        <v>18</v>
      </c>
      <c r="E5" s="402" t="s">
        <v>19</v>
      </c>
      <c r="F5" s="406"/>
      <c r="G5" s="402" t="s">
        <v>20</v>
      </c>
      <c r="H5" s="403"/>
      <c r="I5" s="406"/>
      <c r="J5" s="417" t="s">
        <v>21</v>
      </c>
      <c r="K5" s="417" t="s">
        <v>22</v>
      </c>
      <c r="L5" s="399"/>
      <c r="M5" s="400"/>
      <c r="N5" s="400"/>
      <c r="O5" s="400"/>
      <c r="P5" s="401"/>
      <c r="Q5" s="399"/>
      <c r="R5" s="400"/>
      <c r="S5" s="400"/>
      <c r="T5" s="400"/>
      <c r="U5" s="401"/>
      <c r="V5" s="427"/>
      <c r="W5" s="428"/>
      <c r="X5" s="430"/>
      <c r="Y5" s="402" t="s">
        <v>23</v>
      </c>
      <c r="Z5" s="403"/>
      <c r="AA5" s="403"/>
      <c r="AB5" s="404"/>
      <c r="AC5" s="405" t="s">
        <v>24</v>
      </c>
      <c r="AD5" s="403"/>
      <c r="AE5" s="403"/>
      <c r="AF5" s="406"/>
      <c r="AG5" s="402" t="s">
        <v>23</v>
      </c>
      <c r="AH5" s="403"/>
      <c r="AI5" s="403"/>
      <c r="AJ5" s="404"/>
      <c r="AK5" s="405" t="s">
        <v>24</v>
      </c>
      <c r="AL5" s="403"/>
      <c r="AM5" s="403"/>
      <c r="AN5" s="406"/>
      <c r="AO5" s="402" t="s">
        <v>23</v>
      </c>
      <c r="AP5" s="403"/>
      <c r="AQ5" s="403"/>
      <c r="AR5" s="404"/>
      <c r="AS5" s="405" t="s">
        <v>24</v>
      </c>
      <c r="AT5" s="403"/>
      <c r="AU5" s="403"/>
      <c r="AV5" s="406"/>
      <c r="AW5" s="402" t="s">
        <v>23</v>
      </c>
      <c r="AX5" s="403"/>
      <c r="AY5" s="403"/>
      <c r="AZ5" s="404"/>
      <c r="BA5" s="405" t="s">
        <v>24</v>
      </c>
      <c r="BB5" s="403"/>
      <c r="BC5" s="403"/>
      <c r="BD5" s="406"/>
      <c r="BE5" s="402" t="s">
        <v>23</v>
      </c>
      <c r="BF5" s="403"/>
      <c r="BG5" s="403"/>
      <c r="BH5" s="404"/>
      <c r="BI5" s="405" t="s">
        <v>24</v>
      </c>
      <c r="BJ5" s="403"/>
      <c r="BK5" s="403"/>
      <c r="BL5" s="406"/>
      <c r="BM5" s="402" t="s">
        <v>23</v>
      </c>
      <c r="BN5" s="403"/>
      <c r="BO5" s="403"/>
      <c r="BP5" s="404"/>
      <c r="BQ5" s="405" t="s">
        <v>24</v>
      </c>
      <c r="BR5" s="403"/>
      <c r="BS5" s="403"/>
      <c r="BT5" s="406"/>
      <c r="BU5" s="402" t="s">
        <v>23</v>
      </c>
      <c r="BV5" s="403"/>
      <c r="BW5" s="403"/>
      <c r="BX5" s="404"/>
      <c r="BY5" s="405" t="s">
        <v>24</v>
      </c>
      <c r="BZ5" s="403"/>
      <c r="CA5" s="403"/>
      <c r="CB5" s="406"/>
      <c r="CC5" s="402" t="s">
        <v>23</v>
      </c>
      <c r="CD5" s="403"/>
      <c r="CE5" s="403"/>
      <c r="CF5" s="404"/>
      <c r="CG5" s="405" t="s">
        <v>24</v>
      </c>
      <c r="CH5" s="403"/>
      <c r="CI5" s="403"/>
      <c r="CJ5" s="406"/>
      <c r="CK5" s="402" t="s">
        <v>23</v>
      </c>
      <c r="CL5" s="403"/>
      <c r="CM5" s="403"/>
      <c r="CN5" s="404"/>
      <c r="CO5" s="405" t="s">
        <v>24</v>
      </c>
      <c r="CP5" s="403"/>
      <c r="CQ5" s="403"/>
      <c r="CR5" s="406"/>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c r="IX5" s="4"/>
      <c r="IY5" s="4"/>
      <c r="IZ5" s="4"/>
      <c r="JA5" s="4"/>
      <c r="JB5" s="4"/>
      <c r="JC5" s="4"/>
      <c r="JD5" s="4"/>
      <c r="JE5" s="4"/>
      <c r="JF5" s="4"/>
      <c r="JG5" s="4"/>
      <c r="JH5" s="4"/>
      <c r="JI5" s="4"/>
      <c r="JJ5" s="4"/>
      <c r="JK5" s="4"/>
      <c r="JL5" s="4"/>
      <c r="JM5" s="4"/>
      <c r="JN5" s="4"/>
      <c r="JO5" s="4"/>
      <c r="JP5" s="4"/>
      <c r="JQ5" s="4"/>
      <c r="JR5" s="4"/>
      <c r="JS5" s="4"/>
      <c r="JT5" s="4"/>
      <c r="JU5" s="4"/>
      <c r="JV5" s="4"/>
      <c r="JW5" s="4"/>
      <c r="JX5" s="4"/>
      <c r="JY5" s="4"/>
      <c r="JZ5" s="4"/>
      <c r="KA5" s="4"/>
      <c r="KB5" s="4"/>
      <c r="KC5" s="4"/>
      <c r="KD5" s="4"/>
      <c r="KE5" s="4"/>
      <c r="KF5" s="4"/>
      <c r="KG5" s="4"/>
      <c r="KH5" s="4"/>
      <c r="KI5" s="4"/>
      <c r="KJ5" s="4"/>
      <c r="KK5" s="4"/>
      <c r="KL5" s="4"/>
      <c r="KM5" s="4"/>
      <c r="KN5" s="4"/>
      <c r="KO5" s="4"/>
      <c r="KP5" s="4"/>
      <c r="KQ5" s="4"/>
      <c r="KR5" s="4"/>
      <c r="KS5" s="4"/>
      <c r="KT5" s="4"/>
      <c r="KU5" s="4"/>
      <c r="KV5" s="4"/>
      <c r="KW5" s="4"/>
      <c r="KX5" s="4"/>
      <c r="KY5" s="4"/>
      <c r="KZ5" s="4"/>
      <c r="LA5" s="4"/>
      <c r="LB5" s="4"/>
      <c r="LC5" s="4"/>
      <c r="LD5" s="4"/>
      <c r="LE5" s="4"/>
      <c r="LF5" s="4"/>
      <c r="LG5" s="4"/>
      <c r="LH5" s="4"/>
      <c r="LI5" s="4"/>
      <c r="LJ5" s="4"/>
      <c r="LK5" s="4"/>
      <c r="LL5" s="4"/>
      <c r="LM5" s="4"/>
      <c r="LN5" s="4"/>
      <c r="LO5" s="4"/>
      <c r="LP5" s="4"/>
      <c r="LQ5" s="4"/>
      <c r="LR5" s="4"/>
      <c r="LS5" s="4"/>
      <c r="LT5" s="4"/>
      <c r="LU5" s="4"/>
      <c r="LV5" s="4"/>
      <c r="LW5" s="4"/>
      <c r="LX5" s="4"/>
      <c r="LY5" s="4"/>
      <c r="LZ5" s="4"/>
      <c r="MA5" s="4"/>
      <c r="MB5" s="4"/>
      <c r="MC5" s="4"/>
      <c r="MD5" s="4"/>
      <c r="ME5" s="4"/>
      <c r="MF5" s="4"/>
      <c r="MG5" s="4"/>
      <c r="MH5" s="4"/>
      <c r="MI5" s="4"/>
      <c r="MJ5" s="4"/>
      <c r="MK5" s="4"/>
      <c r="ML5" s="4"/>
      <c r="MM5" s="4"/>
      <c r="MN5" s="4"/>
      <c r="MO5" s="4"/>
      <c r="MP5" s="4"/>
      <c r="MQ5" s="4"/>
      <c r="MR5" s="4"/>
      <c r="MS5" s="4"/>
      <c r="MT5" s="4"/>
      <c r="MU5" s="4"/>
      <c r="MV5" s="4"/>
      <c r="MW5" s="4"/>
      <c r="MX5" s="4"/>
      <c r="MY5" s="4"/>
      <c r="MZ5" s="4"/>
      <c r="NA5" s="4"/>
      <c r="NB5" s="4"/>
      <c r="NC5" s="4"/>
      <c r="ND5" s="4"/>
      <c r="NE5" s="4"/>
      <c r="NF5" s="4"/>
      <c r="NG5" s="4"/>
      <c r="NH5" s="4"/>
      <c r="NI5" s="4"/>
      <c r="NJ5" s="4"/>
      <c r="NK5" s="4"/>
      <c r="NL5" s="4"/>
      <c r="NM5" s="4"/>
      <c r="NN5" s="4"/>
      <c r="NO5" s="4"/>
      <c r="NP5" s="4"/>
      <c r="NQ5" s="4"/>
      <c r="NR5" s="4"/>
      <c r="NS5" s="4"/>
      <c r="NT5" s="4"/>
      <c r="NU5" s="4"/>
      <c r="NV5" s="4"/>
      <c r="NW5" s="4"/>
      <c r="NX5" s="4"/>
      <c r="NY5" s="4"/>
      <c r="NZ5" s="4"/>
      <c r="OA5" s="4"/>
      <c r="OB5" s="4"/>
      <c r="OC5" s="4"/>
      <c r="OD5" s="4"/>
      <c r="OE5" s="4"/>
      <c r="OF5" s="4"/>
      <c r="OG5" s="4"/>
      <c r="OH5" s="4"/>
      <c r="OI5" s="4"/>
      <c r="OJ5" s="4"/>
      <c r="OK5" s="4"/>
      <c r="OL5" s="4"/>
      <c r="OM5" s="4"/>
      <c r="ON5" s="4"/>
      <c r="OO5" s="4"/>
      <c r="OP5" s="4"/>
      <c r="OQ5" s="4"/>
      <c r="OR5" s="4"/>
      <c r="OS5" s="4"/>
      <c r="OT5" s="4"/>
      <c r="OU5" s="4"/>
      <c r="OV5" s="4"/>
      <c r="OW5" s="4"/>
      <c r="OX5" s="4"/>
      <c r="OY5" s="4"/>
      <c r="OZ5" s="4"/>
      <c r="PA5" s="4"/>
      <c r="PB5" s="4"/>
      <c r="PC5" s="4"/>
      <c r="PD5" s="4"/>
      <c r="PE5" s="4"/>
      <c r="PF5" s="4"/>
      <c r="PG5" s="4"/>
      <c r="PH5" s="4"/>
      <c r="PI5" s="4"/>
      <c r="PJ5" s="4"/>
      <c r="PK5" s="4"/>
      <c r="PL5" s="4"/>
      <c r="PM5" s="4"/>
      <c r="PN5" s="4"/>
      <c r="PO5" s="4"/>
      <c r="PP5" s="4"/>
      <c r="PQ5" s="4"/>
      <c r="PR5" s="4"/>
      <c r="PS5" s="4"/>
      <c r="PT5" s="4"/>
      <c r="PU5" s="4"/>
      <c r="PV5" s="4"/>
      <c r="PW5" s="4"/>
      <c r="PX5" s="4"/>
      <c r="PY5" s="4"/>
      <c r="PZ5" s="4"/>
      <c r="QA5" s="4"/>
      <c r="QB5" s="4"/>
      <c r="QC5" s="4"/>
      <c r="QD5" s="4"/>
      <c r="QE5" s="4"/>
      <c r="QF5" s="4"/>
      <c r="QG5" s="4"/>
      <c r="QH5" s="4"/>
      <c r="QI5" s="4"/>
      <c r="QJ5" s="4"/>
      <c r="QK5" s="4"/>
      <c r="QL5" s="4"/>
      <c r="QM5" s="4"/>
      <c r="QN5" s="4"/>
      <c r="QO5" s="4"/>
      <c r="QP5" s="4"/>
      <c r="QQ5" s="4"/>
      <c r="QR5" s="4"/>
      <c r="QS5" s="4"/>
      <c r="QT5" s="4"/>
      <c r="QU5" s="4"/>
      <c r="QV5" s="4"/>
      <c r="QW5" s="4"/>
      <c r="QX5" s="4"/>
      <c r="QY5" s="4"/>
      <c r="QZ5" s="4"/>
      <c r="RA5" s="4"/>
      <c r="RB5" s="4"/>
      <c r="RC5" s="4"/>
      <c r="RD5" s="4"/>
      <c r="RE5" s="4"/>
      <c r="RF5" s="4"/>
      <c r="RG5" s="4"/>
      <c r="RH5" s="4"/>
      <c r="RI5" s="4"/>
      <c r="RJ5" s="4"/>
      <c r="RK5" s="4"/>
      <c r="RL5" s="4"/>
      <c r="RM5" s="4"/>
      <c r="RN5" s="4"/>
      <c r="RO5" s="4"/>
      <c r="RP5" s="4"/>
      <c r="RQ5" s="4"/>
      <c r="RR5" s="4"/>
      <c r="RS5" s="4"/>
      <c r="RT5" s="4"/>
      <c r="RU5" s="4"/>
      <c r="RV5" s="4"/>
      <c r="RW5" s="4"/>
      <c r="RX5" s="4"/>
      <c r="RY5" s="4"/>
      <c r="RZ5" s="4"/>
      <c r="SA5" s="4"/>
      <c r="SB5" s="4"/>
      <c r="SC5" s="4"/>
      <c r="SD5" s="4"/>
      <c r="SE5" s="4"/>
      <c r="SF5" s="4"/>
      <c r="SG5" s="4"/>
      <c r="SH5" s="4"/>
      <c r="SI5" s="4"/>
      <c r="SJ5" s="4"/>
      <c r="SK5" s="4"/>
      <c r="SL5" s="4"/>
      <c r="SM5" s="4"/>
      <c r="SN5" s="4"/>
      <c r="SO5" s="4"/>
      <c r="SP5" s="4"/>
      <c r="SQ5" s="4"/>
      <c r="SR5" s="4"/>
      <c r="SS5" s="4"/>
      <c r="ST5" s="4"/>
      <c r="SU5" s="4"/>
      <c r="SV5" s="4"/>
      <c r="SW5" s="4"/>
      <c r="SX5" s="4"/>
      <c r="SY5" s="4"/>
      <c r="SZ5" s="4"/>
      <c r="TA5" s="4"/>
      <c r="TB5" s="4"/>
      <c r="TC5" s="4"/>
      <c r="TD5" s="4"/>
      <c r="TE5" s="4"/>
      <c r="TF5" s="4"/>
      <c r="TG5" s="4"/>
      <c r="TH5" s="4"/>
      <c r="TI5" s="4"/>
      <c r="TJ5" s="4"/>
      <c r="TK5" s="4"/>
      <c r="TL5" s="4"/>
      <c r="TM5" s="4"/>
      <c r="TN5" s="4"/>
      <c r="TO5" s="4"/>
      <c r="TP5" s="4"/>
      <c r="TQ5" s="4"/>
      <c r="TR5" s="4"/>
      <c r="TS5" s="4"/>
      <c r="TT5" s="4"/>
      <c r="TU5" s="4"/>
      <c r="TV5" s="4"/>
      <c r="TW5" s="4"/>
      <c r="TX5" s="4"/>
      <c r="TY5" s="4"/>
      <c r="TZ5" s="4"/>
      <c r="UA5" s="4"/>
      <c r="UB5" s="4"/>
      <c r="UC5" s="4"/>
      <c r="UD5" s="4"/>
      <c r="UE5" s="4"/>
      <c r="UF5" s="4"/>
      <c r="UG5" s="4"/>
      <c r="UH5" s="4"/>
      <c r="UI5" s="4"/>
      <c r="UJ5" s="4"/>
      <c r="UK5" s="4"/>
      <c r="UL5" s="4"/>
      <c r="UM5" s="4"/>
      <c r="UN5" s="4"/>
      <c r="UO5" s="4"/>
      <c r="UP5" s="4"/>
      <c r="UQ5" s="4"/>
      <c r="UR5" s="4"/>
      <c r="US5" s="4"/>
      <c r="UT5" s="4"/>
      <c r="UU5" s="4"/>
      <c r="UV5" s="4"/>
      <c r="UW5" s="4"/>
      <c r="UX5" s="4"/>
      <c r="UY5" s="4"/>
      <c r="UZ5" s="4"/>
      <c r="VA5" s="4"/>
      <c r="VB5" s="4"/>
      <c r="VC5" s="4"/>
      <c r="VD5" s="4"/>
      <c r="VE5" s="4"/>
      <c r="VF5" s="4"/>
      <c r="VG5" s="4"/>
      <c r="VH5" s="4"/>
      <c r="VI5" s="4"/>
      <c r="VJ5" s="4"/>
      <c r="VK5" s="4"/>
      <c r="VL5" s="4"/>
      <c r="VM5" s="4"/>
      <c r="VN5" s="4"/>
      <c r="VO5" s="4"/>
      <c r="VP5" s="4"/>
      <c r="VQ5" s="4"/>
      <c r="VR5" s="4"/>
      <c r="VS5" s="4"/>
      <c r="VT5" s="4"/>
      <c r="VU5" s="4"/>
      <c r="VV5" s="4"/>
      <c r="VW5" s="4"/>
      <c r="VX5" s="4"/>
      <c r="VY5" s="4"/>
      <c r="VZ5" s="4"/>
      <c r="WA5" s="4"/>
      <c r="WB5" s="4"/>
      <c r="WC5" s="4"/>
      <c r="WD5" s="4"/>
      <c r="WE5" s="4"/>
      <c r="WF5" s="4"/>
      <c r="WG5" s="4"/>
      <c r="WH5" s="4"/>
      <c r="WI5" s="4"/>
      <c r="WJ5" s="4"/>
      <c r="WK5" s="4"/>
      <c r="WL5" s="4"/>
      <c r="WM5" s="4"/>
      <c r="WN5" s="4"/>
      <c r="WO5" s="4"/>
      <c r="WP5" s="4"/>
      <c r="WQ5" s="4"/>
      <c r="WR5" s="4"/>
      <c r="WS5" s="4"/>
      <c r="WT5" s="4"/>
      <c r="WU5" s="4"/>
      <c r="WV5" s="4"/>
      <c r="WW5" s="4"/>
      <c r="WX5" s="4"/>
      <c r="WY5" s="4"/>
      <c r="WZ5" s="4"/>
      <c r="XA5" s="4"/>
      <c r="XB5" s="4"/>
      <c r="XC5" s="4"/>
      <c r="XD5" s="4"/>
      <c r="XE5" s="4"/>
      <c r="XF5" s="4"/>
      <c r="XG5" s="4"/>
      <c r="XH5" s="4"/>
      <c r="XI5" s="4"/>
      <c r="XJ5" s="4"/>
      <c r="XK5" s="4"/>
      <c r="XL5" s="4"/>
      <c r="XM5" s="4"/>
      <c r="XN5" s="4"/>
      <c r="XO5" s="4"/>
      <c r="XP5" s="4"/>
      <c r="XQ5" s="4"/>
      <c r="XR5" s="4"/>
      <c r="XS5" s="4"/>
      <c r="XT5" s="4"/>
      <c r="XU5" s="4"/>
      <c r="XV5" s="4"/>
      <c r="XW5" s="4"/>
      <c r="XX5" s="4"/>
      <c r="XY5" s="4"/>
      <c r="XZ5" s="4"/>
      <c r="YA5" s="4"/>
      <c r="YB5" s="4"/>
      <c r="YC5" s="4"/>
      <c r="YD5" s="4"/>
      <c r="YE5" s="4"/>
      <c r="YF5" s="4"/>
      <c r="YG5" s="4"/>
      <c r="YH5" s="4"/>
      <c r="YI5" s="4"/>
      <c r="YJ5" s="4"/>
      <c r="YK5" s="4"/>
      <c r="YL5" s="4"/>
      <c r="YM5" s="4"/>
      <c r="YN5" s="4"/>
      <c r="YO5" s="4"/>
      <c r="YP5" s="4"/>
      <c r="YQ5" s="4"/>
      <c r="YR5" s="4"/>
      <c r="YS5" s="4"/>
      <c r="YT5" s="4"/>
      <c r="YU5" s="4"/>
      <c r="YV5" s="4"/>
      <c r="YW5" s="4"/>
      <c r="YX5" s="4"/>
      <c r="YY5" s="4"/>
      <c r="YZ5" s="4"/>
      <c r="ZA5" s="4"/>
      <c r="ZB5" s="4"/>
      <c r="ZC5" s="4"/>
      <c r="ZD5" s="4"/>
      <c r="ZE5" s="4"/>
      <c r="ZF5" s="4"/>
      <c r="ZG5" s="4"/>
      <c r="ZH5" s="4"/>
      <c r="ZI5" s="4"/>
      <c r="ZJ5" s="4"/>
      <c r="ZK5" s="4"/>
      <c r="ZL5" s="4"/>
      <c r="ZM5" s="4"/>
      <c r="ZN5" s="4"/>
      <c r="ZO5" s="4"/>
      <c r="ZP5" s="4"/>
      <c r="ZQ5" s="4"/>
      <c r="ZR5" s="4"/>
      <c r="ZS5" s="4"/>
      <c r="ZT5" s="4"/>
      <c r="ZU5" s="4"/>
      <c r="ZV5" s="4"/>
    </row>
    <row r="6" spans="1:698" s="5" customFormat="1" ht="15" x14ac:dyDescent="0.25">
      <c r="A6" s="8" t="s">
        <v>25</v>
      </c>
      <c r="B6" s="8" t="s">
        <v>26</v>
      </c>
      <c r="C6" s="371" t="s">
        <v>27</v>
      </c>
      <c r="D6" s="371" t="s">
        <v>28</v>
      </c>
      <c r="E6" s="371" t="s">
        <v>29</v>
      </c>
      <c r="F6" s="371" t="s">
        <v>30</v>
      </c>
      <c r="G6" s="371" t="s">
        <v>31</v>
      </c>
      <c r="H6" s="371" t="s">
        <v>32</v>
      </c>
      <c r="I6" s="371" t="s">
        <v>33</v>
      </c>
      <c r="J6" s="418"/>
      <c r="K6" s="418"/>
      <c r="L6" s="371" t="s">
        <v>6</v>
      </c>
      <c r="M6" s="371" t="s">
        <v>34</v>
      </c>
      <c r="N6" s="371" t="s">
        <v>35</v>
      </c>
      <c r="O6" s="371" t="s">
        <v>36</v>
      </c>
      <c r="P6" s="371" t="s">
        <v>37</v>
      </c>
      <c r="Q6" s="371" t="s">
        <v>7</v>
      </c>
      <c r="R6" s="371" t="s">
        <v>38</v>
      </c>
      <c r="S6" s="371" t="s">
        <v>35</v>
      </c>
      <c r="T6" s="371" t="s">
        <v>36</v>
      </c>
      <c r="U6" s="371" t="s">
        <v>39</v>
      </c>
      <c r="V6" s="11" t="s">
        <v>40</v>
      </c>
      <c r="W6" s="11" t="s">
        <v>1423</v>
      </c>
      <c r="X6" s="371" t="s">
        <v>42</v>
      </c>
      <c r="Y6" s="371" t="s">
        <v>43</v>
      </c>
      <c r="Z6" s="371" t="s">
        <v>44</v>
      </c>
      <c r="AA6" s="371" t="s">
        <v>45</v>
      </c>
      <c r="AB6" s="371" t="s">
        <v>46</v>
      </c>
      <c r="AC6" s="371" t="s">
        <v>43</v>
      </c>
      <c r="AD6" s="371" t="s">
        <v>44</v>
      </c>
      <c r="AE6" s="371" t="s">
        <v>45</v>
      </c>
      <c r="AF6" s="371" t="s">
        <v>46</v>
      </c>
      <c r="AG6" s="371" t="s">
        <v>43</v>
      </c>
      <c r="AH6" s="371" t="s">
        <v>44</v>
      </c>
      <c r="AI6" s="371" t="s">
        <v>45</v>
      </c>
      <c r="AJ6" s="371" t="s">
        <v>46</v>
      </c>
      <c r="AK6" s="371" t="s">
        <v>43</v>
      </c>
      <c r="AL6" s="371" t="s">
        <v>44</v>
      </c>
      <c r="AM6" s="371" t="s">
        <v>45</v>
      </c>
      <c r="AN6" s="371" t="s">
        <v>46</v>
      </c>
      <c r="AO6" s="371" t="s">
        <v>43</v>
      </c>
      <c r="AP6" s="371" t="s">
        <v>44</v>
      </c>
      <c r="AQ6" s="371" t="s">
        <v>45</v>
      </c>
      <c r="AR6" s="371" t="s">
        <v>46</v>
      </c>
      <c r="AS6" s="371" t="s">
        <v>43</v>
      </c>
      <c r="AT6" s="371" t="s">
        <v>44</v>
      </c>
      <c r="AU6" s="371" t="s">
        <v>45</v>
      </c>
      <c r="AV6" s="371" t="s">
        <v>46</v>
      </c>
      <c r="AW6" s="371" t="s">
        <v>43</v>
      </c>
      <c r="AX6" s="371" t="s">
        <v>44</v>
      </c>
      <c r="AY6" s="371" t="s">
        <v>45</v>
      </c>
      <c r="AZ6" s="371" t="s">
        <v>46</v>
      </c>
      <c r="BA6" s="371" t="s">
        <v>43</v>
      </c>
      <c r="BB6" s="371" t="s">
        <v>44</v>
      </c>
      <c r="BC6" s="371" t="s">
        <v>45</v>
      </c>
      <c r="BD6" s="371" t="s">
        <v>46</v>
      </c>
      <c r="BE6" s="371" t="s">
        <v>43</v>
      </c>
      <c r="BF6" s="371" t="s">
        <v>44</v>
      </c>
      <c r="BG6" s="371" t="s">
        <v>45</v>
      </c>
      <c r="BH6" s="371" t="s">
        <v>46</v>
      </c>
      <c r="BI6" s="371" t="s">
        <v>43</v>
      </c>
      <c r="BJ6" s="371" t="s">
        <v>44</v>
      </c>
      <c r="BK6" s="371" t="s">
        <v>45</v>
      </c>
      <c r="BL6" s="371" t="s">
        <v>46</v>
      </c>
      <c r="BM6" s="371" t="s">
        <v>43</v>
      </c>
      <c r="BN6" s="371" t="s">
        <v>44</v>
      </c>
      <c r="BO6" s="371" t="s">
        <v>45</v>
      </c>
      <c r="BP6" s="371" t="s">
        <v>46</v>
      </c>
      <c r="BQ6" s="371" t="s">
        <v>43</v>
      </c>
      <c r="BR6" s="371" t="s">
        <v>44</v>
      </c>
      <c r="BS6" s="371" t="s">
        <v>45</v>
      </c>
      <c r="BT6" s="371" t="s">
        <v>46</v>
      </c>
      <c r="BU6" s="371" t="s">
        <v>43</v>
      </c>
      <c r="BV6" s="371" t="s">
        <v>44</v>
      </c>
      <c r="BW6" s="371" t="s">
        <v>45</v>
      </c>
      <c r="BX6" s="371" t="s">
        <v>46</v>
      </c>
      <c r="BY6" s="371" t="s">
        <v>43</v>
      </c>
      <c r="BZ6" s="371" t="s">
        <v>44</v>
      </c>
      <c r="CA6" s="371" t="s">
        <v>45</v>
      </c>
      <c r="CB6" s="371" t="s">
        <v>46</v>
      </c>
      <c r="CC6" s="371" t="s">
        <v>43</v>
      </c>
      <c r="CD6" s="371" t="s">
        <v>44</v>
      </c>
      <c r="CE6" s="371" t="s">
        <v>45</v>
      </c>
      <c r="CF6" s="371" t="s">
        <v>46</v>
      </c>
      <c r="CG6" s="371" t="s">
        <v>43</v>
      </c>
      <c r="CH6" s="371" t="s">
        <v>44</v>
      </c>
      <c r="CI6" s="371" t="s">
        <v>45</v>
      </c>
      <c r="CJ6" s="371" t="s">
        <v>46</v>
      </c>
      <c r="CK6" s="371" t="s">
        <v>43</v>
      </c>
      <c r="CL6" s="371" t="s">
        <v>44</v>
      </c>
      <c r="CM6" s="371" t="s">
        <v>45</v>
      </c>
      <c r="CN6" s="371" t="s">
        <v>46</v>
      </c>
      <c r="CO6" s="371" t="s">
        <v>43</v>
      </c>
      <c r="CP6" s="371" t="s">
        <v>44</v>
      </c>
      <c r="CQ6" s="371" t="s">
        <v>45</v>
      </c>
      <c r="CR6" s="371" t="s">
        <v>46</v>
      </c>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c r="IX6" s="4"/>
      <c r="IY6" s="4"/>
      <c r="IZ6" s="4"/>
      <c r="JA6" s="4"/>
      <c r="JB6" s="4"/>
      <c r="JC6" s="4"/>
      <c r="JD6" s="4"/>
      <c r="JE6" s="4"/>
      <c r="JF6" s="4"/>
      <c r="JG6" s="4"/>
      <c r="JH6" s="4"/>
      <c r="JI6" s="4"/>
      <c r="JJ6" s="4"/>
      <c r="JK6" s="4"/>
      <c r="JL6" s="4"/>
      <c r="JM6" s="4"/>
      <c r="JN6" s="4"/>
      <c r="JO6" s="4"/>
      <c r="JP6" s="4"/>
      <c r="JQ6" s="4"/>
      <c r="JR6" s="4"/>
      <c r="JS6" s="4"/>
      <c r="JT6" s="4"/>
      <c r="JU6" s="4"/>
      <c r="JV6" s="4"/>
      <c r="JW6" s="4"/>
      <c r="JX6" s="4"/>
      <c r="JY6" s="4"/>
      <c r="JZ6" s="4"/>
      <c r="KA6" s="4"/>
      <c r="KB6" s="4"/>
      <c r="KC6" s="4"/>
      <c r="KD6" s="4"/>
      <c r="KE6" s="4"/>
      <c r="KF6" s="4"/>
      <c r="KG6" s="4"/>
      <c r="KH6" s="4"/>
      <c r="KI6" s="4"/>
      <c r="KJ6" s="4"/>
      <c r="KK6" s="4"/>
      <c r="KL6" s="4"/>
      <c r="KM6" s="4"/>
      <c r="KN6" s="4"/>
      <c r="KO6" s="4"/>
      <c r="KP6" s="4"/>
      <c r="KQ6" s="4"/>
      <c r="KR6" s="4"/>
      <c r="KS6" s="4"/>
      <c r="KT6" s="4"/>
      <c r="KU6" s="4"/>
      <c r="KV6" s="4"/>
      <c r="KW6" s="4"/>
      <c r="KX6" s="4"/>
      <c r="KY6" s="4"/>
      <c r="KZ6" s="4"/>
      <c r="LA6" s="4"/>
      <c r="LB6" s="4"/>
      <c r="LC6" s="4"/>
      <c r="LD6" s="4"/>
      <c r="LE6" s="4"/>
      <c r="LF6" s="4"/>
      <c r="LG6" s="4"/>
      <c r="LH6" s="4"/>
      <c r="LI6" s="4"/>
      <c r="LJ6" s="4"/>
      <c r="LK6" s="4"/>
      <c r="LL6" s="4"/>
      <c r="LM6" s="4"/>
      <c r="LN6" s="4"/>
      <c r="LO6" s="4"/>
      <c r="LP6" s="4"/>
      <c r="LQ6" s="4"/>
      <c r="LR6" s="4"/>
      <c r="LS6" s="4"/>
      <c r="LT6" s="4"/>
      <c r="LU6" s="4"/>
      <c r="LV6" s="4"/>
      <c r="LW6" s="4"/>
      <c r="LX6" s="4"/>
      <c r="LY6" s="4"/>
      <c r="LZ6" s="4"/>
      <c r="MA6" s="4"/>
      <c r="MB6" s="4"/>
      <c r="MC6" s="4"/>
      <c r="MD6" s="4"/>
      <c r="ME6" s="4"/>
      <c r="MF6" s="4"/>
      <c r="MG6" s="4"/>
      <c r="MH6" s="4"/>
      <c r="MI6" s="4"/>
      <c r="MJ6" s="4"/>
      <c r="MK6" s="4"/>
      <c r="ML6" s="4"/>
      <c r="MM6" s="4"/>
      <c r="MN6" s="4"/>
      <c r="MO6" s="4"/>
      <c r="MP6" s="4"/>
      <c r="MQ6" s="4"/>
      <c r="MR6" s="4"/>
      <c r="MS6" s="4"/>
      <c r="MT6" s="4"/>
      <c r="MU6" s="4"/>
      <c r="MV6" s="4"/>
      <c r="MW6" s="4"/>
      <c r="MX6" s="4"/>
      <c r="MY6" s="4"/>
      <c r="MZ6" s="4"/>
      <c r="NA6" s="4"/>
      <c r="NB6" s="4"/>
      <c r="NC6" s="4"/>
      <c r="ND6" s="4"/>
      <c r="NE6" s="4"/>
      <c r="NF6" s="4"/>
      <c r="NG6" s="4"/>
      <c r="NH6" s="4"/>
      <c r="NI6" s="4"/>
      <c r="NJ6" s="4"/>
      <c r="NK6" s="4"/>
      <c r="NL6" s="4"/>
      <c r="NM6" s="4"/>
      <c r="NN6" s="4"/>
      <c r="NO6" s="4"/>
      <c r="NP6" s="4"/>
      <c r="NQ6" s="4"/>
      <c r="NR6" s="4"/>
      <c r="NS6" s="4"/>
      <c r="NT6" s="4"/>
      <c r="NU6" s="4"/>
      <c r="NV6" s="4"/>
      <c r="NW6" s="4"/>
      <c r="NX6" s="4"/>
      <c r="NY6" s="4"/>
      <c r="NZ6" s="4"/>
      <c r="OA6" s="4"/>
      <c r="OB6" s="4"/>
      <c r="OC6" s="4"/>
      <c r="OD6" s="4"/>
      <c r="OE6" s="4"/>
      <c r="OF6" s="4"/>
      <c r="OG6" s="4"/>
      <c r="OH6" s="4"/>
      <c r="OI6" s="4"/>
      <c r="OJ6" s="4"/>
      <c r="OK6" s="4"/>
      <c r="OL6" s="4"/>
      <c r="OM6" s="4"/>
      <c r="ON6" s="4"/>
      <c r="OO6" s="4"/>
      <c r="OP6" s="4"/>
      <c r="OQ6" s="4"/>
      <c r="OR6" s="4"/>
      <c r="OS6" s="4"/>
      <c r="OT6" s="4"/>
      <c r="OU6" s="4"/>
      <c r="OV6" s="4"/>
      <c r="OW6" s="4"/>
      <c r="OX6" s="4"/>
      <c r="OY6" s="4"/>
      <c r="OZ6" s="4"/>
      <c r="PA6" s="4"/>
      <c r="PB6" s="4"/>
      <c r="PC6" s="4"/>
      <c r="PD6" s="4"/>
      <c r="PE6" s="4"/>
      <c r="PF6" s="4"/>
      <c r="PG6" s="4"/>
      <c r="PH6" s="4"/>
      <c r="PI6" s="4"/>
      <c r="PJ6" s="4"/>
      <c r="PK6" s="4"/>
      <c r="PL6" s="4"/>
      <c r="PM6" s="4"/>
      <c r="PN6" s="4"/>
      <c r="PO6" s="4"/>
      <c r="PP6" s="4"/>
      <c r="PQ6" s="4"/>
      <c r="PR6" s="4"/>
      <c r="PS6" s="4"/>
      <c r="PT6" s="4"/>
      <c r="PU6" s="4"/>
      <c r="PV6" s="4"/>
      <c r="PW6" s="4"/>
      <c r="PX6" s="4"/>
      <c r="PY6" s="4"/>
      <c r="PZ6" s="4"/>
      <c r="QA6" s="4"/>
      <c r="QB6" s="4"/>
      <c r="QC6" s="4"/>
      <c r="QD6" s="4"/>
      <c r="QE6" s="4"/>
      <c r="QF6" s="4"/>
      <c r="QG6" s="4"/>
      <c r="QH6" s="4"/>
      <c r="QI6" s="4"/>
      <c r="QJ6" s="4"/>
      <c r="QK6" s="4"/>
      <c r="QL6" s="4"/>
      <c r="QM6" s="4"/>
      <c r="QN6" s="4"/>
      <c r="QO6" s="4"/>
      <c r="QP6" s="4"/>
      <c r="QQ6" s="4"/>
      <c r="QR6" s="4"/>
      <c r="QS6" s="4"/>
      <c r="QT6" s="4"/>
      <c r="QU6" s="4"/>
      <c r="QV6" s="4"/>
      <c r="QW6" s="4"/>
      <c r="QX6" s="4"/>
      <c r="QY6" s="4"/>
      <c r="QZ6" s="4"/>
      <c r="RA6" s="4"/>
      <c r="RB6" s="4"/>
      <c r="RC6" s="4"/>
      <c r="RD6" s="4"/>
      <c r="RE6" s="4"/>
      <c r="RF6" s="4"/>
      <c r="RG6" s="4"/>
      <c r="RH6" s="4"/>
      <c r="RI6" s="4"/>
      <c r="RJ6" s="4"/>
      <c r="RK6" s="4"/>
      <c r="RL6" s="4"/>
      <c r="RM6" s="4"/>
      <c r="RN6" s="4"/>
      <c r="RO6" s="4"/>
      <c r="RP6" s="4"/>
      <c r="RQ6" s="4"/>
      <c r="RR6" s="4"/>
      <c r="RS6" s="4"/>
      <c r="RT6" s="4"/>
      <c r="RU6" s="4"/>
      <c r="RV6" s="4"/>
      <c r="RW6" s="4"/>
      <c r="RX6" s="4"/>
      <c r="RY6" s="4"/>
      <c r="RZ6" s="4"/>
      <c r="SA6" s="4"/>
      <c r="SB6" s="4"/>
      <c r="SC6" s="4"/>
      <c r="SD6" s="4"/>
      <c r="SE6" s="4"/>
      <c r="SF6" s="4"/>
      <c r="SG6" s="4"/>
      <c r="SH6" s="4"/>
      <c r="SI6" s="4"/>
      <c r="SJ6" s="4"/>
      <c r="SK6" s="4"/>
      <c r="SL6" s="4"/>
      <c r="SM6" s="4"/>
      <c r="SN6" s="4"/>
      <c r="SO6" s="4"/>
      <c r="SP6" s="4"/>
      <c r="SQ6" s="4"/>
      <c r="SR6" s="4"/>
      <c r="SS6" s="4"/>
      <c r="ST6" s="4"/>
      <c r="SU6" s="4"/>
      <c r="SV6" s="4"/>
      <c r="SW6" s="4"/>
      <c r="SX6" s="4"/>
      <c r="SY6" s="4"/>
      <c r="SZ6" s="4"/>
      <c r="TA6" s="4"/>
      <c r="TB6" s="4"/>
      <c r="TC6" s="4"/>
      <c r="TD6" s="4"/>
      <c r="TE6" s="4"/>
      <c r="TF6" s="4"/>
      <c r="TG6" s="4"/>
      <c r="TH6" s="4"/>
      <c r="TI6" s="4"/>
      <c r="TJ6" s="4"/>
      <c r="TK6" s="4"/>
      <c r="TL6" s="4"/>
      <c r="TM6" s="4"/>
      <c r="TN6" s="4"/>
      <c r="TO6" s="4"/>
      <c r="TP6" s="4"/>
      <c r="TQ6" s="4"/>
      <c r="TR6" s="4"/>
      <c r="TS6" s="4"/>
      <c r="TT6" s="4"/>
      <c r="TU6" s="4"/>
      <c r="TV6" s="4"/>
      <c r="TW6" s="4"/>
      <c r="TX6" s="4"/>
      <c r="TY6" s="4"/>
      <c r="TZ6" s="4"/>
      <c r="UA6" s="4"/>
      <c r="UB6" s="4"/>
      <c r="UC6" s="4"/>
      <c r="UD6" s="4"/>
      <c r="UE6" s="4"/>
      <c r="UF6" s="4"/>
      <c r="UG6" s="4"/>
      <c r="UH6" s="4"/>
      <c r="UI6" s="4"/>
      <c r="UJ6" s="4"/>
      <c r="UK6" s="4"/>
      <c r="UL6" s="4"/>
      <c r="UM6" s="4"/>
      <c r="UN6" s="4"/>
      <c r="UO6" s="4"/>
      <c r="UP6" s="4"/>
      <c r="UQ6" s="4"/>
      <c r="UR6" s="4"/>
      <c r="US6" s="4"/>
      <c r="UT6" s="4"/>
      <c r="UU6" s="4"/>
      <c r="UV6" s="4"/>
      <c r="UW6" s="4"/>
      <c r="UX6" s="4"/>
      <c r="UY6" s="4"/>
      <c r="UZ6" s="4"/>
      <c r="VA6" s="4"/>
      <c r="VB6" s="4"/>
      <c r="VC6" s="4"/>
      <c r="VD6" s="4"/>
      <c r="VE6" s="4"/>
      <c r="VF6" s="4"/>
      <c r="VG6" s="4"/>
      <c r="VH6" s="4"/>
      <c r="VI6" s="4"/>
      <c r="VJ6" s="4"/>
      <c r="VK6" s="4"/>
      <c r="VL6" s="4"/>
      <c r="VM6" s="4"/>
      <c r="VN6" s="4"/>
      <c r="VO6" s="4"/>
      <c r="VP6" s="4"/>
      <c r="VQ6" s="4"/>
      <c r="VR6" s="4"/>
      <c r="VS6" s="4"/>
      <c r="VT6" s="4"/>
      <c r="VU6" s="4"/>
      <c r="VV6" s="4"/>
      <c r="VW6" s="4"/>
      <c r="VX6" s="4"/>
      <c r="VY6" s="4"/>
      <c r="VZ6" s="4"/>
      <c r="WA6" s="4"/>
      <c r="WB6" s="4"/>
      <c r="WC6" s="4"/>
      <c r="WD6" s="4"/>
      <c r="WE6" s="4"/>
      <c r="WF6" s="4"/>
      <c r="WG6" s="4"/>
      <c r="WH6" s="4"/>
      <c r="WI6" s="4"/>
      <c r="WJ6" s="4"/>
      <c r="WK6" s="4"/>
      <c r="WL6" s="4"/>
      <c r="WM6" s="4"/>
      <c r="WN6" s="4"/>
      <c r="WO6" s="4"/>
      <c r="WP6" s="4"/>
      <c r="WQ6" s="4"/>
      <c r="WR6" s="4"/>
      <c r="WS6" s="4"/>
      <c r="WT6" s="4"/>
      <c r="WU6" s="4"/>
      <c r="WV6" s="4"/>
      <c r="WW6" s="4"/>
      <c r="WX6" s="4"/>
      <c r="WY6" s="4"/>
      <c r="WZ6" s="4"/>
      <c r="XA6" s="4"/>
      <c r="XB6" s="4"/>
      <c r="XC6" s="4"/>
      <c r="XD6" s="4"/>
      <c r="XE6" s="4"/>
      <c r="XF6" s="4"/>
      <c r="XG6" s="4"/>
      <c r="XH6" s="4"/>
      <c r="XI6" s="4"/>
      <c r="XJ6" s="4"/>
      <c r="XK6" s="4"/>
      <c r="XL6" s="4"/>
      <c r="XM6" s="4"/>
      <c r="XN6" s="4"/>
      <c r="XO6" s="4"/>
      <c r="XP6" s="4"/>
      <c r="XQ6" s="4"/>
      <c r="XR6" s="4"/>
      <c r="XS6" s="4"/>
      <c r="XT6" s="4"/>
      <c r="XU6" s="4"/>
      <c r="XV6" s="4"/>
      <c r="XW6" s="4"/>
      <c r="XX6" s="4"/>
      <c r="XY6" s="4"/>
      <c r="XZ6" s="4"/>
      <c r="YA6" s="4"/>
      <c r="YB6" s="4"/>
      <c r="YC6" s="4"/>
      <c r="YD6" s="4"/>
      <c r="YE6" s="4"/>
      <c r="YF6" s="4"/>
      <c r="YG6" s="4"/>
      <c r="YH6" s="4"/>
      <c r="YI6" s="4"/>
      <c r="YJ6" s="4"/>
      <c r="YK6" s="4"/>
      <c r="YL6" s="4"/>
      <c r="YM6" s="4"/>
      <c r="YN6" s="4"/>
      <c r="YO6" s="4"/>
      <c r="YP6" s="4"/>
      <c r="YQ6" s="4"/>
      <c r="YR6" s="4"/>
      <c r="YS6" s="4"/>
      <c r="YT6" s="4"/>
      <c r="YU6" s="4"/>
      <c r="YV6" s="4"/>
      <c r="YW6" s="4"/>
      <c r="YX6" s="4"/>
      <c r="YY6" s="4"/>
      <c r="YZ6" s="4"/>
      <c r="ZA6" s="4"/>
      <c r="ZB6" s="4"/>
      <c r="ZC6" s="4"/>
      <c r="ZD6" s="4"/>
      <c r="ZE6" s="4"/>
      <c r="ZF6" s="4"/>
      <c r="ZG6" s="4"/>
      <c r="ZH6" s="4"/>
      <c r="ZI6" s="4"/>
      <c r="ZJ6" s="4"/>
      <c r="ZK6" s="4"/>
      <c r="ZL6" s="4"/>
      <c r="ZM6" s="4"/>
      <c r="ZN6" s="4"/>
      <c r="ZO6" s="4"/>
      <c r="ZP6" s="4"/>
      <c r="ZQ6" s="4"/>
      <c r="ZR6" s="4"/>
      <c r="ZS6" s="4"/>
      <c r="ZT6" s="4"/>
      <c r="ZU6" s="4"/>
      <c r="ZV6" s="4"/>
    </row>
    <row r="7" spans="1:698" ht="70.5" customHeight="1" x14ac:dyDescent="0.25">
      <c r="A7" s="378" t="s">
        <v>47</v>
      </c>
      <c r="B7" s="378" t="s">
        <v>48</v>
      </c>
      <c r="C7" s="378" t="s">
        <v>49</v>
      </c>
      <c r="D7" s="378" t="s">
        <v>50</v>
      </c>
      <c r="E7" s="378" t="s">
        <v>51</v>
      </c>
      <c r="F7" s="378" t="s">
        <v>52</v>
      </c>
      <c r="G7" s="378" t="s">
        <v>53</v>
      </c>
      <c r="H7" s="378" t="s">
        <v>54</v>
      </c>
      <c r="I7" s="378" t="s">
        <v>55</v>
      </c>
      <c r="J7" s="378" t="s">
        <v>852</v>
      </c>
      <c r="K7" s="378" t="s">
        <v>1424</v>
      </c>
      <c r="L7" s="378" t="s">
        <v>1425</v>
      </c>
      <c r="M7" s="378" t="s">
        <v>1426</v>
      </c>
      <c r="N7" s="378" t="s">
        <v>93</v>
      </c>
      <c r="O7" s="378"/>
      <c r="P7" s="693">
        <v>0.75</v>
      </c>
      <c r="Q7" s="694"/>
      <c r="R7" s="694"/>
      <c r="S7" s="694"/>
      <c r="T7" s="694"/>
      <c r="U7" s="694"/>
      <c r="V7" s="378">
        <v>1370580862</v>
      </c>
      <c r="W7" s="695">
        <v>4576358959</v>
      </c>
      <c r="X7" s="378" t="s">
        <v>1427</v>
      </c>
      <c r="Y7" s="693">
        <v>1</v>
      </c>
      <c r="Z7" s="693">
        <v>0.75</v>
      </c>
      <c r="AA7" s="693">
        <f>+Y7/'[14]PAI REGALÍAS'!P7</f>
        <v>1.3333333333333333</v>
      </c>
      <c r="AB7" s="696" t="s">
        <v>1428</v>
      </c>
      <c r="AC7" s="697"/>
      <c r="AD7" s="697"/>
      <c r="AE7" s="697"/>
      <c r="AF7" s="697"/>
      <c r="AG7" s="693">
        <v>1</v>
      </c>
      <c r="AH7" s="693">
        <v>0.75</v>
      </c>
      <c r="AI7" s="693">
        <f>+AG7/'[15]PAI REGALÍAS'!P7</f>
        <v>1.3333333333333333</v>
      </c>
      <c r="AJ7" s="696" t="s">
        <v>1429</v>
      </c>
      <c r="AK7" s="697"/>
      <c r="AL7" s="697"/>
      <c r="AM7" s="697"/>
      <c r="AN7" s="697"/>
      <c r="AO7" s="693">
        <v>1</v>
      </c>
      <c r="AP7" s="693">
        <v>0.75</v>
      </c>
      <c r="AQ7" s="693">
        <f>+AO7/P7</f>
        <v>1.3333333333333333</v>
      </c>
      <c r="AR7" s="696" t="s">
        <v>1430</v>
      </c>
      <c r="AS7" s="697"/>
      <c r="AT7" s="697"/>
      <c r="AU7" s="697"/>
      <c r="AV7" s="697"/>
      <c r="AW7" s="693">
        <v>1</v>
      </c>
      <c r="AX7" s="693">
        <v>0.75</v>
      </c>
      <c r="AY7" s="693">
        <f>+AW7/'[16]PAI REGALÍAS'!P7</f>
        <v>1.3333333333333333</v>
      </c>
      <c r="AZ7" s="696" t="s">
        <v>1431</v>
      </c>
      <c r="BA7" s="697"/>
      <c r="BB7" s="697"/>
      <c r="BC7" s="697"/>
      <c r="BD7" s="697"/>
      <c r="BE7" s="693">
        <v>1</v>
      </c>
      <c r="BF7" s="693">
        <v>0.75</v>
      </c>
      <c r="BG7" s="693">
        <f>+BE7/'[17]PAI REGALÍAS'!P7</f>
        <v>1.3333333333333333</v>
      </c>
      <c r="BH7" s="696" t="s">
        <v>1432</v>
      </c>
      <c r="BI7" s="697"/>
      <c r="BJ7" s="697"/>
      <c r="BK7" s="697"/>
      <c r="BL7" s="697"/>
      <c r="BM7" s="693">
        <v>1</v>
      </c>
      <c r="BN7" s="693">
        <v>0.75</v>
      </c>
      <c r="BO7" s="693">
        <f>+BM7/'[18]PAI REGALÍAS'!P7</f>
        <v>1.3333333333333333</v>
      </c>
      <c r="BP7" s="696" t="s">
        <v>1433</v>
      </c>
      <c r="BQ7" s="697"/>
      <c r="BR7" s="697"/>
      <c r="BS7" s="697"/>
      <c r="BT7" s="697"/>
      <c r="BU7" s="693">
        <v>1</v>
      </c>
      <c r="BV7" s="693">
        <v>0.75</v>
      </c>
      <c r="BW7" s="693">
        <v>1.3333333333333333</v>
      </c>
      <c r="BX7" s="696" t="s">
        <v>1434</v>
      </c>
      <c r="BY7" s="697"/>
      <c r="BZ7" s="697"/>
      <c r="CA7" s="697"/>
      <c r="CB7" s="697"/>
      <c r="CC7" s="693">
        <v>1</v>
      </c>
      <c r="CD7" s="693">
        <v>0.75</v>
      </c>
      <c r="CE7" s="693">
        <v>1.3333333333333333</v>
      </c>
      <c r="CF7" s="696" t="s">
        <v>1435</v>
      </c>
      <c r="CG7" s="697"/>
      <c r="CH7" s="697"/>
      <c r="CI7" s="697"/>
      <c r="CJ7" s="697"/>
      <c r="CK7" s="693">
        <v>1</v>
      </c>
      <c r="CL7" s="693">
        <v>0.75</v>
      </c>
      <c r="CM7" s="693">
        <v>1.3333333333333333</v>
      </c>
      <c r="CN7" s="696" t="s">
        <v>1436</v>
      </c>
      <c r="CO7" s="697"/>
      <c r="CP7" s="697"/>
      <c r="CQ7" s="697"/>
      <c r="CR7" s="697"/>
    </row>
    <row r="8" spans="1:698" ht="111.75" customHeight="1" x14ac:dyDescent="0.25">
      <c r="A8" s="78" t="s">
        <v>47</v>
      </c>
      <c r="B8" s="78" t="s">
        <v>48</v>
      </c>
      <c r="C8" s="78" t="s">
        <v>49</v>
      </c>
      <c r="D8" s="78" t="s">
        <v>50</v>
      </c>
      <c r="E8" s="78" t="s">
        <v>51</v>
      </c>
      <c r="F8" s="78" t="s">
        <v>52</v>
      </c>
      <c r="G8" s="78" t="s">
        <v>53</v>
      </c>
      <c r="H8" s="78" t="s">
        <v>54</v>
      </c>
      <c r="I8" s="78" t="s">
        <v>384</v>
      </c>
      <c r="J8" s="78" t="s">
        <v>852</v>
      </c>
      <c r="K8" s="78" t="s">
        <v>1424</v>
      </c>
      <c r="L8" s="78" t="s">
        <v>1437</v>
      </c>
      <c r="M8" s="78" t="s">
        <v>1438</v>
      </c>
      <c r="N8" s="78" t="s">
        <v>60</v>
      </c>
      <c r="O8" s="78"/>
      <c r="P8" s="698">
        <v>95</v>
      </c>
      <c r="Q8" s="694"/>
      <c r="R8" s="694"/>
      <c r="S8" s="694"/>
      <c r="T8" s="694"/>
      <c r="U8" s="694"/>
      <c r="V8" s="78">
        <v>327272233</v>
      </c>
      <c r="W8" s="448"/>
      <c r="X8" s="78" t="s">
        <v>1427</v>
      </c>
      <c r="Y8" s="82">
        <v>0</v>
      </c>
      <c r="Z8" s="82">
        <v>0.95</v>
      </c>
      <c r="AA8" s="82">
        <f>+Y8/'[14]PAI REGALÍAS'!P8</f>
        <v>0</v>
      </c>
      <c r="AB8" s="83" t="s">
        <v>1439</v>
      </c>
      <c r="AC8" s="699"/>
      <c r="AD8" s="699"/>
      <c r="AE8" s="699"/>
      <c r="AF8" s="700"/>
      <c r="AG8" s="698">
        <v>0</v>
      </c>
      <c r="AH8" s="698">
        <v>95</v>
      </c>
      <c r="AI8" s="82">
        <f>+AG8/'[15]PAI REGALÍAS'!P8</f>
        <v>0</v>
      </c>
      <c r="AJ8" s="83" t="s">
        <v>1440</v>
      </c>
      <c r="AK8" s="699"/>
      <c r="AL8" s="699"/>
      <c r="AM8" s="699"/>
      <c r="AN8" s="700"/>
      <c r="AO8" s="698">
        <v>1</v>
      </c>
      <c r="AP8" s="698">
        <v>95</v>
      </c>
      <c r="AQ8" s="82">
        <f>+AO8/P8</f>
        <v>1.0526315789473684E-2</v>
      </c>
      <c r="AR8" s="83" t="s">
        <v>1441</v>
      </c>
      <c r="AS8" s="699"/>
      <c r="AT8" s="699"/>
      <c r="AU8" s="699"/>
      <c r="AV8" s="700"/>
      <c r="AW8" s="698">
        <v>17</v>
      </c>
      <c r="AX8" s="698">
        <v>95</v>
      </c>
      <c r="AY8" s="82">
        <f>+AW8/'[16]PAI REGALÍAS'!P8</f>
        <v>0.17894736842105263</v>
      </c>
      <c r="AZ8" s="83" t="s">
        <v>1442</v>
      </c>
      <c r="BA8" s="699"/>
      <c r="BB8" s="699"/>
      <c r="BC8" s="699"/>
      <c r="BD8" s="700"/>
      <c r="BE8" s="698">
        <v>21</v>
      </c>
      <c r="BF8" s="698">
        <v>95</v>
      </c>
      <c r="BG8" s="82">
        <f>+BE8/'[17]PAI REGALÍAS'!P8</f>
        <v>0.22105263157894736</v>
      </c>
      <c r="BH8" s="83" t="s">
        <v>1443</v>
      </c>
      <c r="BI8" s="699"/>
      <c r="BJ8" s="699"/>
      <c r="BK8" s="699"/>
      <c r="BL8" s="700"/>
      <c r="BM8" s="698">
        <v>37</v>
      </c>
      <c r="BN8" s="698">
        <v>95</v>
      </c>
      <c r="BO8" s="82">
        <f>+BM8/'[18]PAI REGALÍAS'!P8</f>
        <v>0.38947368421052631</v>
      </c>
      <c r="BP8" s="83" t="s">
        <v>1444</v>
      </c>
      <c r="BQ8" s="699"/>
      <c r="BR8" s="699"/>
      <c r="BS8" s="699"/>
      <c r="BT8" s="700"/>
      <c r="BU8" s="698">
        <v>78</v>
      </c>
      <c r="BV8" s="698">
        <v>95</v>
      </c>
      <c r="BW8" s="82">
        <v>0.82105263157894737</v>
      </c>
      <c r="BX8" s="83" t="s">
        <v>1445</v>
      </c>
      <c r="BY8" s="699"/>
      <c r="BZ8" s="699"/>
      <c r="CA8" s="699"/>
      <c r="CB8" s="700"/>
      <c r="CC8" s="698">
        <v>117</v>
      </c>
      <c r="CD8" s="698">
        <v>95</v>
      </c>
      <c r="CE8" s="82">
        <v>1.2315789473684211</v>
      </c>
      <c r="CF8" s="83" t="s">
        <v>1446</v>
      </c>
      <c r="CG8" s="699"/>
      <c r="CH8" s="699"/>
      <c r="CI8" s="699"/>
      <c r="CJ8" s="700"/>
      <c r="CK8" s="698">
        <v>128</v>
      </c>
      <c r="CL8" s="698">
        <v>95</v>
      </c>
      <c r="CM8" s="82">
        <v>1.3473684210526315</v>
      </c>
      <c r="CN8" s="83" t="s">
        <v>1447</v>
      </c>
      <c r="CO8" s="699"/>
      <c r="CP8" s="699"/>
      <c r="CQ8" s="699"/>
      <c r="CR8" s="700"/>
    </row>
    <row r="9" spans="1:698" ht="127.5" customHeight="1" x14ac:dyDescent="0.25">
      <c r="A9" s="378" t="s">
        <v>47</v>
      </c>
      <c r="B9" s="378" t="s">
        <v>48</v>
      </c>
      <c r="C9" s="378" t="s">
        <v>49</v>
      </c>
      <c r="D9" s="378" t="s">
        <v>717</v>
      </c>
      <c r="E9" s="378" t="s">
        <v>90</v>
      </c>
      <c r="F9" s="378" t="s">
        <v>52</v>
      </c>
      <c r="G9" s="378" t="s">
        <v>53</v>
      </c>
      <c r="H9" s="378" t="s">
        <v>54</v>
      </c>
      <c r="I9" s="378" t="s">
        <v>384</v>
      </c>
      <c r="J9" s="378" t="s">
        <v>852</v>
      </c>
      <c r="K9" s="378" t="s">
        <v>1424</v>
      </c>
      <c r="L9" s="378" t="s">
        <v>1448</v>
      </c>
      <c r="M9" s="378" t="s">
        <v>1449</v>
      </c>
      <c r="N9" s="378" t="s">
        <v>93</v>
      </c>
      <c r="O9" s="378"/>
      <c r="P9" s="693">
        <v>0.8</v>
      </c>
      <c r="Q9" s="694"/>
      <c r="R9" s="694"/>
      <c r="S9" s="694"/>
      <c r="T9" s="694"/>
      <c r="U9" s="694"/>
      <c r="V9" s="378">
        <v>125309064</v>
      </c>
      <c r="W9" s="448"/>
      <c r="X9" s="378" t="s">
        <v>1427</v>
      </c>
      <c r="Y9" s="693">
        <v>1</v>
      </c>
      <c r="Z9" s="693">
        <v>0.8</v>
      </c>
      <c r="AA9" s="693">
        <f>+Y9/'[14]PAI REGALÍAS'!P9</f>
        <v>1.25</v>
      </c>
      <c r="AB9" s="696" t="s">
        <v>1450</v>
      </c>
      <c r="AC9" s="697"/>
      <c r="AD9" s="697"/>
      <c r="AE9" s="697"/>
      <c r="AF9" s="697"/>
      <c r="AG9" s="693">
        <v>1.42</v>
      </c>
      <c r="AH9" s="693">
        <v>0.8</v>
      </c>
      <c r="AI9" s="693">
        <f>+AG9/'[15]PAI REGALÍAS'!P9</f>
        <v>1.7749999999999999</v>
      </c>
      <c r="AJ9" s="696" t="s">
        <v>1451</v>
      </c>
      <c r="AK9" s="697"/>
      <c r="AL9" s="697"/>
      <c r="AM9" s="697"/>
      <c r="AN9" s="697"/>
      <c r="AO9" s="693">
        <v>0.66216216216216217</v>
      </c>
      <c r="AP9" s="693">
        <v>0.8</v>
      </c>
      <c r="AQ9" s="693">
        <f t="shared" ref="AQ9:AQ13" si="0">+AO9/P9</f>
        <v>0.82770270270270263</v>
      </c>
      <c r="AR9" s="696" t="s">
        <v>1452</v>
      </c>
      <c r="AS9" s="697"/>
      <c r="AT9" s="697"/>
      <c r="AU9" s="697"/>
      <c r="AV9" s="697"/>
      <c r="AW9" s="693">
        <v>0.67105263157894735</v>
      </c>
      <c r="AX9" s="693">
        <v>0.8</v>
      </c>
      <c r="AY9" s="693">
        <f>+AW9/'[16]PAI REGALÍAS'!P9</f>
        <v>0.83881578947368418</v>
      </c>
      <c r="AZ9" s="696" t="s">
        <v>1453</v>
      </c>
      <c r="BA9" s="697"/>
      <c r="BB9" s="697"/>
      <c r="BC9" s="697"/>
      <c r="BD9" s="697"/>
      <c r="BE9" s="701">
        <v>0.86624203821656054</v>
      </c>
      <c r="BF9" s="693">
        <v>0.8</v>
      </c>
      <c r="BG9" s="693">
        <f>+BE9/'[17]PAI REGALÍAS'!P9</f>
        <v>1.0828025477707006</v>
      </c>
      <c r="BH9" s="696" t="s">
        <v>1454</v>
      </c>
      <c r="BI9" s="697"/>
      <c r="BJ9" s="697"/>
      <c r="BK9" s="697"/>
      <c r="BL9" s="697"/>
      <c r="BM9" s="693">
        <v>0.87550200803212852</v>
      </c>
      <c r="BN9" s="693">
        <v>0.8</v>
      </c>
      <c r="BO9" s="693">
        <f>+BM9/'[18]PAI REGALÍAS'!P9</f>
        <v>1.0943775100401605</v>
      </c>
      <c r="BP9" s="696" t="s">
        <v>1455</v>
      </c>
      <c r="BQ9" s="697"/>
      <c r="BR9" s="697"/>
      <c r="BS9" s="697"/>
      <c r="BT9" s="697"/>
      <c r="BU9" s="693">
        <v>0.90265486725663702</v>
      </c>
      <c r="BV9" s="693">
        <v>0.8</v>
      </c>
      <c r="BW9" s="693">
        <v>1.1283185840707961</v>
      </c>
      <c r="BX9" s="696" t="s">
        <v>1456</v>
      </c>
      <c r="BY9" s="697"/>
      <c r="BZ9" s="697"/>
      <c r="CA9" s="697"/>
      <c r="CB9" s="697"/>
      <c r="CC9" s="693">
        <v>0.91990291262135926</v>
      </c>
      <c r="CD9" s="693">
        <v>0.8</v>
      </c>
      <c r="CE9" s="693">
        <v>1.149878640776699</v>
      </c>
      <c r="CF9" s="696" t="s">
        <v>1457</v>
      </c>
      <c r="CG9" s="697"/>
      <c r="CH9" s="697"/>
      <c r="CI9" s="697"/>
      <c r="CJ9" s="697"/>
      <c r="CK9" s="693">
        <v>0.93153526970954403</v>
      </c>
      <c r="CL9" s="693">
        <v>0.8</v>
      </c>
      <c r="CM9" s="693">
        <v>1.16441908713693</v>
      </c>
      <c r="CN9" s="696" t="s">
        <v>1458</v>
      </c>
      <c r="CO9" s="697"/>
      <c r="CP9" s="697"/>
      <c r="CQ9" s="697"/>
      <c r="CR9" s="697"/>
    </row>
    <row r="10" spans="1:698" ht="78" customHeight="1" x14ac:dyDescent="0.25">
      <c r="A10" s="78" t="s">
        <v>47</v>
      </c>
      <c r="B10" s="78" t="s">
        <v>48</v>
      </c>
      <c r="C10" s="78" t="s">
        <v>49</v>
      </c>
      <c r="D10" s="78" t="s">
        <v>50</v>
      </c>
      <c r="E10" s="78" t="s">
        <v>51</v>
      </c>
      <c r="F10" s="78" t="s">
        <v>52</v>
      </c>
      <c r="G10" s="78" t="s">
        <v>53</v>
      </c>
      <c r="H10" s="78" t="s">
        <v>54</v>
      </c>
      <c r="I10" s="78" t="s">
        <v>55</v>
      </c>
      <c r="J10" s="78" t="s">
        <v>852</v>
      </c>
      <c r="K10" s="78" t="s">
        <v>1459</v>
      </c>
      <c r="L10" s="78" t="s">
        <v>1425</v>
      </c>
      <c r="M10" s="78" t="s">
        <v>1426</v>
      </c>
      <c r="N10" s="78" t="s">
        <v>93</v>
      </c>
      <c r="O10" s="78"/>
      <c r="P10" s="79">
        <v>0.75</v>
      </c>
      <c r="Q10" s="694"/>
      <c r="R10" s="694"/>
      <c r="S10" s="694"/>
      <c r="T10" s="694"/>
      <c r="U10" s="694"/>
      <c r="V10" s="78">
        <v>980814657</v>
      </c>
      <c r="W10" s="448"/>
      <c r="X10" s="78" t="s">
        <v>1427</v>
      </c>
      <c r="Y10" s="82">
        <v>1</v>
      </c>
      <c r="Z10" s="82">
        <v>0.75</v>
      </c>
      <c r="AA10" s="82">
        <f>+Y10/'[14]PAI REGALÍAS'!P10</f>
        <v>1.3333333333333333</v>
      </c>
      <c r="AB10" s="83" t="s">
        <v>1428</v>
      </c>
      <c r="AC10" s="699"/>
      <c r="AD10" s="699"/>
      <c r="AE10" s="699"/>
      <c r="AF10" s="700"/>
      <c r="AG10" s="82">
        <v>1</v>
      </c>
      <c r="AH10" s="82">
        <v>0.75</v>
      </c>
      <c r="AI10" s="82">
        <f>+AG10/'[15]PAI REGALÍAS'!P10</f>
        <v>1.3333333333333333</v>
      </c>
      <c r="AJ10" s="83" t="s">
        <v>1460</v>
      </c>
      <c r="AK10" s="699"/>
      <c r="AL10" s="699"/>
      <c r="AM10" s="699"/>
      <c r="AN10" s="700"/>
      <c r="AO10" s="82">
        <v>1</v>
      </c>
      <c r="AP10" s="82">
        <v>0.75</v>
      </c>
      <c r="AQ10" s="82">
        <f t="shared" si="0"/>
        <v>1.3333333333333333</v>
      </c>
      <c r="AR10" s="83" t="s">
        <v>1461</v>
      </c>
      <c r="AS10" s="699"/>
      <c r="AT10" s="699"/>
      <c r="AU10" s="699"/>
      <c r="AV10" s="700"/>
      <c r="AW10" s="82">
        <v>1</v>
      </c>
      <c r="AX10" s="82">
        <v>0.75</v>
      </c>
      <c r="AY10" s="82">
        <f>+AW10/'[16]PAI REGALÍAS'!P10</f>
        <v>1.3333333333333333</v>
      </c>
      <c r="AZ10" s="83" t="s">
        <v>1462</v>
      </c>
      <c r="BA10" s="699"/>
      <c r="BB10" s="699"/>
      <c r="BC10" s="699"/>
      <c r="BD10" s="700"/>
      <c r="BE10" s="82">
        <v>1</v>
      </c>
      <c r="BF10" s="82">
        <v>0.75</v>
      </c>
      <c r="BG10" s="82">
        <f>+BE10/'[17]PAI REGALÍAS'!P10</f>
        <v>1.3333333333333333</v>
      </c>
      <c r="BH10" s="83" t="s">
        <v>1463</v>
      </c>
      <c r="BI10" s="699"/>
      <c r="BJ10" s="699"/>
      <c r="BK10" s="699"/>
      <c r="BL10" s="700"/>
      <c r="BM10" s="82">
        <v>1</v>
      </c>
      <c r="BN10" s="82">
        <v>0.75</v>
      </c>
      <c r="BO10" s="82">
        <f>+BM10/'[18]PAI REGALÍAS'!P10</f>
        <v>1.3333333333333333</v>
      </c>
      <c r="BP10" s="83" t="s">
        <v>1464</v>
      </c>
      <c r="BQ10" s="699"/>
      <c r="BR10" s="699"/>
      <c r="BS10" s="699"/>
      <c r="BT10" s="700"/>
      <c r="BU10" s="82">
        <v>1</v>
      </c>
      <c r="BV10" s="82">
        <v>0.75</v>
      </c>
      <c r="BW10" s="82">
        <v>1.3333333333333333</v>
      </c>
      <c r="BX10" s="83" t="s">
        <v>1465</v>
      </c>
      <c r="BY10" s="699"/>
      <c r="BZ10" s="699"/>
      <c r="CA10" s="699"/>
      <c r="CB10" s="700"/>
      <c r="CC10" s="82">
        <v>1</v>
      </c>
      <c r="CD10" s="82">
        <v>0.75</v>
      </c>
      <c r="CE10" s="82">
        <v>1.3333333333333333</v>
      </c>
      <c r="CF10" s="83" t="s">
        <v>1466</v>
      </c>
      <c r="CG10" s="699"/>
      <c r="CH10" s="699"/>
      <c r="CI10" s="699"/>
      <c r="CJ10" s="700"/>
      <c r="CK10" s="82">
        <v>1</v>
      </c>
      <c r="CL10" s="82">
        <v>0.75</v>
      </c>
      <c r="CM10" s="82">
        <v>1.3333333333333333</v>
      </c>
      <c r="CN10" s="83" t="s">
        <v>1467</v>
      </c>
      <c r="CO10" s="699"/>
      <c r="CP10" s="699"/>
      <c r="CQ10" s="699"/>
      <c r="CR10" s="700"/>
    </row>
    <row r="11" spans="1:698" ht="105.75" customHeight="1" x14ac:dyDescent="0.25">
      <c r="A11" s="378" t="s">
        <v>47</v>
      </c>
      <c r="B11" s="378" t="s">
        <v>48</v>
      </c>
      <c r="C11" s="378" t="s">
        <v>49</v>
      </c>
      <c r="D11" s="378" t="s">
        <v>50</v>
      </c>
      <c r="E11" s="378" t="s">
        <v>51</v>
      </c>
      <c r="F11" s="378" t="s">
        <v>52</v>
      </c>
      <c r="G11" s="378" t="s">
        <v>53</v>
      </c>
      <c r="H11" s="378" t="s">
        <v>54</v>
      </c>
      <c r="I11" s="378" t="s">
        <v>384</v>
      </c>
      <c r="J11" s="378" t="s">
        <v>852</v>
      </c>
      <c r="K11" s="378" t="s">
        <v>1459</v>
      </c>
      <c r="L11" s="378" t="s">
        <v>1437</v>
      </c>
      <c r="M11" s="378" t="s">
        <v>1438</v>
      </c>
      <c r="N11" s="378" t="s">
        <v>60</v>
      </c>
      <c r="O11" s="702"/>
      <c r="P11" s="703">
        <v>95</v>
      </c>
      <c r="Q11" s="694"/>
      <c r="R11" s="694"/>
      <c r="S11" s="694"/>
      <c r="T11" s="694"/>
      <c r="U11" s="694"/>
      <c r="V11" s="378">
        <v>48879865</v>
      </c>
      <c r="W11" s="448"/>
      <c r="X11" s="378" t="s">
        <v>1427</v>
      </c>
      <c r="Y11" s="693">
        <v>0</v>
      </c>
      <c r="Z11" s="693">
        <v>0.95</v>
      </c>
      <c r="AA11" s="693">
        <f>+Y11/'[14]PAI REGALÍAS'!P11</f>
        <v>0</v>
      </c>
      <c r="AB11" s="696" t="s">
        <v>1468</v>
      </c>
      <c r="AC11" s="697"/>
      <c r="AD11" s="697"/>
      <c r="AE11" s="697"/>
      <c r="AF11" s="697"/>
      <c r="AG11" s="703">
        <v>3</v>
      </c>
      <c r="AH11" s="703">
        <v>95</v>
      </c>
      <c r="AI11" s="693">
        <f>+AG11/'[15]PAI REGALÍAS'!P11</f>
        <v>3.1578947368421054E-2</v>
      </c>
      <c r="AJ11" s="696" t="s">
        <v>1469</v>
      </c>
      <c r="AK11" s="697"/>
      <c r="AL11" s="697"/>
      <c r="AM11" s="697"/>
      <c r="AN11" s="697"/>
      <c r="AO11" s="703">
        <v>3</v>
      </c>
      <c r="AP11" s="703">
        <v>95</v>
      </c>
      <c r="AQ11" s="693">
        <f t="shared" si="0"/>
        <v>3.1578947368421054E-2</v>
      </c>
      <c r="AR11" s="696" t="s">
        <v>1470</v>
      </c>
      <c r="AS11" s="697"/>
      <c r="AT11" s="697"/>
      <c r="AU11" s="697"/>
      <c r="AV11" s="697"/>
      <c r="AW11" s="703">
        <v>1</v>
      </c>
      <c r="AX11" s="703">
        <v>95</v>
      </c>
      <c r="AY11" s="693">
        <f>+AW11/'[16]PAI REGALÍAS'!P11</f>
        <v>1.0526315789473684E-2</v>
      </c>
      <c r="AZ11" s="696" t="s">
        <v>1471</v>
      </c>
      <c r="BA11" s="697"/>
      <c r="BB11" s="697"/>
      <c r="BC11" s="697"/>
      <c r="BD11" s="697"/>
      <c r="BE11" s="703">
        <v>3</v>
      </c>
      <c r="BF11" s="703">
        <v>95</v>
      </c>
      <c r="BG11" s="693">
        <f>+BE11/'[17]PAI REGALÍAS'!P11</f>
        <v>3.1578947368421054E-2</v>
      </c>
      <c r="BH11" s="696" t="s">
        <v>1472</v>
      </c>
      <c r="BI11" s="697"/>
      <c r="BJ11" s="697"/>
      <c r="BK11" s="697"/>
      <c r="BL11" s="697"/>
      <c r="BM11" s="703">
        <v>16</v>
      </c>
      <c r="BN11" s="703">
        <v>95</v>
      </c>
      <c r="BO11" s="693">
        <f>+BM11/'[18]PAI REGALÍAS'!P11</f>
        <v>0.16842105263157894</v>
      </c>
      <c r="BP11" s="696" t="s">
        <v>1473</v>
      </c>
      <c r="BQ11" s="697"/>
      <c r="BR11" s="697"/>
      <c r="BS11" s="697"/>
      <c r="BT11" s="697"/>
      <c r="BU11" s="703">
        <v>33</v>
      </c>
      <c r="BV11" s="703">
        <v>95</v>
      </c>
      <c r="BW11" s="693">
        <v>0.3473684210526316</v>
      </c>
      <c r="BX11" s="696" t="s">
        <v>1474</v>
      </c>
      <c r="BY11" s="697"/>
      <c r="BZ11" s="697"/>
      <c r="CA11" s="697"/>
      <c r="CB11" s="697"/>
      <c r="CC11" s="703">
        <v>43</v>
      </c>
      <c r="CD11" s="703">
        <v>95</v>
      </c>
      <c r="CE11" s="693">
        <v>0.45263157894736844</v>
      </c>
      <c r="CF11" s="696" t="s">
        <v>1475</v>
      </c>
      <c r="CG11" s="697"/>
      <c r="CH11" s="697"/>
      <c r="CI11" s="697"/>
      <c r="CJ11" s="697"/>
      <c r="CK11" s="703">
        <v>62</v>
      </c>
      <c r="CL11" s="703">
        <v>95</v>
      </c>
      <c r="CM11" s="693">
        <v>0.65263157894736845</v>
      </c>
      <c r="CN11" s="696" t="s">
        <v>1476</v>
      </c>
      <c r="CO11" s="697"/>
      <c r="CP11" s="697"/>
      <c r="CQ11" s="697"/>
      <c r="CR11" s="697"/>
    </row>
    <row r="12" spans="1:698" ht="113.25" customHeight="1" x14ac:dyDescent="0.25">
      <c r="A12" s="78" t="s">
        <v>47</v>
      </c>
      <c r="B12" s="78" t="s">
        <v>48</v>
      </c>
      <c r="C12" s="78" t="s">
        <v>49</v>
      </c>
      <c r="D12" s="78" t="s">
        <v>717</v>
      </c>
      <c r="E12" s="78" t="s">
        <v>90</v>
      </c>
      <c r="F12" s="78" t="s">
        <v>52</v>
      </c>
      <c r="G12" s="78" t="s">
        <v>53</v>
      </c>
      <c r="H12" s="78" t="s">
        <v>54</v>
      </c>
      <c r="I12" s="78" t="s">
        <v>384</v>
      </c>
      <c r="J12" s="78" t="s">
        <v>852</v>
      </c>
      <c r="K12" s="78" t="s">
        <v>1459</v>
      </c>
      <c r="L12" s="78" t="s">
        <v>1448</v>
      </c>
      <c r="M12" s="78" t="s">
        <v>1449</v>
      </c>
      <c r="N12" s="78" t="s">
        <v>93</v>
      </c>
      <c r="O12" s="78"/>
      <c r="P12" s="79">
        <v>0.8</v>
      </c>
      <c r="Q12" s="694"/>
      <c r="R12" s="694"/>
      <c r="S12" s="694"/>
      <c r="T12" s="694"/>
      <c r="U12" s="694"/>
      <c r="V12" s="78">
        <v>165761195</v>
      </c>
      <c r="W12" s="448"/>
      <c r="X12" s="78" t="s">
        <v>1427</v>
      </c>
      <c r="Y12" s="82">
        <v>1</v>
      </c>
      <c r="Z12" s="82">
        <v>0.8</v>
      </c>
      <c r="AA12" s="82">
        <f>+Y12/'[14]PAI REGALÍAS'!P12</f>
        <v>1.25</v>
      </c>
      <c r="AB12" s="83" t="s">
        <v>1477</v>
      </c>
      <c r="AC12" s="699"/>
      <c r="AD12" s="699"/>
      <c r="AE12" s="699"/>
      <c r="AF12" s="700"/>
      <c r="AG12" s="82">
        <v>1.21</v>
      </c>
      <c r="AH12" s="82">
        <v>0.8</v>
      </c>
      <c r="AI12" s="82">
        <f>+AG12/'[15]PAI REGALÍAS'!P12</f>
        <v>1.5125</v>
      </c>
      <c r="AJ12" s="83" t="s">
        <v>1478</v>
      </c>
      <c r="AK12" s="699"/>
      <c r="AL12" s="699"/>
      <c r="AM12" s="699"/>
      <c r="AN12" s="700"/>
      <c r="AO12" s="82">
        <v>0.875</v>
      </c>
      <c r="AP12" s="82">
        <v>0.8</v>
      </c>
      <c r="AQ12" s="82">
        <f t="shared" si="0"/>
        <v>1.09375</v>
      </c>
      <c r="AR12" s="83" t="s">
        <v>1479</v>
      </c>
      <c r="AS12" s="699"/>
      <c r="AT12" s="699"/>
      <c r="AU12" s="699"/>
      <c r="AV12" s="700"/>
      <c r="AW12" s="82">
        <v>0.88235294117647056</v>
      </c>
      <c r="AX12" s="82">
        <v>0.8</v>
      </c>
      <c r="AY12" s="82">
        <f>+AW12/'[16]PAI REGALÍAS'!P12</f>
        <v>1.1029411764705881</v>
      </c>
      <c r="AZ12" s="83" t="s">
        <v>1480</v>
      </c>
      <c r="BA12" s="699"/>
      <c r="BB12" s="699"/>
      <c r="BC12" s="699"/>
      <c r="BD12" s="700"/>
      <c r="BE12" s="81">
        <v>0.86301369863013699</v>
      </c>
      <c r="BF12" s="82">
        <v>0.8</v>
      </c>
      <c r="BG12" s="82">
        <f>+BE12/'[17]PAI REGALÍAS'!P12</f>
        <v>1.0787671232876712</v>
      </c>
      <c r="BH12" s="83" t="s">
        <v>1481</v>
      </c>
      <c r="BI12" s="699"/>
      <c r="BJ12" s="699"/>
      <c r="BK12" s="699"/>
      <c r="BL12" s="700"/>
      <c r="BM12" s="82">
        <v>0.86821705426356588</v>
      </c>
      <c r="BN12" s="82">
        <v>0.8</v>
      </c>
      <c r="BO12" s="82">
        <f>+BM12/'[18]PAI REGALÍAS'!P12</f>
        <v>1.0852713178294573</v>
      </c>
      <c r="BP12" s="83" t="s">
        <v>1482</v>
      </c>
      <c r="BQ12" s="699"/>
      <c r="BR12" s="699"/>
      <c r="BS12" s="699"/>
      <c r="BT12" s="700"/>
      <c r="BU12" s="82">
        <v>0.89830508474576276</v>
      </c>
      <c r="BV12" s="82">
        <v>0.8</v>
      </c>
      <c r="BW12" s="82">
        <v>1.1228813559322033</v>
      </c>
      <c r="BX12" s="83" t="s">
        <v>1483</v>
      </c>
      <c r="BY12" s="699"/>
      <c r="BZ12" s="699"/>
      <c r="CA12" s="699"/>
      <c r="CB12" s="700"/>
      <c r="CC12" s="82">
        <v>0.91063829787234041</v>
      </c>
      <c r="CD12" s="82">
        <v>0.8</v>
      </c>
      <c r="CE12" s="82">
        <v>1.1382978723404253</v>
      </c>
      <c r="CF12" s="83" t="s">
        <v>1484</v>
      </c>
      <c r="CG12" s="699"/>
      <c r="CH12" s="699"/>
      <c r="CI12" s="699"/>
      <c r="CJ12" s="700"/>
      <c r="CK12" s="82">
        <v>0.91166077738515905</v>
      </c>
      <c r="CL12" s="82">
        <v>0.8</v>
      </c>
      <c r="CM12" s="82">
        <v>1.1395759717314486</v>
      </c>
      <c r="CN12" s="83" t="s">
        <v>1485</v>
      </c>
      <c r="CO12" s="699"/>
      <c r="CP12" s="699"/>
      <c r="CQ12" s="699"/>
      <c r="CR12" s="700"/>
    </row>
    <row r="13" spans="1:698" ht="89.25" customHeight="1" x14ac:dyDescent="0.25">
      <c r="A13" s="378" t="s">
        <v>47</v>
      </c>
      <c r="B13" s="378" t="s">
        <v>48</v>
      </c>
      <c r="C13" s="378" t="s">
        <v>49</v>
      </c>
      <c r="D13" s="378" t="s">
        <v>50</v>
      </c>
      <c r="E13" s="378" t="s">
        <v>51</v>
      </c>
      <c r="F13" s="378" t="s">
        <v>52</v>
      </c>
      <c r="G13" s="378" t="s">
        <v>53</v>
      </c>
      <c r="H13" s="378" t="s">
        <v>54</v>
      </c>
      <c r="I13" s="378" t="s">
        <v>55</v>
      </c>
      <c r="J13" s="378" t="s">
        <v>852</v>
      </c>
      <c r="K13" s="378" t="s">
        <v>1486</v>
      </c>
      <c r="L13" s="378" t="s">
        <v>854</v>
      </c>
      <c r="M13" s="378" t="s">
        <v>855</v>
      </c>
      <c r="N13" s="378" t="s">
        <v>93</v>
      </c>
      <c r="O13" s="378"/>
      <c r="P13" s="693">
        <v>0.9</v>
      </c>
      <c r="Q13" s="694"/>
      <c r="R13" s="694"/>
      <c r="S13" s="694"/>
      <c r="T13" s="694"/>
      <c r="U13" s="694"/>
      <c r="V13" s="378">
        <v>360808794</v>
      </c>
      <c r="W13" s="448"/>
      <c r="X13" s="378" t="s">
        <v>1427</v>
      </c>
      <c r="Y13" s="701">
        <v>1</v>
      </c>
      <c r="Z13" s="693">
        <v>0.9</v>
      </c>
      <c r="AA13" s="693">
        <f>+Y13/'[14]PAI REGALÍAS'!P13</f>
        <v>1.1111111111111112</v>
      </c>
      <c r="AB13" s="696" t="s">
        <v>1487</v>
      </c>
      <c r="AC13" s="697"/>
      <c r="AD13" s="697"/>
      <c r="AE13" s="697"/>
      <c r="AF13" s="697"/>
      <c r="AG13" s="701">
        <v>1</v>
      </c>
      <c r="AH13" s="693">
        <v>0.9</v>
      </c>
      <c r="AI13" s="693">
        <f>+AG13/'[15]PAI REGALÍAS'!P13</f>
        <v>1.1111111111111112</v>
      </c>
      <c r="AJ13" s="696" t="s">
        <v>1488</v>
      </c>
      <c r="AK13" s="697"/>
      <c r="AL13" s="697"/>
      <c r="AM13" s="697"/>
      <c r="AN13" s="697"/>
      <c r="AO13" s="701">
        <v>1</v>
      </c>
      <c r="AP13" s="693">
        <v>0.9</v>
      </c>
      <c r="AQ13" s="693">
        <f t="shared" si="0"/>
        <v>1.1111111111111112</v>
      </c>
      <c r="AR13" s="696" t="s">
        <v>1489</v>
      </c>
      <c r="AS13" s="697"/>
      <c r="AT13" s="697"/>
      <c r="AU13" s="697"/>
      <c r="AV13" s="697"/>
      <c r="AW13" s="701">
        <v>1</v>
      </c>
      <c r="AX13" s="693">
        <v>0.9</v>
      </c>
      <c r="AY13" s="693">
        <f>+AW13/'[16]PAI REGALÍAS'!P13</f>
        <v>1.1111111111111112</v>
      </c>
      <c r="AZ13" s="696" t="s">
        <v>1490</v>
      </c>
      <c r="BA13" s="697"/>
      <c r="BB13" s="697"/>
      <c r="BC13" s="697"/>
      <c r="BD13" s="697"/>
      <c r="BE13" s="701">
        <v>1</v>
      </c>
      <c r="BF13" s="693">
        <v>0.9</v>
      </c>
      <c r="BG13" s="693">
        <f>+BE13/'[17]PAI REGALÍAS'!P13</f>
        <v>1.1111111111111112</v>
      </c>
      <c r="BH13" s="696" t="s">
        <v>1491</v>
      </c>
      <c r="BI13" s="697"/>
      <c r="BJ13" s="697"/>
      <c r="BK13" s="697"/>
      <c r="BL13" s="697"/>
      <c r="BM13" s="701">
        <v>1</v>
      </c>
      <c r="BN13" s="693">
        <v>0.9</v>
      </c>
      <c r="BO13" s="693">
        <f>+BM13/'[18]PAI REGALÍAS'!P13</f>
        <v>1.1111111111111112</v>
      </c>
      <c r="BP13" s="696" t="s">
        <v>1492</v>
      </c>
      <c r="BQ13" s="697"/>
      <c r="BR13" s="697"/>
      <c r="BS13" s="697"/>
      <c r="BT13" s="697"/>
      <c r="BU13" s="701">
        <v>0.97499999999999998</v>
      </c>
      <c r="BV13" s="693">
        <v>0.9</v>
      </c>
      <c r="BW13" s="693">
        <v>1.0833333333333333</v>
      </c>
      <c r="BX13" s="696" t="s">
        <v>1493</v>
      </c>
      <c r="BY13" s="697"/>
      <c r="BZ13" s="697"/>
      <c r="CA13" s="697"/>
      <c r="CB13" s="697"/>
      <c r="CC13" s="701">
        <v>0.97499999999999998</v>
      </c>
      <c r="CD13" s="693">
        <v>0.9</v>
      </c>
      <c r="CE13" s="693">
        <v>1.0833333333333333</v>
      </c>
      <c r="CF13" s="696" t="s">
        <v>1494</v>
      </c>
      <c r="CG13" s="697"/>
      <c r="CH13" s="697"/>
      <c r="CI13" s="697"/>
      <c r="CJ13" s="697"/>
      <c r="CK13" s="701">
        <v>0.97499999999999998</v>
      </c>
      <c r="CL13" s="693">
        <v>0.9</v>
      </c>
      <c r="CM13" s="693">
        <v>1.0833333333333333</v>
      </c>
      <c r="CN13" s="696" t="s">
        <v>1495</v>
      </c>
      <c r="CO13" s="697"/>
      <c r="CP13" s="697"/>
      <c r="CQ13" s="697"/>
      <c r="CR13" s="697"/>
    </row>
    <row r="14" spans="1:698" ht="154.5" customHeight="1" x14ac:dyDescent="0.25">
      <c r="A14" s="78" t="s">
        <v>47</v>
      </c>
      <c r="B14" s="78" t="s">
        <v>48</v>
      </c>
      <c r="C14" s="78" t="s">
        <v>49</v>
      </c>
      <c r="D14" s="78" t="s">
        <v>50</v>
      </c>
      <c r="E14" s="78" t="s">
        <v>90</v>
      </c>
      <c r="F14" s="78" t="s">
        <v>52</v>
      </c>
      <c r="G14" s="78" t="s">
        <v>53</v>
      </c>
      <c r="H14" s="78" t="s">
        <v>54</v>
      </c>
      <c r="I14" s="78" t="s">
        <v>384</v>
      </c>
      <c r="J14" s="78" t="s">
        <v>852</v>
      </c>
      <c r="K14" s="78" t="s">
        <v>1496</v>
      </c>
      <c r="L14" s="78" t="s">
        <v>1497</v>
      </c>
      <c r="M14" s="78" t="s">
        <v>1498</v>
      </c>
      <c r="N14" s="78" t="s">
        <v>93</v>
      </c>
      <c r="O14" s="78"/>
      <c r="P14" s="79">
        <v>0.55000000000000004</v>
      </c>
      <c r="Q14" s="694"/>
      <c r="R14" s="694"/>
      <c r="S14" s="694"/>
      <c r="T14" s="694"/>
      <c r="U14" s="694"/>
      <c r="V14" s="78">
        <v>852240076</v>
      </c>
      <c r="W14" s="448"/>
      <c r="X14" s="78" t="s">
        <v>1427</v>
      </c>
      <c r="Y14" s="704">
        <f>26/470</f>
        <v>5.5319148936170209E-2</v>
      </c>
      <c r="Z14" s="82">
        <v>0.55000000000000004</v>
      </c>
      <c r="AA14" s="82">
        <f>+Y14/'[14]PAI REGALÍAS'!P14</f>
        <v>0.10058027079303673</v>
      </c>
      <c r="AB14" s="83" t="s">
        <v>1499</v>
      </c>
      <c r="AC14" s="699"/>
      <c r="AD14" s="699"/>
      <c r="AE14" s="699"/>
      <c r="AF14" s="700"/>
      <c r="AG14" s="704">
        <f>69/747</f>
        <v>9.2369477911646583E-2</v>
      </c>
      <c r="AH14" s="82">
        <v>0.55000000000000004</v>
      </c>
      <c r="AI14" s="82">
        <f>+AG14/'[15]PAI REGALÍAS'!P14</f>
        <v>0.16794450529390287</v>
      </c>
      <c r="AJ14" s="83" t="s">
        <v>1500</v>
      </c>
      <c r="AK14" s="699"/>
      <c r="AL14" s="699"/>
      <c r="AM14" s="699"/>
      <c r="AN14" s="700"/>
      <c r="AO14" s="704">
        <f>128/747</f>
        <v>0.17135207496653279</v>
      </c>
      <c r="AP14" s="82">
        <v>0.55000000000000004</v>
      </c>
      <c r="AQ14" s="82">
        <f>+AO14/P14</f>
        <v>0.31154922721187778</v>
      </c>
      <c r="AR14" s="83" t="s">
        <v>1501</v>
      </c>
      <c r="AS14" s="699"/>
      <c r="AT14" s="699"/>
      <c r="AU14" s="699"/>
      <c r="AV14" s="700"/>
      <c r="AW14" s="704">
        <f>255/747</f>
        <v>0.34136546184738958</v>
      </c>
      <c r="AX14" s="82">
        <v>0.55000000000000004</v>
      </c>
      <c r="AY14" s="82">
        <f>+AW14/'[16]PAI REGALÍAS'!P14</f>
        <v>0.62066447608616282</v>
      </c>
      <c r="AZ14" s="83" t="s">
        <v>1502</v>
      </c>
      <c r="BA14" s="699"/>
      <c r="BB14" s="699"/>
      <c r="BC14" s="699"/>
      <c r="BD14" s="700"/>
      <c r="BE14" s="704">
        <f>340/747</f>
        <v>0.45515394912985274</v>
      </c>
      <c r="BF14" s="82">
        <v>0.55000000000000004</v>
      </c>
      <c r="BG14" s="82">
        <f>+BE14/'[17]PAI REGALÍAS'!P14</f>
        <v>0.82755263478155039</v>
      </c>
      <c r="BH14" s="83" t="s">
        <v>1503</v>
      </c>
      <c r="BI14" s="699"/>
      <c r="BJ14" s="699"/>
      <c r="BK14" s="699"/>
      <c r="BL14" s="700"/>
      <c r="BM14" s="704">
        <f>361/747</f>
        <v>0.48326639892904955</v>
      </c>
      <c r="BN14" s="82">
        <v>0.55000000000000004</v>
      </c>
      <c r="BO14" s="82">
        <f>+BM14/'[18]PAI REGALÍAS'!P14</f>
        <v>0.87866617987099915</v>
      </c>
      <c r="BP14" s="83" t="s">
        <v>1504</v>
      </c>
      <c r="BQ14" s="699"/>
      <c r="BR14" s="699"/>
      <c r="BS14" s="699"/>
      <c r="BT14" s="700"/>
      <c r="BU14" s="704">
        <v>0.55555555555555558</v>
      </c>
      <c r="BV14" s="82">
        <v>0.55000000000000004</v>
      </c>
      <c r="BW14" s="82">
        <v>1.0101010101010102</v>
      </c>
      <c r="BX14" s="83" t="s">
        <v>1505</v>
      </c>
      <c r="BY14" s="699"/>
      <c r="BZ14" s="699"/>
      <c r="CA14" s="699"/>
      <c r="CB14" s="700"/>
      <c r="CC14" s="704">
        <v>0.62382864792503345</v>
      </c>
      <c r="CD14" s="82">
        <v>0.55000000000000004</v>
      </c>
      <c r="CE14" s="82">
        <v>1.1342339053182426</v>
      </c>
      <c r="CF14" s="83" t="s">
        <v>1506</v>
      </c>
      <c r="CG14" s="699"/>
      <c r="CH14" s="699"/>
      <c r="CI14" s="699"/>
      <c r="CJ14" s="700"/>
      <c r="CK14" s="704">
        <v>0.68540829986613117</v>
      </c>
      <c r="CL14" s="82">
        <v>0.55000000000000004</v>
      </c>
      <c r="CM14" s="82">
        <v>1.2461969088475111</v>
      </c>
      <c r="CN14" s="83" t="s">
        <v>1507</v>
      </c>
      <c r="CO14" s="699"/>
      <c r="CP14" s="699"/>
      <c r="CQ14" s="699"/>
      <c r="CR14" s="700"/>
    </row>
    <row r="15" spans="1:698" s="18" customFormat="1" ht="70.5" customHeight="1" x14ac:dyDescent="0.25">
      <c r="A15" s="39"/>
      <c r="B15" s="39"/>
      <c r="C15" s="39"/>
      <c r="D15" s="39"/>
      <c r="E15" s="39"/>
      <c r="F15" s="39"/>
      <c r="G15" s="39"/>
      <c r="H15" s="39"/>
      <c r="I15" s="39"/>
      <c r="J15" s="39"/>
      <c r="K15" s="39"/>
      <c r="L15" s="39"/>
      <c r="M15" s="39"/>
      <c r="N15" s="39"/>
      <c r="O15" s="39"/>
      <c r="P15" s="40"/>
      <c r="Q15" s="39"/>
      <c r="R15" s="39"/>
      <c r="S15" s="39"/>
      <c r="T15" s="39"/>
      <c r="U15" s="39"/>
      <c r="V15" s="77"/>
      <c r="W15" s="77"/>
      <c r="X15" s="39"/>
      <c r="Y15" s="382" t="s">
        <v>102</v>
      </c>
      <c r="Z15" s="382"/>
      <c r="AA15" s="42">
        <f>AVERAGE(AA7:AA14)</f>
        <v>0.7972947560713517</v>
      </c>
      <c r="AB15" s="73"/>
      <c r="AC15" s="382" t="s">
        <v>103</v>
      </c>
      <c r="AD15" s="382"/>
      <c r="AE15" s="42" t="s">
        <v>669</v>
      </c>
      <c r="AF15" s="39"/>
      <c r="AG15" s="382" t="s">
        <v>102</v>
      </c>
      <c r="AH15" s="382"/>
      <c r="AI15" s="42">
        <f>AVERAGE(AI7:AI14)</f>
        <v>0.90810015380501263</v>
      </c>
      <c r="AJ15" s="73"/>
      <c r="AK15" s="382" t="s">
        <v>103</v>
      </c>
      <c r="AL15" s="382"/>
      <c r="AM15" s="42" t="s">
        <v>669</v>
      </c>
      <c r="AN15" s="39"/>
      <c r="AO15" s="382" t="s">
        <v>102</v>
      </c>
      <c r="AP15" s="382"/>
      <c r="AQ15" s="42">
        <f>AVERAGE(AQ7:AQ14)</f>
        <v>0.75661062135628165</v>
      </c>
      <c r="AR15" s="73"/>
      <c r="AS15" s="382" t="s">
        <v>103</v>
      </c>
      <c r="AT15" s="382"/>
      <c r="AU15" s="42" t="s">
        <v>669</v>
      </c>
      <c r="AV15" s="39"/>
      <c r="AW15" s="382" t="s">
        <v>102</v>
      </c>
      <c r="AX15" s="382"/>
      <c r="AY15" s="42">
        <f>AVERAGE(AY7:AY14)</f>
        <v>0.81620911300234245</v>
      </c>
      <c r="AZ15" s="73"/>
      <c r="BA15" s="382" t="s">
        <v>103</v>
      </c>
      <c r="BB15" s="382"/>
      <c r="BC15" s="42" t="s">
        <v>669</v>
      </c>
      <c r="BD15" s="39"/>
      <c r="BE15" s="382" t="s">
        <v>102</v>
      </c>
      <c r="BF15" s="382"/>
      <c r="BG15" s="42">
        <f>AVERAGE(BG7:BG14)</f>
        <v>0.87744145782063354</v>
      </c>
      <c r="BH15" s="73"/>
      <c r="BI15" s="382" t="s">
        <v>103</v>
      </c>
      <c r="BJ15" s="382"/>
      <c r="BK15" s="42" t="s">
        <v>669</v>
      </c>
      <c r="BL15" s="39"/>
      <c r="BM15" s="382" t="s">
        <v>102</v>
      </c>
      <c r="BN15" s="382"/>
      <c r="BO15" s="42">
        <f>AVERAGE(BO7:BO14)</f>
        <v>0.92424844029506237</v>
      </c>
      <c r="BP15" s="73"/>
      <c r="BQ15" s="382" t="s">
        <v>103</v>
      </c>
      <c r="BR15" s="382"/>
      <c r="BS15" s="42" t="s">
        <v>669</v>
      </c>
      <c r="BT15" s="39"/>
      <c r="BU15" s="382" t="s">
        <v>102</v>
      </c>
      <c r="BV15" s="382"/>
      <c r="BW15" s="42">
        <v>1.0224652503419485</v>
      </c>
      <c r="BX15" s="73"/>
      <c r="BY15" s="382" t="s">
        <v>103</v>
      </c>
      <c r="BZ15" s="382"/>
      <c r="CA15" s="42" t="s">
        <v>669</v>
      </c>
      <c r="CB15" s="39"/>
      <c r="CC15" s="382" t="s">
        <v>102</v>
      </c>
      <c r="CD15" s="382"/>
      <c r="CE15" s="42">
        <v>1.1070776180938946</v>
      </c>
      <c r="CF15" s="73"/>
      <c r="CG15" s="382" t="s">
        <v>103</v>
      </c>
      <c r="CH15" s="382"/>
      <c r="CI15" s="42" t="s">
        <v>669</v>
      </c>
      <c r="CJ15" s="39"/>
      <c r="CK15" s="382" t="s">
        <v>102</v>
      </c>
      <c r="CL15" s="382"/>
      <c r="CM15" s="42">
        <v>1.1625239959644862</v>
      </c>
      <c r="CN15" s="73"/>
      <c r="CO15" s="382" t="s">
        <v>103</v>
      </c>
      <c r="CP15" s="382"/>
      <c r="CQ15" s="42" t="s">
        <v>669</v>
      </c>
      <c r="CR15" s="39"/>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c r="IX15" s="17"/>
      <c r="IY15" s="17"/>
      <c r="IZ15" s="17"/>
      <c r="JA15" s="17"/>
      <c r="JB15" s="17"/>
      <c r="JC15" s="17"/>
      <c r="JD15" s="17"/>
      <c r="JE15" s="17"/>
      <c r="JF15" s="17"/>
      <c r="JG15" s="17"/>
      <c r="JH15" s="17"/>
      <c r="JI15" s="17"/>
      <c r="JJ15" s="17"/>
      <c r="JK15" s="17"/>
      <c r="JL15" s="17"/>
      <c r="JM15" s="17"/>
      <c r="JN15" s="17"/>
      <c r="JO15" s="17"/>
      <c r="JP15" s="17"/>
      <c r="JQ15" s="17"/>
      <c r="JR15" s="17"/>
      <c r="JS15" s="17"/>
      <c r="JT15" s="17"/>
      <c r="JU15" s="17"/>
      <c r="JV15" s="17"/>
      <c r="JW15" s="17"/>
      <c r="JX15" s="17"/>
      <c r="JY15" s="17"/>
      <c r="JZ15" s="17"/>
      <c r="KA15" s="17"/>
      <c r="KB15" s="17"/>
      <c r="KC15" s="17"/>
      <c r="KD15" s="17"/>
      <c r="KE15" s="17"/>
      <c r="KF15" s="17"/>
      <c r="KG15" s="17"/>
      <c r="KH15" s="17"/>
      <c r="KI15" s="17"/>
      <c r="KJ15" s="17"/>
      <c r="KK15" s="17"/>
      <c r="KL15" s="17"/>
      <c r="KM15" s="17"/>
      <c r="KN15" s="17"/>
      <c r="KO15" s="17"/>
      <c r="KP15" s="17"/>
      <c r="KQ15" s="17"/>
      <c r="KR15" s="17"/>
      <c r="KS15" s="17"/>
      <c r="KT15" s="17"/>
      <c r="KU15" s="17"/>
      <c r="KV15" s="17"/>
      <c r="KW15" s="17"/>
      <c r="KX15" s="17"/>
      <c r="KY15" s="17"/>
      <c r="KZ15" s="17"/>
      <c r="LA15" s="17"/>
      <c r="LB15" s="17"/>
      <c r="LC15" s="17"/>
      <c r="LD15" s="17"/>
      <c r="LE15" s="17"/>
      <c r="LF15" s="17"/>
      <c r="LG15" s="17"/>
      <c r="LH15" s="17"/>
      <c r="LI15" s="17"/>
      <c r="LJ15" s="17"/>
      <c r="LK15" s="17"/>
      <c r="LL15" s="17"/>
      <c r="LM15" s="17"/>
      <c r="LN15" s="17"/>
      <c r="LO15" s="17"/>
      <c r="LP15" s="17"/>
      <c r="LQ15" s="17"/>
      <c r="LR15" s="17"/>
      <c r="LS15" s="17"/>
      <c r="LT15" s="17"/>
      <c r="LU15" s="17"/>
      <c r="LV15" s="17"/>
      <c r="LW15" s="17"/>
      <c r="LX15" s="17"/>
      <c r="LY15" s="17"/>
      <c r="LZ15" s="17"/>
      <c r="MA15" s="17"/>
      <c r="MB15" s="17"/>
      <c r="MC15" s="17"/>
      <c r="MD15" s="17"/>
      <c r="ME15" s="17"/>
      <c r="MF15" s="17"/>
      <c r="MG15" s="17"/>
      <c r="MH15" s="17"/>
      <c r="MI15" s="17"/>
      <c r="MJ15" s="17"/>
      <c r="MK15" s="17"/>
      <c r="ML15" s="17"/>
      <c r="MM15" s="17"/>
      <c r="MN15" s="17"/>
      <c r="MO15" s="17"/>
      <c r="MP15" s="17"/>
      <c r="MQ15" s="17"/>
      <c r="MR15" s="17"/>
      <c r="MS15" s="17"/>
      <c r="MT15" s="17"/>
      <c r="MU15" s="17"/>
      <c r="MV15" s="17"/>
      <c r="MW15" s="17"/>
      <c r="MX15" s="17"/>
      <c r="MY15" s="17"/>
      <c r="MZ15" s="17"/>
      <c r="NA15" s="17"/>
      <c r="NB15" s="17"/>
      <c r="NC15" s="17"/>
      <c r="ND15" s="17"/>
      <c r="NE15" s="17"/>
      <c r="NF15" s="17"/>
      <c r="NG15" s="17"/>
      <c r="NH15" s="17"/>
      <c r="NI15" s="17"/>
      <c r="NJ15" s="17"/>
      <c r="NK15" s="17"/>
      <c r="NL15" s="17"/>
      <c r="NM15" s="17"/>
      <c r="NN15" s="17"/>
      <c r="NO15" s="17"/>
      <c r="NP15" s="17"/>
      <c r="NQ15" s="17"/>
      <c r="NR15" s="17"/>
      <c r="NS15" s="17"/>
      <c r="NT15" s="17"/>
      <c r="NU15" s="17"/>
      <c r="NV15" s="17"/>
      <c r="NW15" s="17"/>
      <c r="NX15" s="17"/>
      <c r="NY15" s="17"/>
      <c r="NZ15" s="17"/>
      <c r="OA15" s="17"/>
      <c r="OB15" s="17"/>
      <c r="OC15" s="17"/>
      <c r="OD15" s="17"/>
      <c r="OE15" s="17"/>
      <c r="OF15" s="17"/>
      <c r="OG15" s="17"/>
      <c r="OH15" s="17"/>
      <c r="OI15" s="17"/>
      <c r="OJ15" s="17"/>
      <c r="OK15" s="17"/>
      <c r="OL15" s="17"/>
      <c r="OM15" s="17"/>
      <c r="ON15" s="17"/>
      <c r="OO15" s="17"/>
      <c r="OP15" s="17"/>
      <c r="OQ15" s="17"/>
      <c r="OR15" s="17"/>
      <c r="OS15" s="17"/>
      <c r="OT15" s="17"/>
      <c r="OU15" s="17"/>
      <c r="OV15" s="17"/>
      <c r="OW15" s="17"/>
      <c r="OX15" s="17"/>
      <c r="OY15" s="17"/>
      <c r="OZ15" s="17"/>
      <c r="PA15" s="17"/>
      <c r="PB15" s="17"/>
      <c r="PC15" s="17"/>
      <c r="PD15" s="17"/>
      <c r="PE15" s="17"/>
      <c r="PF15" s="17"/>
      <c r="PG15" s="17"/>
      <c r="PH15" s="17"/>
      <c r="PI15" s="17"/>
      <c r="PJ15" s="17"/>
      <c r="PK15" s="17"/>
      <c r="PL15" s="17"/>
      <c r="PM15" s="17"/>
      <c r="PN15" s="17"/>
      <c r="PO15" s="17"/>
      <c r="PP15" s="17"/>
      <c r="PQ15" s="17"/>
      <c r="PR15" s="17"/>
      <c r="PS15" s="17"/>
      <c r="PT15" s="17"/>
      <c r="PU15" s="17"/>
      <c r="PV15" s="17"/>
      <c r="PW15" s="17"/>
      <c r="PX15" s="17"/>
      <c r="PY15" s="17"/>
      <c r="PZ15" s="17"/>
      <c r="QA15" s="17"/>
      <c r="QB15" s="17"/>
      <c r="QC15" s="17"/>
      <c r="QD15" s="17"/>
      <c r="QE15" s="17"/>
      <c r="QF15" s="17"/>
      <c r="QG15" s="17"/>
      <c r="QH15" s="17"/>
      <c r="QI15" s="17"/>
      <c r="QJ15" s="17"/>
      <c r="QK15" s="17"/>
      <c r="QL15" s="17"/>
      <c r="QM15" s="17"/>
      <c r="QN15" s="17"/>
      <c r="QO15" s="17"/>
      <c r="QP15" s="17"/>
      <c r="QQ15" s="17"/>
      <c r="QR15" s="17"/>
      <c r="QS15" s="17"/>
      <c r="QT15" s="17"/>
      <c r="QU15" s="17"/>
      <c r="QV15" s="17"/>
      <c r="QW15" s="17"/>
      <c r="QX15" s="17"/>
      <c r="QY15" s="17"/>
      <c r="QZ15" s="17"/>
      <c r="RA15" s="17"/>
      <c r="RB15" s="17"/>
      <c r="RC15" s="17"/>
      <c r="RD15" s="17"/>
      <c r="RE15" s="17"/>
      <c r="RF15" s="17"/>
      <c r="RG15" s="17"/>
      <c r="RH15" s="17"/>
      <c r="RI15" s="17"/>
      <c r="RJ15" s="17"/>
      <c r="RK15" s="17"/>
      <c r="RL15" s="17"/>
      <c r="RM15" s="17"/>
      <c r="RN15" s="17"/>
      <c r="RO15" s="17"/>
      <c r="RP15" s="17"/>
      <c r="RQ15" s="17"/>
      <c r="RR15" s="17"/>
      <c r="RS15" s="17"/>
      <c r="RT15" s="17"/>
      <c r="RU15" s="17"/>
      <c r="RV15" s="17"/>
      <c r="RW15" s="17"/>
      <c r="RX15" s="17"/>
      <c r="RY15" s="17"/>
      <c r="RZ15" s="17"/>
      <c r="SA15" s="17"/>
      <c r="SB15" s="17"/>
      <c r="SC15" s="17"/>
      <c r="SD15" s="17"/>
      <c r="SE15" s="17"/>
      <c r="SF15" s="17"/>
      <c r="SG15" s="17"/>
      <c r="SH15" s="17"/>
      <c r="SI15" s="17"/>
      <c r="SJ15" s="17"/>
      <c r="SK15" s="17"/>
      <c r="SL15" s="17"/>
      <c r="SM15" s="17"/>
      <c r="SN15" s="17"/>
      <c r="SO15" s="17"/>
      <c r="SP15" s="17"/>
      <c r="SQ15" s="17"/>
      <c r="SR15" s="17"/>
      <c r="SS15" s="17"/>
      <c r="ST15" s="17"/>
      <c r="SU15" s="17"/>
      <c r="SV15" s="17"/>
      <c r="SW15" s="17"/>
      <c r="SX15" s="17"/>
      <c r="SY15" s="17"/>
      <c r="SZ15" s="17"/>
      <c r="TA15" s="17"/>
      <c r="TB15" s="17"/>
      <c r="TC15" s="17"/>
      <c r="TD15" s="17"/>
      <c r="TE15" s="17"/>
      <c r="TF15" s="17"/>
      <c r="TG15" s="17"/>
      <c r="TH15" s="17"/>
      <c r="TI15" s="17"/>
      <c r="TJ15" s="17"/>
      <c r="TK15" s="17"/>
      <c r="TL15" s="17"/>
      <c r="TM15" s="17"/>
      <c r="TN15" s="17"/>
      <c r="TO15" s="17"/>
      <c r="TP15" s="17"/>
      <c r="TQ15" s="17"/>
      <c r="TR15" s="17"/>
      <c r="TS15" s="17"/>
      <c r="TT15" s="17"/>
      <c r="TU15" s="17"/>
      <c r="TV15" s="17"/>
      <c r="TW15" s="17"/>
      <c r="TX15" s="17"/>
      <c r="TY15" s="17"/>
      <c r="TZ15" s="17"/>
      <c r="UA15" s="17"/>
      <c r="UB15" s="17"/>
      <c r="UC15" s="17"/>
      <c r="UD15" s="17"/>
      <c r="UE15" s="17"/>
      <c r="UF15" s="17"/>
      <c r="UG15" s="17"/>
      <c r="UH15" s="17"/>
      <c r="UI15" s="17"/>
      <c r="UJ15" s="17"/>
      <c r="UK15" s="17"/>
      <c r="UL15" s="17"/>
      <c r="UM15" s="17"/>
      <c r="UN15" s="17"/>
      <c r="UO15" s="17"/>
      <c r="UP15" s="17"/>
      <c r="UQ15" s="17"/>
      <c r="UR15" s="17"/>
      <c r="US15" s="17"/>
      <c r="UT15" s="17"/>
      <c r="UU15" s="17"/>
      <c r="UV15" s="17"/>
      <c r="UW15" s="17"/>
      <c r="UX15" s="17"/>
      <c r="UY15" s="17"/>
      <c r="UZ15" s="17"/>
      <c r="VA15" s="17"/>
      <c r="VB15" s="17"/>
      <c r="VC15" s="17"/>
      <c r="VD15" s="17"/>
      <c r="VE15" s="17"/>
      <c r="VF15" s="17"/>
      <c r="VG15" s="17"/>
      <c r="VH15" s="17"/>
      <c r="VI15" s="17"/>
      <c r="VJ15" s="17"/>
      <c r="VK15" s="17"/>
      <c r="VL15" s="17"/>
      <c r="VM15" s="17"/>
      <c r="VN15" s="17"/>
      <c r="VO15" s="17"/>
      <c r="VP15" s="17"/>
      <c r="VQ15" s="17"/>
      <c r="VR15" s="17"/>
      <c r="VS15" s="17"/>
      <c r="VT15" s="17"/>
      <c r="VU15" s="17"/>
      <c r="VV15" s="17"/>
      <c r="VW15" s="17"/>
      <c r="VX15" s="17"/>
      <c r="VY15" s="17"/>
      <c r="VZ15" s="17"/>
      <c r="WA15" s="17"/>
      <c r="WB15" s="17"/>
      <c r="WC15" s="17"/>
      <c r="WD15" s="17"/>
      <c r="WE15" s="17"/>
      <c r="WF15" s="17"/>
      <c r="WG15" s="17"/>
      <c r="WH15" s="17"/>
      <c r="WI15" s="17"/>
      <c r="WJ15" s="17"/>
      <c r="WK15" s="17"/>
      <c r="WL15" s="17"/>
      <c r="WM15" s="17"/>
      <c r="WN15" s="17"/>
      <c r="WO15" s="17"/>
      <c r="WP15" s="17"/>
      <c r="WQ15" s="17"/>
      <c r="WR15" s="17"/>
      <c r="WS15" s="17"/>
      <c r="WT15" s="17"/>
      <c r="WU15" s="17"/>
      <c r="WV15" s="17"/>
      <c r="WW15" s="17"/>
      <c r="WX15" s="17"/>
      <c r="WY15" s="17"/>
      <c r="WZ15" s="17"/>
      <c r="XA15" s="17"/>
      <c r="XB15" s="17"/>
      <c r="XC15" s="17"/>
      <c r="XD15" s="17"/>
      <c r="XE15" s="17"/>
      <c r="XF15" s="17"/>
      <c r="XG15" s="17"/>
      <c r="XH15" s="17"/>
      <c r="XI15" s="17"/>
      <c r="XJ15" s="17"/>
      <c r="XK15" s="17"/>
      <c r="XL15" s="17"/>
      <c r="XM15" s="17"/>
      <c r="XN15" s="17"/>
      <c r="XO15" s="17"/>
      <c r="XP15" s="17"/>
      <c r="XQ15" s="17"/>
      <c r="XR15" s="17"/>
      <c r="XS15" s="17"/>
      <c r="XT15" s="17"/>
      <c r="XU15" s="17"/>
      <c r="XV15" s="17"/>
      <c r="XW15" s="17"/>
      <c r="XX15" s="17"/>
      <c r="XY15" s="17"/>
      <c r="XZ15" s="17"/>
      <c r="YA15" s="17"/>
      <c r="YB15" s="17"/>
      <c r="YC15" s="17"/>
      <c r="YD15" s="17"/>
      <c r="YE15" s="17"/>
      <c r="YF15" s="17"/>
      <c r="YG15" s="17"/>
      <c r="YH15" s="17"/>
      <c r="YI15" s="17"/>
      <c r="YJ15" s="17"/>
      <c r="YK15" s="17"/>
      <c r="YL15" s="17"/>
      <c r="YM15" s="17"/>
      <c r="YN15" s="17"/>
      <c r="YO15" s="17"/>
      <c r="YP15" s="17"/>
      <c r="YQ15" s="17"/>
      <c r="YR15" s="17"/>
      <c r="YS15" s="17"/>
      <c r="YT15" s="17"/>
      <c r="YU15" s="17"/>
      <c r="YV15" s="17"/>
      <c r="YW15" s="17"/>
      <c r="YX15" s="17"/>
      <c r="YY15" s="17"/>
      <c r="YZ15" s="17"/>
      <c r="ZA15" s="17"/>
      <c r="ZB15" s="17"/>
      <c r="ZC15" s="17"/>
      <c r="ZD15" s="17"/>
      <c r="ZE15" s="17"/>
      <c r="ZF15" s="17"/>
      <c r="ZG15" s="17"/>
      <c r="ZH15" s="17"/>
      <c r="ZI15" s="17"/>
      <c r="ZJ15" s="17"/>
      <c r="ZK15" s="17"/>
      <c r="ZL15" s="17"/>
      <c r="ZM15" s="17"/>
      <c r="ZN15" s="17"/>
      <c r="ZO15" s="17"/>
      <c r="ZP15" s="17"/>
      <c r="ZQ15" s="17"/>
      <c r="ZR15" s="17"/>
      <c r="ZS15" s="17"/>
      <c r="ZT15" s="17"/>
      <c r="ZU15" s="17"/>
      <c r="ZV15" s="17"/>
    </row>
    <row r="16" spans="1:698" ht="22.5" customHeight="1" x14ac:dyDescent="0.25">
      <c r="A16" s="94"/>
      <c r="B16" s="94"/>
      <c r="C16" s="94"/>
      <c r="D16" s="94"/>
      <c r="E16" s="94"/>
      <c r="F16" s="94"/>
      <c r="G16" s="94"/>
      <c r="H16" s="94"/>
      <c r="I16" s="94"/>
      <c r="J16" s="94"/>
      <c r="K16" s="94"/>
      <c r="L16" s="94"/>
      <c r="M16" s="94"/>
      <c r="N16" s="94"/>
      <c r="O16" s="94"/>
      <c r="P16" s="94"/>
      <c r="Q16" s="94"/>
      <c r="R16" s="94"/>
      <c r="S16" s="94"/>
      <c r="T16" s="94"/>
      <c r="U16" s="94"/>
      <c r="V16" s="96"/>
      <c r="W16" s="96"/>
      <c r="X16" s="94"/>
      <c r="Y16" s="94"/>
      <c r="Z16" s="94"/>
      <c r="AA16" s="94"/>
      <c r="AB16" s="94"/>
      <c r="AC16" s="94"/>
      <c r="AD16" s="94"/>
      <c r="AE16" s="94"/>
      <c r="AF16" s="94"/>
      <c r="AG16" s="94"/>
      <c r="AH16" s="94"/>
      <c r="AI16" s="94"/>
      <c r="AJ16" s="94"/>
      <c r="AK16" s="94"/>
      <c r="AL16" s="94"/>
      <c r="AM16" s="94"/>
      <c r="AN16" s="94"/>
      <c r="AO16" s="94"/>
      <c r="AP16" s="94"/>
      <c r="AQ16" s="94"/>
      <c r="AR16" s="94"/>
      <c r="AS16" s="94"/>
      <c r="AT16" s="94"/>
      <c r="AU16" s="94"/>
      <c r="AV16" s="94"/>
      <c r="AW16" s="95"/>
      <c r="AX16" s="95"/>
      <c r="AY16" s="95"/>
      <c r="AZ16" s="94"/>
      <c r="BA16" s="94"/>
      <c r="BB16" s="94"/>
      <c r="BC16" s="94"/>
      <c r="BD16" s="94"/>
      <c r="BE16" s="95"/>
      <c r="BF16" s="95"/>
      <c r="BG16" s="95"/>
      <c r="BH16" s="94"/>
      <c r="BI16" s="94"/>
      <c r="BJ16" s="94"/>
      <c r="BK16" s="94"/>
      <c r="BL16" s="94"/>
      <c r="BM16" s="95"/>
      <c r="BN16" s="95"/>
      <c r="BO16" s="95"/>
      <c r="BP16" s="94"/>
      <c r="BQ16" s="94"/>
      <c r="BR16" s="94"/>
      <c r="BS16" s="94"/>
      <c r="BT16" s="94"/>
    </row>
    <row r="17" spans="1:72" ht="22.5" customHeight="1" x14ac:dyDescent="0.25">
      <c r="A17" s="94"/>
      <c r="B17" s="94"/>
      <c r="C17" s="94"/>
      <c r="D17" s="94"/>
      <c r="E17" s="94"/>
      <c r="F17" s="94"/>
      <c r="G17" s="94"/>
      <c r="H17" s="94"/>
      <c r="I17" s="94"/>
      <c r="J17" s="94"/>
      <c r="K17" s="94"/>
      <c r="L17" s="94"/>
      <c r="M17" s="94"/>
      <c r="N17" s="94"/>
      <c r="O17" s="94"/>
      <c r="P17" s="94"/>
      <c r="Q17" s="94"/>
      <c r="R17" s="94"/>
      <c r="S17" s="94"/>
      <c r="T17" s="94"/>
      <c r="U17" s="94"/>
      <c r="V17" s="96"/>
      <c r="W17" s="96"/>
      <c r="X17" s="94"/>
      <c r="Y17" s="94"/>
      <c r="Z17" s="94"/>
      <c r="AA17" s="94"/>
      <c r="AB17" s="94"/>
      <c r="AC17" s="94"/>
      <c r="AD17" s="94"/>
      <c r="AE17" s="94"/>
      <c r="AF17" s="94"/>
      <c r="AG17" s="94"/>
      <c r="AH17" s="94"/>
      <c r="AI17" s="94"/>
      <c r="AJ17" s="94"/>
      <c r="AK17" s="94"/>
      <c r="AL17" s="94"/>
      <c r="AM17" s="94"/>
      <c r="AN17" s="94"/>
      <c r="AO17" s="94"/>
      <c r="AP17" s="94"/>
      <c r="AQ17" s="94"/>
      <c r="AR17" s="94"/>
      <c r="AS17" s="94"/>
      <c r="AT17" s="94"/>
      <c r="AU17" s="94"/>
      <c r="AV17" s="94"/>
      <c r="AW17" s="95"/>
      <c r="AX17" s="95"/>
      <c r="AY17" s="95"/>
      <c r="AZ17" s="94"/>
      <c r="BA17" s="94"/>
      <c r="BB17" s="94"/>
      <c r="BC17" s="94"/>
      <c r="BD17" s="94"/>
      <c r="BE17" s="95"/>
      <c r="BF17" s="95"/>
      <c r="BG17" s="95"/>
      <c r="BH17" s="94"/>
      <c r="BI17" s="94"/>
      <c r="BJ17" s="94"/>
      <c r="BK17" s="94"/>
      <c r="BL17" s="94"/>
      <c r="BM17" s="95"/>
      <c r="BN17" s="95"/>
      <c r="BO17" s="95"/>
      <c r="BP17" s="17"/>
      <c r="BQ17" s="94"/>
      <c r="BR17" s="94"/>
      <c r="BS17" s="94"/>
      <c r="BT17" s="94"/>
    </row>
    <row r="18" spans="1:72" s="17" customFormat="1" ht="22.5" customHeight="1" x14ac:dyDescent="0.25">
      <c r="V18" s="99"/>
      <c r="W18" s="99"/>
      <c r="AW18" s="1"/>
      <c r="AX18" s="1"/>
      <c r="AY18" s="1"/>
      <c r="BE18" s="1"/>
      <c r="BF18" s="1"/>
      <c r="BG18" s="1"/>
      <c r="BM18" s="1"/>
      <c r="BN18" s="1"/>
      <c r="BO18" s="1"/>
    </row>
    <row r="19" spans="1:72" s="17" customFormat="1" ht="22.5" customHeight="1" x14ac:dyDescent="0.25">
      <c r="V19" s="99"/>
      <c r="W19" s="99"/>
      <c r="AW19" s="1"/>
      <c r="AX19" s="1"/>
      <c r="AY19" s="1"/>
      <c r="BE19" s="1"/>
      <c r="BF19" s="1"/>
      <c r="BG19" s="1"/>
      <c r="BM19" s="1"/>
      <c r="BN19" s="1"/>
      <c r="BO19" s="1"/>
    </row>
    <row r="20" spans="1:72" s="17" customFormat="1" ht="22.5" customHeight="1" x14ac:dyDescent="0.25">
      <c r="V20" s="99"/>
      <c r="W20" s="99"/>
      <c r="AW20" s="1"/>
      <c r="AX20" s="1"/>
      <c r="AY20" s="1"/>
      <c r="BE20" s="1"/>
      <c r="BF20" s="1"/>
      <c r="BG20" s="1"/>
      <c r="BM20" s="1"/>
      <c r="BN20" s="1"/>
      <c r="BO20" s="1"/>
    </row>
    <row r="21" spans="1:72" s="17" customFormat="1" ht="22.5" customHeight="1" x14ac:dyDescent="0.25">
      <c r="V21" s="99"/>
      <c r="W21" s="99"/>
      <c r="AW21" s="1"/>
      <c r="AX21" s="1"/>
      <c r="AY21" s="1"/>
      <c r="BE21" s="1"/>
      <c r="BF21" s="1"/>
      <c r="BG21" s="1"/>
      <c r="BM21" s="1"/>
      <c r="BN21" s="1"/>
      <c r="BO21" s="1"/>
    </row>
    <row r="22" spans="1:72" s="17" customFormat="1" ht="22.5" customHeight="1" x14ac:dyDescent="0.25">
      <c r="V22" s="99"/>
      <c r="W22" s="99"/>
      <c r="AW22" s="1"/>
      <c r="AX22" s="1"/>
      <c r="AY22" s="1"/>
      <c r="BE22" s="1"/>
      <c r="BF22" s="1"/>
      <c r="BG22" s="1"/>
      <c r="BM22" s="1"/>
      <c r="BN22" s="1"/>
      <c r="BO22" s="1"/>
    </row>
    <row r="23" spans="1:72" s="17" customFormat="1" ht="22.5" customHeight="1" x14ac:dyDescent="0.25">
      <c r="V23" s="99"/>
      <c r="W23" s="99"/>
      <c r="AW23" s="1"/>
      <c r="AX23" s="1"/>
      <c r="AY23" s="1"/>
      <c r="BE23" s="1"/>
      <c r="BF23" s="1"/>
      <c r="BG23" s="1"/>
      <c r="BM23" s="1"/>
      <c r="BN23" s="1"/>
      <c r="BO23" s="1"/>
    </row>
    <row r="24" spans="1:72" s="17" customFormat="1" ht="22.5" customHeight="1" x14ac:dyDescent="0.25">
      <c r="V24" s="99"/>
      <c r="W24" s="99"/>
      <c r="AW24" s="1"/>
      <c r="AX24" s="1"/>
      <c r="AY24" s="1"/>
      <c r="BE24" s="1"/>
      <c r="BF24" s="1"/>
      <c r="BG24" s="1"/>
      <c r="BM24" s="1"/>
      <c r="BN24" s="1"/>
      <c r="BO24" s="1"/>
    </row>
    <row r="25" spans="1:72" s="17" customFormat="1" ht="22.5" customHeight="1" x14ac:dyDescent="0.25">
      <c r="V25" s="99"/>
      <c r="W25" s="99"/>
      <c r="AW25" s="1"/>
      <c r="AX25" s="1"/>
      <c r="AY25" s="1"/>
      <c r="BE25" s="1"/>
      <c r="BF25" s="1"/>
      <c r="BG25" s="1"/>
      <c r="BM25" s="1"/>
      <c r="BN25" s="1"/>
      <c r="BO25" s="1"/>
    </row>
    <row r="26" spans="1:72" s="17" customFormat="1" ht="22.5" customHeight="1" x14ac:dyDescent="0.25">
      <c r="V26" s="99"/>
      <c r="W26" s="99"/>
      <c r="AW26" s="1"/>
      <c r="AX26" s="1"/>
      <c r="AY26" s="1"/>
      <c r="BE26" s="1"/>
      <c r="BF26" s="1"/>
      <c r="BG26" s="1"/>
      <c r="BM26" s="1"/>
      <c r="BN26" s="1"/>
      <c r="BO26" s="1"/>
    </row>
    <row r="27" spans="1:72" s="17" customFormat="1" ht="22.5" customHeight="1" x14ac:dyDescent="0.25">
      <c r="V27" s="99"/>
      <c r="W27" s="99"/>
      <c r="AW27" s="1"/>
      <c r="AX27" s="1"/>
      <c r="AY27" s="1"/>
      <c r="BE27" s="1"/>
      <c r="BF27" s="1"/>
      <c r="BG27" s="1"/>
      <c r="BM27" s="1"/>
      <c r="BN27" s="1"/>
      <c r="BO27" s="1"/>
    </row>
    <row r="28" spans="1:72" s="17" customFormat="1" ht="22.5" customHeight="1" x14ac:dyDescent="0.25">
      <c r="V28" s="99"/>
      <c r="W28" s="99"/>
      <c r="AW28" s="1"/>
      <c r="AX28" s="1"/>
      <c r="AY28" s="1"/>
      <c r="BE28" s="1"/>
      <c r="BF28" s="1"/>
      <c r="BG28" s="1"/>
      <c r="BM28" s="1"/>
      <c r="BN28" s="1"/>
      <c r="BO28" s="1"/>
    </row>
    <row r="29" spans="1:72" s="17" customFormat="1" ht="22.5" customHeight="1" x14ac:dyDescent="0.25">
      <c r="V29" s="99"/>
      <c r="W29" s="99"/>
      <c r="AW29" s="1"/>
      <c r="AX29" s="1"/>
      <c r="AY29" s="1"/>
      <c r="BE29" s="1"/>
      <c r="BF29" s="1"/>
      <c r="BG29" s="1"/>
      <c r="BM29" s="1"/>
      <c r="BN29" s="1"/>
      <c r="BO29" s="1"/>
    </row>
    <row r="30" spans="1:72" s="17" customFormat="1" ht="22.5" customHeight="1" x14ac:dyDescent="0.25">
      <c r="V30" s="99"/>
      <c r="W30" s="99"/>
      <c r="AW30" s="1"/>
      <c r="AX30" s="1"/>
      <c r="AY30" s="1"/>
      <c r="BE30" s="1"/>
      <c r="BF30" s="1"/>
      <c r="BG30" s="1"/>
      <c r="BM30" s="1"/>
      <c r="BN30" s="1"/>
      <c r="BO30" s="1"/>
    </row>
    <row r="31" spans="1:72" s="17" customFormat="1" ht="22.5" customHeight="1" x14ac:dyDescent="0.25">
      <c r="V31" s="99"/>
      <c r="W31" s="99"/>
      <c r="AW31" s="1"/>
      <c r="AX31" s="1"/>
      <c r="AY31" s="1"/>
      <c r="BE31" s="1"/>
      <c r="BF31" s="1"/>
      <c r="BG31" s="1"/>
      <c r="BM31" s="1"/>
      <c r="BN31" s="1"/>
      <c r="BO31" s="1"/>
    </row>
    <row r="32" spans="1:72" s="17" customFormat="1" ht="22.5" customHeight="1" x14ac:dyDescent="0.25">
      <c r="V32" s="99"/>
      <c r="W32" s="99"/>
      <c r="AW32" s="1"/>
      <c r="AX32" s="1"/>
      <c r="AY32" s="1"/>
      <c r="BE32" s="1"/>
      <c r="BF32" s="1"/>
      <c r="BG32" s="1"/>
      <c r="BM32" s="1"/>
      <c r="BN32" s="1"/>
      <c r="BO32" s="1"/>
    </row>
    <row r="33" spans="22:67" s="17" customFormat="1" ht="22.5" customHeight="1" x14ac:dyDescent="0.25">
      <c r="V33" s="99"/>
      <c r="W33" s="99"/>
      <c r="AW33" s="1"/>
      <c r="AX33" s="1"/>
      <c r="AY33" s="1"/>
      <c r="BE33" s="1"/>
      <c r="BF33" s="1"/>
      <c r="BG33" s="1"/>
      <c r="BM33" s="1"/>
      <c r="BN33" s="1"/>
      <c r="BO33" s="1"/>
    </row>
    <row r="34" spans="22:67" s="17" customFormat="1" ht="22.5" customHeight="1" x14ac:dyDescent="0.25">
      <c r="V34" s="99"/>
      <c r="W34" s="99"/>
      <c r="AW34" s="1"/>
      <c r="AX34" s="1"/>
      <c r="AY34" s="1"/>
      <c r="BE34" s="1"/>
      <c r="BF34" s="1"/>
      <c r="BG34" s="1"/>
      <c r="BM34" s="1"/>
      <c r="BN34" s="1"/>
      <c r="BO34" s="1"/>
    </row>
    <row r="35" spans="22:67" s="17" customFormat="1" ht="22.5" customHeight="1" x14ac:dyDescent="0.25">
      <c r="V35" s="99"/>
      <c r="W35" s="99"/>
      <c r="AW35" s="1"/>
      <c r="AX35" s="1"/>
      <c r="AY35" s="1"/>
      <c r="BE35" s="1"/>
      <c r="BF35" s="1"/>
      <c r="BG35" s="1"/>
      <c r="BM35" s="1"/>
      <c r="BN35" s="1"/>
      <c r="BO35" s="1"/>
    </row>
    <row r="36" spans="22:67" s="17" customFormat="1" ht="22.5" customHeight="1" x14ac:dyDescent="0.25">
      <c r="V36" s="99"/>
      <c r="W36" s="99"/>
      <c r="AW36" s="1"/>
      <c r="AX36" s="1"/>
      <c r="AY36" s="1"/>
      <c r="BE36" s="1"/>
      <c r="BF36" s="1"/>
      <c r="BG36" s="1"/>
      <c r="BM36" s="1"/>
      <c r="BN36" s="1"/>
      <c r="BO36" s="1"/>
    </row>
    <row r="37" spans="22:67" s="17" customFormat="1" ht="22.5" customHeight="1" x14ac:dyDescent="0.25">
      <c r="V37" s="99"/>
      <c r="W37" s="99"/>
      <c r="AW37" s="1"/>
      <c r="AX37" s="1"/>
      <c r="AY37" s="1"/>
      <c r="BE37" s="1"/>
      <c r="BF37" s="1"/>
      <c r="BG37" s="1"/>
      <c r="BM37" s="1"/>
      <c r="BN37" s="1"/>
      <c r="BO37" s="1"/>
    </row>
    <row r="38" spans="22:67" s="17" customFormat="1" ht="22.5" customHeight="1" x14ac:dyDescent="0.25">
      <c r="V38" s="99"/>
      <c r="W38" s="99"/>
      <c r="AW38" s="1"/>
      <c r="AX38" s="1"/>
      <c r="AY38" s="1"/>
      <c r="BE38" s="1"/>
      <c r="BF38" s="1"/>
      <c r="BG38" s="1"/>
      <c r="BM38" s="1"/>
      <c r="BN38" s="1"/>
      <c r="BO38" s="1"/>
    </row>
    <row r="39" spans="22:67" s="17" customFormat="1" ht="22.5" customHeight="1" x14ac:dyDescent="0.25">
      <c r="V39" s="99"/>
      <c r="W39" s="99"/>
      <c r="AW39" s="1"/>
      <c r="AX39" s="1"/>
      <c r="AY39" s="1"/>
      <c r="BE39" s="1"/>
      <c r="BF39" s="1"/>
      <c r="BG39" s="1"/>
      <c r="BM39" s="1"/>
      <c r="BN39" s="1"/>
      <c r="BO39" s="1"/>
    </row>
    <row r="40" spans="22:67" s="17" customFormat="1" ht="22.5" customHeight="1" x14ac:dyDescent="0.25">
      <c r="V40" s="99"/>
      <c r="W40" s="99"/>
      <c r="AW40" s="1"/>
      <c r="AX40" s="1"/>
      <c r="AY40" s="1"/>
      <c r="BE40" s="1"/>
      <c r="BF40" s="1"/>
      <c r="BG40" s="1"/>
      <c r="BM40" s="1"/>
      <c r="BN40" s="1"/>
      <c r="BO40" s="1"/>
    </row>
    <row r="41" spans="22:67" s="17" customFormat="1" ht="22.5" customHeight="1" x14ac:dyDescent="0.25">
      <c r="V41" s="99"/>
      <c r="W41" s="99"/>
      <c r="AW41" s="1"/>
      <c r="AX41" s="1"/>
      <c r="AY41" s="1"/>
      <c r="BE41" s="1"/>
      <c r="BF41" s="1"/>
      <c r="BG41" s="1"/>
      <c r="BM41" s="1"/>
      <c r="BN41" s="1"/>
      <c r="BO41" s="1"/>
    </row>
    <row r="42" spans="22:67" s="17" customFormat="1" ht="22.5" customHeight="1" x14ac:dyDescent="0.25">
      <c r="V42" s="99"/>
      <c r="W42" s="99"/>
      <c r="AW42" s="1"/>
      <c r="AX42" s="1"/>
      <c r="AY42" s="1"/>
      <c r="BE42" s="1"/>
      <c r="BF42" s="1"/>
      <c r="BG42" s="1"/>
      <c r="BM42" s="1"/>
      <c r="BN42" s="1"/>
      <c r="BO42" s="1"/>
    </row>
    <row r="43" spans="22:67" s="17" customFormat="1" ht="22.5" customHeight="1" x14ac:dyDescent="0.25">
      <c r="V43" s="99"/>
      <c r="W43" s="99"/>
      <c r="AW43" s="1"/>
      <c r="AX43" s="1"/>
      <c r="AY43" s="1"/>
      <c r="BE43" s="1"/>
      <c r="BF43" s="1"/>
      <c r="BG43" s="1"/>
      <c r="BM43" s="1"/>
      <c r="BN43" s="1"/>
      <c r="BO43" s="1"/>
    </row>
    <row r="44" spans="22:67" s="17" customFormat="1" ht="22.5" customHeight="1" x14ac:dyDescent="0.25">
      <c r="V44" s="99"/>
      <c r="W44" s="99"/>
      <c r="AW44" s="1"/>
      <c r="AX44" s="1"/>
      <c r="AY44" s="1"/>
      <c r="BE44" s="1"/>
      <c r="BF44" s="1"/>
      <c r="BG44" s="1"/>
      <c r="BM44" s="1"/>
      <c r="BN44" s="1"/>
      <c r="BO44" s="1"/>
    </row>
    <row r="45" spans="22:67" s="17" customFormat="1" ht="22.5" customHeight="1" x14ac:dyDescent="0.25">
      <c r="V45" s="99"/>
      <c r="W45" s="99"/>
      <c r="AW45" s="1"/>
      <c r="AX45" s="1"/>
      <c r="AY45" s="1"/>
      <c r="BE45" s="1"/>
      <c r="BF45" s="1"/>
      <c r="BG45" s="1"/>
      <c r="BM45" s="1"/>
      <c r="BN45" s="1"/>
      <c r="BO45" s="1"/>
    </row>
    <row r="46" spans="22:67" s="17" customFormat="1" ht="22.5" customHeight="1" x14ac:dyDescent="0.25">
      <c r="V46" s="99"/>
      <c r="W46" s="99"/>
      <c r="AW46" s="1"/>
      <c r="AX46" s="1"/>
      <c r="AY46" s="1"/>
      <c r="BE46" s="1"/>
      <c r="BF46" s="1"/>
      <c r="BG46" s="1"/>
      <c r="BM46" s="1"/>
      <c r="BN46" s="1"/>
      <c r="BO46" s="1"/>
    </row>
    <row r="47" spans="22:67" s="17" customFormat="1" ht="22.5" customHeight="1" x14ac:dyDescent="0.25">
      <c r="V47" s="99"/>
      <c r="W47" s="99"/>
      <c r="AW47" s="1"/>
      <c r="AX47" s="1"/>
      <c r="AY47" s="1"/>
      <c r="BE47" s="1"/>
      <c r="BF47" s="1"/>
      <c r="BG47" s="1"/>
      <c r="BM47" s="1"/>
      <c r="BN47" s="1"/>
      <c r="BO47" s="1"/>
    </row>
    <row r="48" spans="22:67" s="17" customFormat="1" ht="22.5" customHeight="1" x14ac:dyDescent="0.25">
      <c r="V48" s="99"/>
      <c r="W48" s="99"/>
      <c r="AW48" s="1"/>
      <c r="AX48" s="1"/>
      <c r="AY48" s="1"/>
      <c r="BE48" s="1"/>
      <c r="BF48" s="1"/>
      <c r="BG48" s="1"/>
      <c r="BM48" s="1"/>
      <c r="BN48" s="1"/>
      <c r="BO48" s="1"/>
    </row>
    <row r="49" spans="22:67" s="17" customFormat="1" ht="22.5" customHeight="1" x14ac:dyDescent="0.25">
      <c r="V49" s="99"/>
      <c r="W49" s="99"/>
      <c r="AW49" s="1"/>
      <c r="AX49" s="1"/>
      <c r="AY49" s="1"/>
      <c r="BE49" s="1"/>
      <c r="BF49" s="1"/>
      <c r="BG49" s="1"/>
      <c r="BM49" s="1"/>
      <c r="BN49" s="1"/>
      <c r="BO49" s="1"/>
    </row>
    <row r="50" spans="22:67" s="17" customFormat="1" ht="22.5" customHeight="1" x14ac:dyDescent="0.25">
      <c r="V50" s="99"/>
      <c r="W50" s="99"/>
      <c r="AW50" s="1"/>
      <c r="AX50" s="1"/>
      <c r="AY50" s="1"/>
      <c r="BE50" s="1"/>
      <c r="BF50" s="1"/>
      <c r="BG50" s="1"/>
      <c r="BM50" s="1"/>
      <c r="BN50" s="1"/>
      <c r="BO50" s="1"/>
    </row>
    <row r="51" spans="22:67" s="17" customFormat="1" ht="22.5" customHeight="1" x14ac:dyDescent="0.25">
      <c r="V51" s="99"/>
      <c r="W51" s="99"/>
      <c r="AW51" s="1"/>
      <c r="AX51" s="1"/>
      <c r="AY51" s="1"/>
      <c r="BE51" s="1"/>
      <c r="BF51" s="1"/>
      <c r="BG51" s="1"/>
      <c r="BM51" s="1"/>
      <c r="BN51" s="1"/>
      <c r="BO51" s="1"/>
    </row>
    <row r="52" spans="22:67" s="17" customFormat="1" ht="22.5" customHeight="1" x14ac:dyDescent="0.25">
      <c r="V52" s="99"/>
      <c r="W52" s="99"/>
      <c r="AW52" s="1"/>
      <c r="AX52" s="1"/>
      <c r="AY52" s="1"/>
      <c r="BE52" s="1"/>
      <c r="BF52" s="1"/>
      <c r="BG52" s="1"/>
      <c r="BM52" s="1"/>
      <c r="BN52" s="1"/>
      <c r="BO52" s="1"/>
    </row>
    <row r="53" spans="22:67" s="17" customFormat="1" ht="22.5" customHeight="1" x14ac:dyDescent="0.25">
      <c r="V53" s="99"/>
      <c r="W53" s="99"/>
      <c r="AW53" s="1"/>
      <c r="AX53" s="1"/>
      <c r="AY53" s="1"/>
      <c r="BE53" s="1"/>
      <c r="BF53" s="1"/>
      <c r="BG53" s="1"/>
      <c r="BM53" s="1"/>
      <c r="BN53" s="1"/>
      <c r="BO53" s="1"/>
    </row>
    <row r="54" spans="22:67" s="17" customFormat="1" ht="22.5" customHeight="1" x14ac:dyDescent="0.25">
      <c r="V54" s="99"/>
      <c r="W54" s="99"/>
      <c r="AW54" s="1"/>
      <c r="AX54" s="1"/>
      <c r="AY54" s="1"/>
      <c r="BE54" s="1"/>
      <c r="BF54" s="1"/>
      <c r="BG54" s="1"/>
      <c r="BM54" s="1"/>
      <c r="BN54" s="1"/>
      <c r="BO54" s="1"/>
    </row>
    <row r="55" spans="22:67" s="17" customFormat="1" ht="22.5" customHeight="1" x14ac:dyDescent="0.25">
      <c r="V55" s="99"/>
      <c r="W55" s="99"/>
      <c r="AW55" s="1"/>
      <c r="AX55" s="1"/>
      <c r="AY55" s="1"/>
      <c r="BE55" s="1"/>
      <c r="BF55" s="1"/>
      <c r="BG55" s="1"/>
      <c r="BM55" s="1"/>
      <c r="BN55" s="1"/>
      <c r="BO55" s="1"/>
    </row>
    <row r="56" spans="22:67" s="17" customFormat="1" ht="22.5" customHeight="1" x14ac:dyDescent="0.25">
      <c r="V56" s="99"/>
      <c r="W56" s="99"/>
      <c r="AW56" s="1"/>
      <c r="AX56" s="1"/>
      <c r="AY56" s="1"/>
      <c r="BE56" s="1"/>
      <c r="BF56" s="1"/>
      <c r="BG56" s="1"/>
      <c r="BM56" s="1"/>
      <c r="BN56" s="1"/>
      <c r="BO56" s="1"/>
    </row>
    <row r="57" spans="22:67" s="17" customFormat="1" ht="22.5" customHeight="1" x14ac:dyDescent="0.25">
      <c r="V57" s="99"/>
      <c r="W57" s="99"/>
      <c r="AW57" s="1"/>
      <c r="AX57" s="1"/>
      <c r="AY57" s="1"/>
      <c r="BE57" s="1"/>
      <c r="BF57" s="1"/>
      <c r="BG57" s="1"/>
      <c r="BM57" s="1"/>
      <c r="BN57" s="1"/>
      <c r="BO57" s="1"/>
    </row>
    <row r="58" spans="22:67" s="17" customFormat="1" ht="22.5" customHeight="1" x14ac:dyDescent="0.25">
      <c r="V58" s="99"/>
      <c r="W58" s="99"/>
      <c r="AW58" s="1"/>
      <c r="AX58" s="1"/>
      <c r="AY58" s="1"/>
      <c r="BE58" s="1"/>
      <c r="BF58" s="1"/>
      <c r="BG58" s="1"/>
      <c r="BM58" s="1"/>
      <c r="BN58" s="1"/>
      <c r="BO58" s="1"/>
    </row>
    <row r="59" spans="22:67" s="17" customFormat="1" ht="22.5" customHeight="1" x14ac:dyDescent="0.25">
      <c r="V59" s="99"/>
      <c r="W59" s="99"/>
      <c r="AW59" s="1"/>
      <c r="AX59" s="1"/>
      <c r="AY59" s="1"/>
      <c r="BE59" s="1"/>
      <c r="BF59" s="1"/>
      <c r="BG59" s="1"/>
      <c r="BM59" s="1"/>
      <c r="BN59" s="1"/>
      <c r="BO59" s="1"/>
    </row>
    <row r="60" spans="22:67" s="17" customFormat="1" ht="22.5" customHeight="1" x14ac:dyDescent="0.25">
      <c r="V60" s="99"/>
      <c r="W60" s="99"/>
      <c r="AW60" s="1"/>
      <c r="AX60" s="1"/>
      <c r="AY60" s="1"/>
      <c r="BE60" s="1"/>
      <c r="BF60" s="1"/>
      <c r="BG60" s="1"/>
      <c r="BM60" s="1"/>
      <c r="BN60" s="1"/>
      <c r="BO60" s="1"/>
    </row>
    <row r="61" spans="22:67" s="17" customFormat="1" ht="22.5" customHeight="1" x14ac:dyDescent="0.25">
      <c r="V61" s="99"/>
      <c r="W61" s="99"/>
      <c r="AW61" s="1"/>
      <c r="AX61" s="1"/>
      <c r="AY61" s="1"/>
      <c r="BE61" s="1"/>
      <c r="BF61" s="1"/>
      <c r="BG61" s="1"/>
      <c r="BM61" s="1"/>
      <c r="BN61" s="1"/>
      <c r="BO61" s="1"/>
    </row>
    <row r="62" spans="22:67" s="17" customFormat="1" ht="22.5" customHeight="1" x14ac:dyDescent="0.25">
      <c r="V62" s="99"/>
      <c r="W62" s="99"/>
      <c r="AW62" s="1"/>
      <c r="AX62" s="1"/>
      <c r="AY62" s="1"/>
      <c r="BE62" s="1"/>
      <c r="BF62" s="1"/>
      <c r="BG62" s="1"/>
      <c r="BM62" s="1"/>
      <c r="BN62" s="1"/>
      <c r="BO62" s="1"/>
    </row>
    <row r="63" spans="22:67" s="17" customFormat="1" ht="22.5" customHeight="1" x14ac:dyDescent="0.25">
      <c r="V63" s="99"/>
      <c r="W63" s="99"/>
      <c r="AW63" s="1"/>
      <c r="AX63" s="1"/>
      <c r="AY63" s="1"/>
      <c r="BE63" s="1"/>
      <c r="BF63" s="1"/>
      <c r="BG63" s="1"/>
      <c r="BM63" s="1"/>
      <c r="BN63" s="1"/>
      <c r="BO63" s="1"/>
    </row>
    <row r="64" spans="22:67" s="17" customFormat="1" ht="22.5" customHeight="1" x14ac:dyDescent="0.25">
      <c r="V64" s="99"/>
      <c r="W64" s="99"/>
      <c r="AW64" s="1"/>
      <c r="AX64" s="1"/>
      <c r="AY64" s="1"/>
      <c r="BE64" s="1"/>
      <c r="BF64" s="1"/>
      <c r="BG64" s="1"/>
      <c r="BM64" s="1"/>
      <c r="BN64" s="1"/>
      <c r="BO64" s="1"/>
    </row>
    <row r="65" spans="22:67" s="17" customFormat="1" ht="22.5" customHeight="1" x14ac:dyDescent="0.25">
      <c r="V65" s="99"/>
      <c r="W65" s="99"/>
      <c r="AW65" s="1"/>
      <c r="AX65" s="1"/>
      <c r="AY65" s="1"/>
      <c r="BE65" s="1"/>
      <c r="BF65" s="1"/>
      <c r="BG65" s="1"/>
      <c r="BM65" s="1"/>
      <c r="BN65" s="1"/>
      <c r="BO65" s="1"/>
    </row>
    <row r="66" spans="22:67" s="17" customFormat="1" ht="22.5" customHeight="1" x14ac:dyDescent="0.25">
      <c r="V66" s="99"/>
      <c r="W66" s="99"/>
      <c r="AW66" s="1"/>
      <c r="AX66" s="1"/>
      <c r="AY66" s="1"/>
      <c r="BE66" s="1"/>
      <c r="BF66" s="1"/>
      <c r="BG66" s="1"/>
      <c r="BM66" s="1"/>
      <c r="BN66" s="1"/>
      <c r="BO66" s="1"/>
    </row>
    <row r="67" spans="22:67" s="17" customFormat="1" ht="22.5" customHeight="1" x14ac:dyDescent="0.25">
      <c r="V67" s="99"/>
      <c r="W67" s="99"/>
      <c r="AW67" s="1"/>
      <c r="AX67" s="1"/>
      <c r="AY67" s="1"/>
      <c r="BE67" s="1"/>
      <c r="BF67" s="1"/>
      <c r="BG67" s="1"/>
      <c r="BM67" s="1"/>
      <c r="BN67" s="1"/>
      <c r="BO67" s="1"/>
    </row>
    <row r="68" spans="22:67" s="17" customFormat="1" ht="22.5" customHeight="1" x14ac:dyDescent="0.25">
      <c r="V68" s="99"/>
      <c r="W68" s="99"/>
      <c r="AW68" s="1"/>
      <c r="AX68" s="1"/>
      <c r="AY68" s="1"/>
      <c r="BE68" s="1"/>
      <c r="BF68" s="1"/>
      <c r="BG68" s="1"/>
      <c r="BM68" s="1"/>
      <c r="BN68" s="1"/>
      <c r="BO68" s="1"/>
    </row>
    <row r="69" spans="22:67" s="17" customFormat="1" ht="22.5" customHeight="1" x14ac:dyDescent="0.25">
      <c r="V69" s="99"/>
      <c r="W69" s="99"/>
      <c r="AW69" s="1"/>
      <c r="AX69" s="1"/>
      <c r="AY69" s="1"/>
      <c r="BE69" s="1"/>
      <c r="BF69" s="1"/>
      <c r="BG69" s="1"/>
      <c r="BM69" s="1"/>
      <c r="BN69" s="1"/>
      <c r="BO69" s="1"/>
    </row>
    <row r="70" spans="22:67" s="17" customFormat="1" ht="22.5" customHeight="1" x14ac:dyDescent="0.25">
      <c r="V70" s="99"/>
      <c r="W70" s="99"/>
      <c r="AW70" s="1"/>
      <c r="AX70" s="1"/>
      <c r="AY70" s="1"/>
      <c r="BE70" s="1"/>
      <c r="BF70" s="1"/>
      <c r="BG70" s="1"/>
      <c r="BM70" s="1"/>
      <c r="BN70" s="1"/>
      <c r="BO70" s="1"/>
    </row>
    <row r="71" spans="22:67" s="17" customFormat="1" ht="22.5" customHeight="1" x14ac:dyDescent="0.25">
      <c r="V71" s="99"/>
      <c r="W71" s="99"/>
      <c r="AW71" s="1"/>
      <c r="AX71" s="1"/>
      <c r="AY71" s="1"/>
      <c r="BE71" s="1"/>
      <c r="BF71" s="1"/>
      <c r="BG71" s="1"/>
      <c r="BM71" s="1"/>
      <c r="BN71" s="1"/>
      <c r="BO71" s="1"/>
    </row>
    <row r="72" spans="22:67" s="17" customFormat="1" ht="22.5" customHeight="1" x14ac:dyDescent="0.25">
      <c r="V72" s="99"/>
      <c r="W72" s="99"/>
      <c r="AW72" s="1"/>
      <c r="AX72" s="1"/>
      <c r="AY72" s="1"/>
      <c r="BE72" s="1"/>
      <c r="BF72" s="1"/>
      <c r="BG72" s="1"/>
      <c r="BM72" s="1"/>
      <c r="BN72" s="1"/>
      <c r="BO72" s="1"/>
    </row>
    <row r="73" spans="22:67" s="17" customFormat="1" ht="22.5" customHeight="1" x14ac:dyDescent="0.25">
      <c r="V73" s="99"/>
      <c r="W73" s="99"/>
      <c r="AW73" s="1"/>
      <c r="AX73" s="1"/>
      <c r="AY73" s="1"/>
      <c r="BE73" s="1"/>
      <c r="BF73" s="1"/>
      <c r="BG73" s="1"/>
      <c r="BM73" s="1"/>
      <c r="BN73" s="1"/>
      <c r="BO73" s="1"/>
    </row>
    <row r="74" spans="22:67" s="17" customFormat="1" ht="22.5" customHeight="1" x14ac:dyDescent="0.25">
      <c r="V74" s="99"/>
      <c r="W74" s="99"/>
      <c r="AW74" s="1"/>
      <c r="AX74" s="1"/>
      <c r="AY74" s="1"/>
      <c r="BE74" s="1"/>
      <c r="BF74" s="1"/>
      <c r="BG74" s="1"/>
      <c r="BM74" s="1"/>
      <c r="BN74" s="1"/>
      <c r="BO74" s="1"/>
    </row>
    <row r="75" spans="22:67" s="17" customFormat="1" ht="22.5" customHeight="1" x14ac:dyDescent="0.25">
      <c r="V75" s="99"/>
      <c r="W75" s="99"/>
      <c r="AW75" s="1"/>
      <c r="AX75" s="1"/>
      <c r="AY75" s="1"/>
      <c r="BE75" s="1"/>
      <c r="BF75" s="1"/>
      <c r="BG75" s="1"/>
      <c r="BM75" s="1"/>
      <c r="BN75" s="1"/>
      <c r="BO75" s="1"/>
    </row>
    <row r="76" spans="22:67" s="17" customFormat="1" ht="22.5" customHeight="1" x14ac:dyDescent="0.25">
      <c r="V76" s="99"/>
      <c r="W76" s="99"/>
      <c r="AW76" s="1"/>
      <c r="AX76" s="1"/>
      <c r="AY76" s="1"/>
      <c r="BE76" s="1"/>
      <c r="BF76" s="1"/>
      <c r="BG76" s="1"/>
      <c r="BM76" s="1"/>
      <c r="BN76" s="1"/>
      <c r="BO76" s="1"/>
    </row>
    <row r="77" spans="22:67" s="17" customFormat="1" ht="22.5" customHeight="1" x14ac:dyDescent="0.25">
      <c r="V77" s="99"/>
      <c r="W77" s="99"/>
      <c r="AW77" s="1"/>
      <c r="AX77" s="1"/>
      <c r="AY77" s="1"/>
      <c r="BE77" s="1"/>
      <c r="BF77" s="1"/>
      <c r="BG77" s="1"/>
      <c r="BM77" s="1"/>
      <c r="BN77" s="1"/>
      <c r="BO77" s="1"/>
    </row>
    <row r="78" spans="22:67" s="17" customFormat="1" ht="22.5" customHeight="1" x14ac:dyDescent="0.25">
      <c r="V78" s="99"/>
      <c r="W78" s="99"/>
      <c r="AW78" s="1"/>
      <c r="AX78" s="1"/>
      <c r="AY78" s="1"/>
      <c r="BE78" s="1"/>
      <c r="BF78" s="1"/>
      <c r="BG78" s="1"/>
      <c r="BM78" s="1"/>
      <c r="BN78" s="1"/>
      <c r="BO78" s="1"/>
    </row>
    <row r="79" spans="22:67" s="17" customFormat="1" ht="22.5" customHeight="1" x14ac:dyDescent="0.25">
      <c r="V79" s="99"/>
      <c r="W79" s="99"/>
      <c r="AW79" s="1"/>
      <c r="AX79" s="1"/>
      <c r="AY79" s="1"/>
      <c r="BE79" s="1"/>
      <c r="BF79" s="1"/>
      <c r="BG79" s="1"/>
      <c r="BM79" s="1"/>
      <c r="BN79" s="1"/>
      <c r="BO79" s="1"/>
    </row>
    <row r="80" spans="22:67" s="17" customFormat="1" ht="22.5" customHeight="1" x14ac:dyDescent="0.25">
      <c r="V80" s="99"/>
      <c r="W80" s="99"/>
      <c r="AW80" s="1"/>
      <c r="AX80" s="1"/>
      <c r="AY80" s="1"/>
      <c r="BE80" s="1"/>
      <c r="BF80" s="1"/>
      <c r="BG80" s="1"/>
      <c r="BM80" s="1"/>
      <c r="BN80" s="1"/>
      <c r="BO80" s="1"/>
    </row>
    <row r="81" spans="22:67" s="17" customFormat="1" ht="22.5" customHeight="1" x14ac:dyDescent="0.25">
      <c r="V81" s="99"/>
      <c r="W81" s="99"/>
      <c r="AW81" s="1"/>
      <c r="AX81" s="1"/>
      <c r="AY81" s="1"/>
      <c r="BE81" s="1"/>
      <c r="BF81" s="1"/>
      <c r="BG81" s="1"/>
      <c r="BM81" s="1"/>
      <c r="BN81" s="1"/>
      <c r="BO81" s="1"/>
    </row>
    <row r="82" spans="22:67" s="17" customFormat="1" ht="22.5" customHeight="1" x14ac:dyDescent="0.25">
      <c r="V82" s="99"/>
      <c r="W82" s="99"/>
      <c r="AW82" s="1"/>
      <c r="AX82" s="1"/>
      <c r="AY82" s="1"/>
      <c r="BE82" s="1"/>
      <c r="BF82" s="1"/>
      <c r="BG82" s="1"/>
      <c r="BM82" s="1"/>
      <c r="BN82" s="1"/>
      <c r="BO82" s="1"/>
    </row>
    <row r="83" spans="22:67" s="17" customFormat="1" ht="22.5" customHeight="1" x14ac:dyDescent="0.25">
      <c r="V83" s="99"/>
      <c r="W83" s="99"/>
      <c r="AW83" s="1"/>
      <c r="AX83" s="1"/>
      <c r="AY83" s="1"/>
      <c r="BE83" s="1"/>
      <c r="BF83" s="1"/>
      <c r="BG83" s="1"/>
      <c r="BM83" s="1"/>
      <c r="BN83" s="1"/>
      <c r="BO83" s="1"/>
    </row>
    <row r="84" spans="22:67" s="17" customFormat="1" ht="22.5" customHeight="1" x14ac:dyDescent="0.25">
      <c r="V84" s="99"/>
      <c r="W84" s="99"/>
      <c r="AW84" s="1"/>
      <c r="AX84" s="1"/>
      <c r="AY84" s="1"/>
      <c r="BE84" s="1"/>
      <c r="BF84" s="1"/>
      <c r="BG84" s="1"/>
      <c r="BM84" s="1"/>
      <c r="BN84" s="1"/>
      <c r="BO84" s="1"/>
    </row>
    <row r="85" spans="22:67" s="17" customFormat="1" ht="22.5" customHeight="1" x14ac:dyDescent="0.25">
      <c r="V85" s="99"/>
      <c r="W85" s="99"/>
      <c r="AW85" s="1"/>
      <c r="AX85" s="1"/>
      <c r="AY85" s="1"/>
      <c r="BE85" s="1"/>
      <c r="BF85" s="1"/>
      <c r="BG85" s="1"/>
      <c r="BM85" s="1"/>
      <c r="BN85" s="1"/>
      <c r="BO85" s="1"/>
    </row>
    <row r="86" spans="22:67" s="17" customFormat="1" ht="22.5" customHeight="1" x14ac:dyDescent="0.25">
      <c r="V86" s="99"/>
      <c r="W86" s="99"/>
      <c r="AW86" s="1"/>
      <c r="AX86" s="1"/>
      <c r="AY86" s="1"/>
      <c r="BE86" s="1"/>
      <c r="BF86" s="1"/>
      <c r="BG86" s="1"/>
      <c r="BM86" s="1"/>
      <c r="BN86" s="1"/>
      <c r="BO86" s="1"/>
    </row>
    <row r="87" spans="22:67" s="17" customFormat="1" ht="22.5" customHeight="1" x14ac:dyDescent="0.25">
      <c r="V87" s="99"/>
      <c r="W87" s="99"/>
      <c r="AW87" s="1"/>
      <c r="AX87" s="1"/>
      <c r="AY87" s="1"/>
      <c r="BE87" s="1"/>
      <c r="BF87" s="1"/>
      <c r="BG87" s="1"/>
      <c r="BM87" s="1"/>
      <c r="BN87" s="1"/>
      <c r="BO87" s="1"/>
    </row>
    <row r="88" spans="22:67" s="17" customFormat="1" ht="22.5" customHeight="1" x14ac:dyDescent="0.25">
      <c r="V88" s="99"/>
      <c r="W88" s="99"/>
      <c r="AW88" s="1"/>
      <c r="AX88" s="1"/>
      <c r="AY88" s="1"/>
      <c r="BE88" s="1"/>
      <c r="BF88" s="1"/>
      <c r="BG88" s="1"/>
      <c r="BM88" s="1"/>
      <c r="BN88" s="1"/>
      <c r="BO88" s="1"/>
    </row>
    <row r="89" spans="22:67" s="17" customFormat="1" ht="22.5" customHeight="1" x14ac:dyDescent="0.25">
      <c r="V89" s="99"/>
      <c r="W89" s="99"/>
      <c r="AW89" s="1"/>
      <c r="AX89" s="1"/>
      <c r="AY89" s="1"/>
      <c r="BE89" s="1"/>
      <c r="BF89" s="1"/>
      <c r="BG89" s="1"/>
      <c r="BM89" s="1"/>
      <c r="BN89" s="1"/>
      <c r="BO89" s="1"/>
    </row>
    <row r="90" spans="22:67" s="17" customFormat="1" ht="22.5" customHeight="1" x14ac:dyDescent="0.25">
      <c r="V90" s="99"/>
      <c r="W90" s="99"/>
      <c r="AW90" s="1"/>
      <c r="AX90" s="1"/>
      <c r="AY90" s="1"/>
      <c r="BE90" s="1"/>
      <c r="BF90" s="1"/>
      <c r="BG90" s="1"/>
      <c r="BM90" s="1"/>
      <c r="BN90" s="1"/>
      <c r="BO90" s="1"/>
    </row>
    <row r="91" spans="22:67" s="17" customFormat="1" ht="22.5" customHeight="1" x14ac:dyDescent="0.25">
      <c r="V91" s="99"/>
      <c r="W91" s="99"/>
      <c r="AW91" s="1"/>
      <c r="AX91" s="1"/>
      <c r="AY91" s="1"/>
      <c r="BE91" s="1"/>
      <c r="BF91" s="1"/>
      <c r="BG91" s="1"/>
      <c r="BM91" s="1"/>
      <c r="BN91" s="1"/>
      <c r="BO91" s="1"/>
    </row>
    <row r="92" spans="22:67" s="17" customFormat="1" ht="22.5" customHeight="1" x14ac:dyDescent="0.25">
      <c r="V92" s="99"/>
      <c r="W92" s="99"/>
      <c r="AW92" s="1"/>
      <c r="AX92" s="1"/>
      <c r="AY92" s="1"/>
      <c r="BE92" s="1"/>
      <c r="BF92" s="1"/>
      <c r="BG92" s="1"/>
      <c r="BM92" s="1"/>
      <c r="BN92" s="1"/>
      <c r="BO92" s="1"/>
    </row>
    <row r="93" spans="22:67" s="17" customFormat="1" ht="22.5" customHeight="1" x14ac:dyDescent="0.25">
      <c r="V93" s="99"/>
      <c r="W93" s="99"/>
      <c r="AW93" s="1"/>
      <c r="AX93" s="1"/>
      <c r="AY93" s="1"/>
      <c r="BE93" s="1"/>
      <c r="BF93" s="1"/>
      <c r="BG93" s="1"/>
      <c r="BM93" s="1"/>
      <c r="BN93" s="1"/>
      <c r="BO93" s="1"/>
    </row>
    <row r="94" spans="22:67" s="17" customFormat="1" ht="22.5" customHeight="1" x14ac:dyDescent="0.25">
      <c r="V94" s="99"/>
      <c r="W94" s="99"/>
      <c r="AW94" s="1"/>
      <c r="AX94" s="1"/>
      <c r="AY94" s="1"/>
      <c r="BE94" s="1"/>
      <c r="BF94" s="1"/>
      <c r="BG94" s="1"/>
      <c r="BM94" s="1"/>
      <c r="BN94" s="1"/>
      <c r="BO94" s="1"/>
    </row>
    <row r="95" spans="22:67" s="17" customFormat="1" ht="22.5" customHeight="1" x14ac:dyDescent="0.25">
      <c r="V95" s="99"/>
      <c r="W95" s="99"/>
      <c r="AW95" s="1"/>
      <c r="AX95" s="1"/>
      <c r="AY95" s="1"/>
      <c r="BE95" s="1"/>
      <c r="BF95" s="1"/>
      <c r="BG95" s="1"/>
      <c r="BM95" s="1"/>
      <c r="BN95" s="1"/>
      <c r="BO95" s="1"/>
    </row>
    <row r="96" spans="22:67" s="17" customFormat="1" ht="22.5" customHeight="1" x14ac:dyDescent="0.25">
      <c r="V96" s="99"/>
      <c r="W96" s="99"/>
      <c r="AW96" s="1"/>
      <c r="AX96" s="1"/>
      <c r="AY96" s="1"/>
      <c r="BE96" s="1"/>
      <c r="BF96" s="1"/>
      <c r="BG96" s="1"/>
      <c r="BM96" s="1"/>
      <c r="BN96" s="1"/>
      <c r="BO96" s="1"/>
    </row>
    <row r="97" spans="22:67" s="17" customFormat="1" ht="22.5" customHeight="1" x14ac:dyDescent="0.25">
      <c r="V97" s="99"/>
      <c r="W97" s="99"/>
      <c r="AW97" s="1"/>
      <c r="AX97" s="1"/>
      <c r="AY97" s="1"/>
      <c r="BE97" s="1"/>
      <c r="BF97" s="1"/>
      <c r="BG97" s="1"/>
      <c r="BM97" s="1"/>
      <c r="BN97" s="1"/>
      <c r="BO97" s="1"/>
    </row>
    <row r="98" spans="22:67" s="17" customFormat="1" ht="22.5" customHeight="1" x14ac:dyDescent="0.25">
      <c r="V98" s="99"/>
      <c r="W98" s="99"/>
      <c r="AW98" s="1"/>
      <c r="AX98" s="1"/>
      <c r="AY98" s="1"/>
      <c r="BE98" s="1"/>
      <c r="BF98" s="1"/>
      <c r="BG98" s="1"/>
      <c r="BM98" s="1"/>
      <c r="BN98" s="1"/>
      <c r="BO98" s="1"/>
    </row>
    <row r="99" spans="22:67" s="17" customFormat="1" ht="22.5" customHeight="1" x14ac:dyDescent="0.25">
      <c r="V99" s="99"/>
      <c r="W99" s="99"/>
      <c r="AW99" s="1"/>
      <c r="AX99" s="1"/>
      <c r="AY99" s="1"/>
      <c r="BE99" s="1"/>
      <c r="BF99" s="1"/>
      <c r="BG99" s="1"/>
      <c r="BM99" s="1"/>
      <c r="BN99" s="1"/>
      <c r="BO99" s="1"/>
    </row>
    <row r="100" spans="22:67" s="17" customFormat="1" ht="22.5" customHeight="1" x14ac:dyDescent="0.25">
      <c r="V100" s="99"/>
      <c r="W100" s="99"/>
      <c r="AW100" s="1"/>
      <c r="AX100" s="1"/>
      <c r="AY100" s="1"/>
      <c r="BE100" s="1"/>
      <c r="BF100" s="1"/>
      <c r="BG100" s="1"/>
      <c r="BM100" s="1"/>
      <c r="BN100" s="1"/>
      <c r="BO100" s="1"/>
    </row>
    <row r="101" spans="22:67" s="17" customFormat="1" ht="22.5" customHeight="1" x14ac:dyDescent="0.25">
      <c r="V101" s="99"/>
      <c r="W101" s="99"/>
      <c r="AW101" s="1"/>
      <c r="AX101" s="1"/>
      <c r="AY101" s="1"/>
      <c r="BE101" s="1"/>
      <c r="BF101" s="1"/>
      <c r="BG101" s="1"/>
      <c r="BM101" s="1"/>
      <c r="BN101" s="1"/>
      <c r="BO101" s="1"/>
    </row>
    <row r="102" spans="22:67" s="17" customFormat="1" ht="22.5" customHeight="1" x14ac:dyDescent="0.25">
      <c r="V102" s="99"/>
      <c r="W102" s="99"/>
      <c r="AW102" s="1"/>
      <c r="AX102" s="1"/>
      <c r="AY102" s="1"/>
      <c r="BE102" s="1"/>
      <c r="BF102" s="1"/>
      <c r="BG102" s="1"/>
      <c r="BM102" s="1"/>
      <c r="BN102" s="1"/>
      <c r="BO102" s="1"/>
    </row>
    <row r="103" spans="22:67" s="17" customFormat="1" ht="22.5" customHeight="1" x14ac:dyDescent="0.25">
      <c r="V103" s="99"/>
      <c r="W103" s="99"/>
      <c r="AW103" s="1"/>
      <c r="AX103" s="1"/>
      <c r="AY103" s="1"/>
      <c r="BE103" s="1"/>
      <c r="BF103" s="1"/>
      <c r="BG103" s="1"/>
      <c r="BM103" s="1"/>
      <c r="BN103" s="1"/>
      <c r="BO103" s="1"/>
    </row>
    <row r="104" spans="22:67" s="17" customFormat="1" ht="22.5" customHeight="1" x14ac:dyDescent="0.25">
      <c r="V104" s="99"/>
      <c r="W104" s="99"/>
      <c r="AW104" s="1"/>
      <c r="AX104" s="1"/>
      <c r="AY104" s="1"/>
      <c r="BE104" s="1"/>
      <c r="BF104" s="1"/>
      <c r="BG104" s="1"/>
      <c r="BM104" s="1"/>
      <c r="BN104" s="1"/>
      <c r="BO104" s="1"/>
    </row>
    <row r="105" spans="22:67" s="17" customFormat="1" ht="22.5" customHeight="1" x14ac:dyDescent="0.25">
      <c r="V105" s="99"/>
      <c r="W105" s="99"/>
      <c r="AW105" s="1"/>
      <c r="AX105" s="1"/>
      <c r="AY105" s="1"/>
      <c r="BE105" s="1"/>
      <c r="BF105" s="1"/>
      <c r="BG105" s="1"/>
      <c r="BM105" s="1"/>
      <c r="BN105" s="1"/>
      <c r="BO105" s="1"/>
    </row>
    <row r="106" spans="22:67" s="17" customFormat="1" ht="22.5" customHeight="1" x14ac:dyDescent="0.25">
      <c r="V106" s="99"/>
      <c r="W106" s="99"/>
      <c r="AW106" s="1"/>
      <c r="AX106" s="1"/>
      <c r="AY106" s="1"/>
      <c r="BE106" s="1"/>
      <c r="BF106" s="1"/>
      <c r="BG106" s="1"/>
      <c r="BM106" s="1"/>
      <c r="BN106" s="1"/>
      <c r="BO106" s="1"/>
    </row>
    <row r="107" spans="22:67" s="17" customFormat="1" ht="22.5" customHeight="1" x14ac:dyDescent="0.25">
      <c r="V107" s="99"/>
      <c r="W107" s="99"/>
      <c r="AW107" s="1"/>
      <c r="AX107" s="1"/>
      <c r="AY107" s="1"/>
      <c r="BE107" s="1"/>
      <c r="BF107" s="1"/>
      <c r="BG107" s="1"/>
      <c r="BM107" s="1"/>
      <c r="BN107" s="1"/>
      <c r="BO107" s="1"/>
    </row>
    <row r="108" spans="22:67" s="17" customFormat="1" ht="22.5" customHeight="1" x14ac:dyDescent="0.25">
      <c r="V108" s="99"/>
      <c r="W108" s="99"/>
      <c r="AW108" s="1"/>
      <c r="AX108" s="1"/>
      <c r="AY108" s="1"/>
      <c r="BE108" s="1"/>
      <c r="BF108" s="1"/>
      <c r="BG108" s="1"/>
      <c r="BM108" s="1"/>
      <c r="BN108" s="1"/>
      <c r="BO108" s="1"/>
    </row>
    <row r="109" spans="22:67" s="17" customFormat="1" ht="22.5" customHeight="1" x14ac:dyDescent="0.25">
      <c r="V109" s="99"/>
      <c r="W109" s="99"/>
      <c r="AW109" s="1"/>
      <c r="AX109" s="1"/>
      <c r="AY109" s="1"/>
      <c r="BE109" s="1"/>
      <c r="BF109" s="1"/>
      <c r="BG109" s="1"/>
      <c r="BM109" s="1"/>
      <c r="BN109" s="1"/>
      <c r="BO109" s="1"/>
    </row>
    <row r="110" spans="22:67" s="17" customFormat="1" ht="22.5" customHeight="1" x14ac:dyDescent="0.25">
      <c r="V110" s="99"/>
      <c r="W110" s="99"/>
      <c r="AW110" s="1"/>
      <c r="AX110" s="1"/>
      <c r="AY110" s="1"/>
      <c r="BE110" s="1"/>
      <c r="BF110" s="1"/>
      <c r="BG110" s="1"/>
      <c r="BM110" s="1"/>
      <c r="BN110" s="1"/>
      <c r="BO110" s="1"/>
    </row>
    <row r="111" spans="22:67" s="17" customFormat="1" ht="22.5" customHeight="1" x14ac:dyDescent="0.25">
      <c r="V111" s="99"/>
      <c r="W111" s="99"/>
      <c r="AW111" s="1"/>
      <c r="AX111" s="1"/>
      <c r="AY111" s="1"/>
      <c r="BE111" s="1"/>
      <c r="BF111" s="1"/>
      <c r="BG111" s="1"/>
      <c r="BM111" s="1"/>
      <c r="BN111" s="1"/>
      <c r="BO111" s="1"/>
    </row>
    <row r="112" spans="22:67" s="17" customFormat="1" ht="22.5" customHeight="1" x14ac:dyDescent="0.25">
      <c r="V112" s="99"/>
      <c r="W112" s="99"/>
      <c r="AW112" s="1"/>
      <c r="AX112" s="1"/>
      <c r="AY112" s="1"/>
      <c r="BE112" s="1"/>
      <c r="BF112" s="1"/>
      <c r="BG112" s="1"/>
      <c r="BM112" s="1"/>
      <c r="BN112" s="1"/>
      <c r="BO112" s="1"/>
    </row>
    <row r="113" spans="22:67" s="17" customFormat="1" ht="22.5" customHeight="1" x14ac:dyDescent="0.25">
      <c r="V113" s="99"/>
      <c r="W113" s="99"/>
      <c r="AW113" s="1"/>
      <c r="AX113" s="1"/>
      <c r="AY113" s="1"/>
      <c r="BE113" s="1"/>
      <c r="BF113" s="1"/>
      <c r="BG113" s="1"/>
      <c r="BM113" s="1"/>
      <c r="BN113" s="1"/>
      <c r="BO113" s="1"/>
    </row>
    <row r="114" spans="22:67" s="17" customFormat="1" ht="22.5" customHeight="1" x14ac:dyDescent="0.25">
      <c r="V114" s="99"/>
      <c r="W114" s="99"/>
      <c r="AW114" s="1"/>
      <c r="AX114" s="1"/>
      <c r="AY114" s="1"/>
      <c r="BE114" s="1"/>
      <c r="BF114" s="1"/>
      <c r="BG114" s="1"/>
      <c r="BM114" s="1"/>
      <c r="BN114" s="1"/>
      <c r="BO114" s="1"/>
    </row>
    <row r="115" spans="22:67" s="17" customFormat="1" ht="22.5" customHeight="1" x14ac:dyDescent="0.25">
      <c r="V115" s="99"/>
      <c r="W115" s="99"/>
      <c r="AW115" s="1"/>
      <c r="AX115" s="1"/>
      <c r="AY115" s="1"/>
      <c r="BE115" s="1"/>
      <c r="BF115" s="1"/>
      <c r="BG115" s="1"/>
      <c r="BM115" s="1"/>
      <c r="BN115" s="1"/>
      <c r="BO115" s="1"/>
    </row>
    <row r="116" spans="22:67" s="17" customFormat="1" ht="22.5" customHeight="1" x14ac:dyDescent="0.25">
      <c r="V116" s="99"/>
      <c r="W116" s="99"/>
      <c r="AW116" s="1"/>
      <c r="AX116" s="1"/>
      <c r="AY116" s="1"/>
      <c r="BE116" s="1"/>
      <c r="BF116" s="1"/>
      <c r="BG116" s="1"/>
      <c r="BM116" s="1"/>
      <c r="BN116" s="1"/>
      <c r="BO116" s="1"/>
    </row>
    <row r="117" spans="22:67" s="17" customFormat="1" ht="22.5" customHeight="1" x14ac:dyDescent="0.25">
      <c r="V117" s="99"/>
      <c r="W117" s="99"/>
      <c r="AW117" s="1"/>
      <c r="AX117" s="1"/>
      <c r="AY117" s="1"/>
      <c r="BE117" s="1"/>
      <c r="BF117" s="1"/>
      <c r="BG117" s="1"/>
      <c r="BM117" s="1"/>
      <c r="BN117" s="1"/>
      <c r="BO117" s="1"/>
    </row>
    <row r="118" spans="22:67" s="17" customFormat="1" ht="22.5" customHeight="1" x14ac:dyDescent="0.25">
      <c r="V118" s="99"/>
      <c r="W118" s="99"/>
      <c r="AW118" s="1"/>
      <c r="AX118" s="1"/>
      <c r="AY118" s="1"/>
      <c r="BE118" s="1"/>
      <c r="BF118" s="1"/>
      <c r="BG118" s="1"/>
      <c r="BM118" s="1"/>
      <c r="BN118" s="1"/>
      <c r="BO118" s="1"/>
    </row>
    <row r="119" spans="22:67" s="17" customFormat="1" ht="22.5" customHeight="1" x14ac:dyDescent="0.25">
      <c r="V119" s="99"/>
      <c r="W119" s="99"/>
      <c r="AW119" s="1"/>
      <c r="AX119" s="1"/>
      <c r="AY119" s="1"/>
      <c r="BE119" s="1"/>
      <c r="BF119" s="1"/>
      <c r="BG119" s="1"/>
      <c r="BM119" s="1"/>
      <c r="BN119" s="1"/>
      <c r="BO119" s="1"/>
    </row>
    <row r="120" spans="22:67" s="17" customFormat="1" ht="22.5" customHeight="1" x14ac:dyDescent="0.25">
      <c r="V120" s="99"/>
      <c r="W120" s="99"/>
      <c r="AW120" s="1"/>
      <c r="AX120" s="1"/>
      <c r="AY120" s="1"/>
      <c r="BE120" s="1"/>
      <c r="BF120" s="1"/>
      <c r="BG120" s="1"/>
      <c r="BM120" s="1"/>
      <c r="BN120" s="1"/>
      <c r="BO120" s="1"/>
    </row>
    <row r="121" spans="22:67" s="17" customFormat="1" ht="22.5" customHeight="1" x14ac:dyDescent="0.25">
      <c r="V121" s="99"/>
      <c r="W121" s="99"/>
      <c r="AW121" s="1"/>
      <c r="AX121" s="1"/>
      <c r="AY121" s="1"/>
      <c r="BE121" s="1"/>
      <c r="BF121" s="1"/>
      <c r="BG121" s="1"/>
      <c r="BM121" s="1"/>
      <c r="BN121" s="1"/>
      <c r="BO121" s="1"/>
    </row>
    <row r="122" spans="22:67" s="17" customFormat="1" ht="22.5" customHeight="1" x14ac:dyDescent="0.25">
      <c r="V122" s="99"/>
      <c r="W122" s="99"/>
      <c r="AW122" s="1"/>
      <c r="AX122" s="1"/>
      <c r="AY122" s="1"/>
      <c r="BE122" s="1"/>
      <c r="BF122" s="1"/>
      <c r="BG122" s="1"/>
      <c r="BM122" s="1"/>
      <c r="BN122" s="1"/>
      <c r="BO122" s="1"/>
    </row>
    <row r="123" spans="22:67" s="17" customFormat="1" ht="22.5" customHeight="1" x14ac:dyDescent="0.25">
      <c r="V123" s="99"/>
      <c r="W123" s="99"/>
      <c r="AW123" s="1"/>
      <c r="AX123" s="1"/>
      <c r="AY123" s="1"/>
      <c r="BE123" s="1"/>
      <c r="BF123" s="1"/>
      <c r="BG123" s="1"/>
      <c r="BM123" s="1"/>
      <c r="BN123" s="1"/>
      <c r="BO123" s="1"/>
    </row>
    <row r="124" spans="22:67" s="17" customFormat="1" ht="22.5" customHeight="1" x14ac:dyDescent="0.25">
      <c r="V124" s="99"/>
      <c r="W124" s="99"/>
      <c r="AW124" s="1"/>
      <c r="AX124" s="1"/>
      <c r="AY124" s="1"/>
      <c r="BE124" s="1"/>
      <c r="BF124" s="1"/>
      <c r="BG124" s="1"/>
      <c r="BM124" s="1"/>
      <c r="BN124" s="1"/>
      <c r="BO124" s="1"/>
    </row>
    <row r="125" spans="22:67" s="17" customFormat="1" ht="22.5" customHeight="1" x14ac:dyDescent="0.25">
      <c r="V125" s="99"/>
      <c r="W125" s="99"/>
      <c r="AW125" s="1"/>
      <c r="AX125" s="1"/>
      <c r="AY125" s="1"/>
      <c r="BE125" s="1"/>
      <c r="BF125" s="1"/>
      <c r="BG125" s="1"/>
      <c r="BM125" s="1"/>
      <c r="BN125" s="1"/>
      <c r="BO125" s="1"/>
    </row>
    <row r="126" spans="22:67" s="17" customFormat="1" ht="22.5" customHeight="1" x14ac:dyDescent="0.25">
      <c r="V126" s="99"/>
      <c r="W126" s="99"/>
      <c r="AW126" s="1"/>
      <c r="AX126" s="1"/>
      <c r="AY126" s="1"/>
      <c r="BE126" s="1"/>
      <c r="BF126" s="1"/>
      <c r="BG126" s="1"/>
      <c r="BM126" s="1"/>
      <c r="BN126" s="1"/>
      <c r="BO126" s="1"/>
    </row>
    <row r="127" spans="22:67" s="17" customFormat="1" ht="22.5" customHeight="1" x14ac:dyDescent="0.25">
      <c r="V127" s="99"/>
      <c r="W127" s="99"/>
      <c r="AW127" s="1"/>
      <c r="AX127" s="1"/>
      <c r="AY127" s="1"/>
      <c r="BE127" s="1"/>
      <c r="BF127" s="1"/>
      <c r="BG127" s="1"/>
      <c r="BM127" s="1"/>
      <c r="BN127" s="1"/>
      <c r="BO127" s="1"/>
    </row>
    <row r="128" spans="22:67" s="17" customFormat="1" ht="22.5" customHeight="1" x14ac:dyDescent="0.25">
      <c r="V128" s="99"/>
      <c r="W128" s="99"/>
      <c r="AW128" s="1"/>
      <c r="AX128" s="1"/>
      <c r="AY128" s="1"/>
      <c r="BE128" s="1"/>
      <c r="BF128" s="1"/>
      <c r="BG128" s="1"/>
      <c r="BM128" s="1"/>
      <c r="BN128" s="1"/>
      <c r="BO128" s="1"/>
    </row>
    <row r="129" spans="22:67" s="17" customFormat="1" ht="22.5" customHeight="1" x14ac:dyDescent="0.25">
      <c r="V129" s="99"/>
      <c r="W129" s="99"/>
      <c r="AW129" s="1"/>
      <c r="AX129" s="1"/>
      <c r="AY129" s="1"/>
      <c r="BE129" s="1"/>
      <c r="BF129" s="1"/>
      <c r="BG129" s="1"/>
      <c r="BM129" s="1"/>
      <c r="BN129" s="1"/>
      <c r="BO129" s="1"/>
    </row>
    <row r="130" spans="22:67" s="17" customFormat="1" ht="22.5" customHeight="1" x14ac:dyDescent="0.25">
      <c r="V130" s="99"/>
      <c r="W130" s="99"/>
      <c r="AW130" s="1"/>
      <c r="AX130" s="1"/>
      <c r="AY130" s="1"/>
      <c r="BE130" s="1"/>
      <c r="BF130" s="1"/>
      <c r="BG130" s="1"/>
      <c r="BM130" s="1"/>
      <c r="BN130" s="1"/>
      <c r="BO130" s="1"/>
    </row>
    <row r="131" spans="22:67" s="17" customFormat="1" ht="22.5" customHeight="1" x14ac:dyDescent="0.25">
      <c r="V131" s="99"/>
      <c r="W131" s="99"/>
      <c r="AW131" s="1"/>
      <c r="AX131" s="1"/>
      <c r="AY131" s="1"/>
      <c r="BE131" s="1"/>
      <c r="BF131" s="1"/>
      <c r="BG131" s="1"/>
      <c r="BM131" s="1"/>
      <c r="BN131" s="1"/>
      <c r="BO131" s="1"/>
    </row>
    <row r="132" spans="22:67" s="17" customFormat="1" ht="22.5" customHeight="1" x14ac:dyDescent="0.25">
      <c r="V132" s="99"/>
      <c r="W132" s="99"/>
      <c r="AW132" s="1"/>
      <c r="AX132" s="1"/>
      <c r="AY132" s="1"/>
      <c r="BE132" s="1"/>
      <c r="BF132" s="1"/>
      <c r="BG132" s="1"/>
      <c r="BM132" s="1"/>
      <c r="BN132" s="1"/>
      <c r="BO132" s="1"/>
    </row>
    <row r="133" spans="22:67" s="17" customFormat="1" ht="22.5" customHeight="1" x14ac:dyDescent="0.25">
      <c r="V133" s="99"/>
      <c r="W133" s="99"/>
      <c r="AW133" s="1"/>
      <c r="AX133" s="1"/>
      <c r="AY133" s="1"/>
      <c r="BE133" s="1"/>
      <c r="BF133" s="1"/>
      <c r="BG133" s="1"/>
      <c r="BM133" s="1"/>
      <c r="BN133" s="1"/>
      <c r="BO133" s="1"/>
    </row>
    <row r="134" spans="22:67" s="17" customFormat="1" ht="22.5" customHeight="1" x14ac:dyDescent="0.25">
      <c r="V134" s="99"/>
      <c r="W134" s="99"/>
      <c r="AW134" s="1"/>
      <c r="AX134" s="1"/>
      <c r="AY134" s="1"/>
      <c r="BE134" s="1"/>
      <c r="BF134" s="1"/>
      <c r="BG134" s="1"/>
      <c r="BM134" s="1"/>
      <c r="BN134" s="1"/>
      <c r="BO134" s="1"/>
    </row>
    <row r="135" spans="22:67" s="17" customFormat="1" ht="22.5" customHeight="1" x14ac:dyDescent="0.25">
      <c r="V135" s="99"/>
      <c r="W135" s="99"/>
      <c r="AW135" s="1"/>
      <c r="AX135" s="1"/>
      <c r="AY135" s="1"/>
      <c r="BE135" s="1"/>
      <c r="BF135" s="1"/>
      <c r="BG135" s="1"/>
      <c r="BM135" s="1"/>
      <c r="BN135" s="1"/>
      <c r="BO135" s="1"/>
    </row>
    <row r="136" spans="22:67" s="17" customFormat="1" ht="22.5" customHeight="1" x14ac:dyDescent="0.25">
      <c r="V136" s="99"/>
      <c r="W136" s="99"/>
      <c r="AW136" s="1"/>
      <c r="AX136" s="1"/>
      <c r="AY136" s="1"/>
      <c r="BE136" s="1"/>
      <c r="BF136" s="1"/>
      <c r="BG136" s="1"/>
      <c r="BM136" s="1"/>
      <c r="BN136" s="1"/>
      <c r="BO136" s="1"/>
    </row>
    <row r="137" spans="22:67" s="17" customFormat="1" ht="22.5" customHeight="1" x14ac:dyDescent="0.25">
      <c r="V137" s="99"/>
      <c r="W137" s="99"/>
      <c r="AW137" s="1"/>
      <c r="AX137" s="1"/>
      <c r="AY137" s="1"/>
      <c r="BE137" s="1"/>
      <c r="BF137" s="1"/>
      <c r="BG137" s="1"/>
      <c r="BM137" s="1"/>
      <c r="BN137" s="1"/>
      <c r="BO137" s="1"/>
    </row>
    <row r="138" spans="22:67" s="17" customFormat="1" ht="22.5" customHeight="1" x14ac:dyDescent="0.25">
      <c r="V138" s="99"/>
      <c r="W138" s="99"/>
      <c r="AW138" s="1"/>
      <c r="AX138" s="1"/>
      <c r="AY138" s="1"/>
      <c r="BE138" s="1"/>
      <c r="BF138" s="1"/>
      <c r="BG138" s="1"/>
      <c r="BM138" s="1"/>
      <c r="BN138" s="1"/>
      <c r="BO138" s="1"/>
    </row>
    <row r="139" spans="22:67" s="17" customFormat="1" ht="22.5" customHeight="1" x14ac:dyDescent="0.25">
      <c r="V139" s="99"/>
      <c r="W139" s="99"/>
      <c r="AW139" s="1"/>
      <c r="AX139" s="1"/>
      <c r="AY139" s="1"/>
      <c r="BE139" s="1"/>
      <c r="BF139" s="1"/>
      <c r="BG139" s="1"/>
      <c r="BM139" s="1"/>
      <c r="BN139" s="1"/>
      <c r="BO139" s="1"/>
    </row>
    <row r="140" spans="22:67" s="17" customFormat="1" ht="22.5" customHeight="1" x14ac:dyDescent="0.25">
      <c r="V140" s="99"/>
      <c r="W140" s="99"/>
      <c r="AW140" s="1"/>
      <c r="AX140" s="1"/>
      <c r="AY140" s="1"/>
      <c r="BE140" s="1"/>
      <c r="BF140" s="1"/>
      <c r="BG140" s="1"/>
      <c r="BM140" s="1"/>
      <c r="BN140" s="1"/>
      <c r="BO140" s="1"/>
    </row>
    <row r="141" spans="22:67" s="17" customFormat="1" ht="22.5" customHeight="1" x14ac:dyDescent="0.25">
      <c r="V141" s="99"/>
      <c r="W141" s="99"/>
      <c r="AW141" s="1"/>
      <c r="AX141" s="1"/>
      <c r="AY141" s="1"/>
      <c r="BE141" s="1"/>
      <c r="BF141" s="1"/>
      <c r="BG141" s="1"/>
      <c r="BM141" s="1"/>
      <c r="BN141" s="1"/>
      <c r="BO141" s="1"/>
    </row>
    <row r="142" spans="22:67" s="17" customFormat="1" ht="22.5" customHeight="1" x14ac:dyDescent="0.25">
      <c r="V142" s="99"/>
      <c r="W142" s="99"/>
      <c r="AW142" s="1"/>
      <c r="AX142" s="1"/>
      <c r="AY142" s="1"/>
      <c r="BE142" s="1"/>
      <c r="BF142" s="1"/>
      <c r="BG142" s="1"/>
      <c r="BM142" s="1"/>
      <c r="BN142" s="1"/>
      <c r="BO142" s="1"/>
    </row>
    <row r="143" spans="22:67" s="17" customFormat="1" ht="22.5" customHeight="1" x14ac:dyDescent="0.25">
      <c r="V143" s="99"/>
      <c r="W143" s="99"/>
      <c r="AW143" s="1"/>
      <c r="AX143" s="1"/>
      <c r="AY143" s="1"/>
      <c r="BE143" s="1"/>
      <c r="BF143" s="1"/>
      <c r="BG143" s="1"/>
      <c r="BM143" s="1"/>
      <c r="BN143" s="1"/>
      <c r="BO143" s="1"/>
    </row>
    <row r="144" spans="22:67" s="17" customFormat="1" ht="22.5" customHeight="1" x14ac:dyDescent="0.25">
      <c r="V144" s="99"/>
      <c r="W144" s="99"/>
      <c r="AW144" s="1"/>
      <c r="AX144" s="1"/>
      <c r="AY144" s="1"/>
      <c r="BE144" s="1"/>
      <c r="BF144" s="1"/>
      <c r="BG144" s="1"/>
      <c r="BM144" s="1"/>
      <c r="BN144" s="1"/>
      <c r="BO144" s="1"/>
    </row>
    <row r="145" spans="22:67" s="17" customFormat="1" ht="22.5" customHeight="1" x14ac:dyDescent="0.25">
      <c r="V145" s="99"/>
      <c r="W145" s="99"/>
      <c r="AW145" s="1"/>
      <c r="AX145" s="1"/>
      <c r="AY145" s="1"/>
      <c r="BE145" s="1"/>
      <c r="BF145" s="1"/>
      <c r="BG145" s="1"/>
      <c r="BM145" s="1"/>
      <c r="BN145" s="1"/>
      <c r="BO145" s="1"/>
    </row>
    <row r="146" spans="22:67" s="17" customFormat="1" ht="22.5" customHeight="1" x14ac:dyDescent="0.25">
      <c r="V146" s="99"/>
      <c r="W146" s="99"/>
      <c r="AW146" s="1"/>
      <c r="AX146" s="1"/>
      <c r="AY146" s="1"/>
      <c r="BE146" s="1"/>
      <c r="BF146" s="1"/>
      <c r="BG146" s="1"/>
      <c r="BM146" s="1"/>
      <c r="BN146" s="1"/>
      <c r="BO146" s="1"/>
    </row>
    <row r="147" spans="22:67" s="17" customFormat="1" ht="22.5" customHeight="1" x14ac:dyDescent="0.25">
      <c r="V147" s="99"/>
      <c r="W147" s="99"/>
      <c r="AW147" s="1"/>
      <c r="AX147" s="1"/>
      <c r="AY147" s="1"/>
      <c r="BE147" s="1"/>
      <c r="BF147" s="1"/>
      <c r="BG147" s="1"/>
      <c r="BM147" s="1"/>
      <c r="BN147" s="1"/>
      <c r="BO147" s="1"/>
    </row>
    <row r="148" spans="22:67" s="17" customFormat="1" ht="22.5" customHeight="1" x14ac:dyDescent="0.25">
      <c r="V148" s="99"/>
      <c r="W148" s="99"/>
      <c r="AW148" s="1"/>
      <c r="AX148" s="1"/>
      <c r="AY148" s="1"/>
      <c r="BE148" s="1"/>
      <c r="BF148" s="1"/>
      <c r="BG148" s="1"/>
      <c r="BM148" s="1"/>
      <c r="BN148" s="1"/>
      <c r="BO148" s="1"/>
    </row>
    <row r="149" spans="22:67" s="17" customFormat="1" ht="22.5" customHeight="1" x14ac:dyDescent="0.25">
      <c r="V149" s="99"/>
      <c r="W149" s="99"/>
      <c r="AW149" s="1"/>
      <c r="AX149" s="1"/>
      <c r="AY149" s="1"/>
      <c r="BE149" s="1"/>
      <c r="BF149" s="1"/>
      <c r="BG149" s="1"/>
      <c r="BM149" s="1"/>
      <c r="BN149" s="1"/>
      <c r="BO149" s="1"/>
    </row>
    <row r="150" spans="22:67" s="17" customFormat="1" ht="22.5" customHeight="1" x14ac:dyDescent="0.25">
      <c r="V150" s="99"/>
      <c r="W150" s="99"/>
      <c r="AW150" s="1"/>
      <c r="AX150" s="1"/>
      <c r="AY150" s="1"/>
      <c r="BE150" s="1"/>
      <c r="BF150" s="1"/>
      <c r="BG150" s="1"/>
      <c r="BM150" s="1"/>
      <c r="BN150" s="1"/>
      <c r="BO150" s="1"/>
    </row>
    <row r="151" spans="22:67" s="17" customFormat="1" ht="22.5" customHeight="1" x14ac:dyDescent="0.25">
      <c r="V151" s="99"/>
      <c r="W151" s="99"/>
      <c r="AW151" s="1"/>
      <c r="AX151" s="1"/>
      <c r="AY151" s="1"/>
      <c r="BE151" s="1"/>
      <c r="BF151" s="1"/>
      <c r="BG151" s="1"/>
      <c r="BM151" s="1"/>
      <c r="BN151" s="1"/>
      <c r="BO151" s="1"/>
    </row>
    <row r="152" spans="22:67" s="17" customFormat="1" ht="22.5" customHeight="1" x14ac:dyDescent="0.25">
      <c r="V152" s="99"/>
      <c r="W152" s="99"/>
      <c r="AW152" s="1"/>
      <c r="AX152" s="1"/>
      <c r="AY152" s="1"/>
      <c r="BE152" s="1"/>
      <c r="BF152" s="1"/>
      <c r="BG152" s="1"/>
      <c r="BM152" s="1"/>
      <c r="BN152" s="1"/>
      <c r="BO152" s="1"/>
    </row>
    <row r="153" spans="22:67" s="17" customFormat="1" ht="22.5" customHeight="1" x14ac:dyDescent="0.25">
      <c r="V153" s="99"/>
      <c r="W153" s="99"/>
      <c r="AW153" s="1"/>
      <c r="AX153" s="1"/>
      <c r="AY153" s="1"/>
      <c r="BE153" s="1"/>
      <c r="BF153" s="1"/>
      <c r="BG153" s="1"/>
      <c r="BM153" s="1"/>
      <c r="BN153" s="1"/>
      <c r="BO153" s="1"/>
    </row>
    <row r="154" spans="22:67" s="17" customFormat="1" ht="22.5" customHeight="1" x14ac:dyDescent="0.25">
      <c r="V154" s="99"/>
      <c r="W154" s="99"/>
      <c r="AW154" s="1"/>
      <c r="AX154" s="1"/>
      <c r="AY154" s="1"/>
      <c r="BE154" s="1"/>
      <c r="BF154" s="1"/>
      <c r="BG154" s="1"/>
      <c r="BM154" s="1"/>
      <c r="BN154" s="1"/>
      <c r="BO154" s="1"/>
    </row>
    <row r="155" spans="22:67" s="17" customFormat="1" ht="22.5" customHeight="1" x14ac:dyDescent="0.25">
      <c r="V155" s="99"/>
      <c r="W155" s="99"/>
      <c r="AW155" s="1"/>
      <c r="AX155" s="1"/>
      <c r="AY155" s="1"/>
      <c r="BE155" s="1"/>
      <c r="BF155" s="1"/>
      <c r="BG155" s="1"/>
      <c r="BM155" s="1"/>
      <c r="BN155" s="1"/>
      <c r="BO155" s="1"/>
    </row>
    <row r="156" spans="22:67" s="17" customFormat="1" ht="22.5" customHeight="1" x14ac:dyDescent="0.25">
      <c r="V156" s="99"/>
      <c r="W156" s="99"/>
      <c r="AW156" s="1"/>
      <c r="AX156" s="1"/>
      <c r="AY156" s="1"/>
      <c r="BE156" s="1"/>
      <c r="BF156" s="1"/>
      <c r="BG156" s="1"/>
      <c r="BM156" s="1"/>
      <c r="BN156" s="1"/>
      <c r="BO156" s="1"/>
    </row>
    <row r="157" spans="22:67" s="17" customFormat="1" ht="22.5" customHeight="1" x14ac:dyDescent="0.25">
      <c r="V157" s="99"/>
      <c r="W157" s="99"/>
      <c r="AW157" s="1"/>
      <c r="AX157" s="1"/>
      <c r="AY157" s="1"/>
      <c r="BE157" s="1"/>
      <c r="BF157" s="1"/>
      <c r="BG157" s="1"/>
      <c r="BM157" s="1"/>
      <c r="BN157" s="1"/>
      <c r="BO157" s="1"/>
    </row>
    <row r="158" spans="22:67" s="17" customFormat="1" ht="22.5" customHeight="1" x14ac:dyDescent="0.25">
      <c r="V158" s="99"/>
      <c r="W158" s="99"/>
      <c r="AW158" s="1"/>
      <c r="AX158" s="1"/>
      <c r="AY158" s="1"/>
      <c r="BE158" s="1"/>
      <c r="BF158" s="1"/>
      <c r="BG158" s="1"/>
      <c r="BM158" s="1"/>
      <c r="BN158" s="1"/>
      <c r="BO158" s="1"/>
    </row>
    <row r="159" spans="22:67" s="17" customFormat="1" ht="22.5" customHeight="1" x14ac:dyDescent="0.25">
      <c r="V159" s="99"/>
      <c r="W159" s="99"/>
      <c r="AW159" s="1"/>
      <c r="AX159" s="1"/>
      <c r="AY159" s="1"/>
      <c r="BE159" s="1"/>
      <c r="BF159" s="1"/>
      <c r="BG159" s="1"/>
      <c r="BM159" s="1"/>
      <c r="BN159" s="1"/>
      <c r="BO159" s="1"/>
    </row>
    <row r="160" spans="22:67" s="17" customFormat="1" ht="22.5" customHeight="1" x14ac:dyDescent="0.25">
      <c r="V160" s="99"/>
      <c r="W160" s="99"/>
      <c r="AW160" s="1"/>
      <c r="AX160" s="1"/>
      <c r="AY160" s="1"/>
      <c r="BE160" s="1"/>
      <c r="BF160" s="1"/>
      <c r="BG160" s="1"/>
      <c r="BM160" s="1"/>
      <c r="BN160" s="1"/>
      <c r="BO160" s="1"/>
    </row>
    <row r="161" spans="22:67" s="17" customFormat="1" ht="22.5" customHeight="1" x14ac:dyDescent="0.25">
      <c r="V161" s="99"/>
      <c r="W161" s="99"/>
      <c r="AW161" s="1"/>
      <c r="AX161" s="1"/>
      <c r="AY161" s="1"/>
      <c r="BE161" s="1"/>
      <c r="BF161" s="1"/>
      <c r="BG161" s="1"/>
      <c r="BM161" s="1"/>
      <c r="BN161" s="1"/>
      <c r="BO161" s="1"/>
    </row>
    <row r="162" spans="22:67" s="17" customFormat="1" ht="22.5" customHeight="1" x14ac:dyDescent="0.25">
      <c r="V162" s="99"/>
      <c r="W162" s="99"/>
      <c r="AW162" s="1"/>
      <c r="AX162" s="1"/>
      <c r="AY162" s="1"/>
      <c r="BE162" s="1"/>
      <c r="BF162" s="1"/>
      <c r="BG162" s="1"/>
      <c r="BM162" s="1"/>
      <c r="BN162" s="1"/>
      <c r="BO162" s="1"/>
    </row>
    <row r="163" spans="22:67" s="17" customFormat="1" ht="22.5" customHeight="1" x14ac:dyDescent="0.25">
      <c r="V163" s="99"/>
      <c r="W163" s="99"/>
      <c r="AW163" s="1"/>
      <c r="AX163" s="1"/>
      <c r="AY163" s="1"/>
      <c r="BE163" s="1"/>
      <c r="BF163" s="1"/>
      <c r="BG163" s="1"/>
      <c r="BM163" s="1"/>
      <c r="BN163" s="1"/>
      <c r="BO163" s="1"/>
    </row>
    <row r="164" spans="22:67" s="17" customFormat="1" ht="22.5" customHeight="1" x14ac:dyDescent="0.25">
      <c r="V164" s="99"/>
      <c r="W164" s="99"/>
      <c r="AW164" s="1"/>
      <c r="AX164" s="1"/>
      <c r="AY164" s="1"/>
      <c r="BE164" s="1"/>
      <c r="BF164" s="1"/>
      <c r="BG164" s="1"/>
      <c r="BM164" s="1"/>
      <c r="BN164" s="1"/>
      <c r="BO164" s="1"/>
    </row>
    <row r="165" spans="22:67" s="17" customFormat="1" ht="22.5" customHeight="1" x14ac:dyDescent="0.25">
      <c r="V165" s="99"/>
      <c r="W165" s="99"/>
      <c r="AW165" s="1"/>
      <c r="AX165" s="1"/>
      <c r="AY165" s="1"/>
      <c r="BE165" s="1"/>
      <c r="BF165" s="1"/>
      <c r="BG165" s="1"/>
      <c r="BM165" s="1"/>
      <c r="BN165" s="1"/>
      <c r="BO165" s="1"/>
    </row>
    <row r="166" spans="22:67" s="17" customFormat="1" ht="22.5" customHeight="1" x14ac:dyDescent="0.25">
      <c r="V166" s="99"/>
      <c r="W166" s="99"/>
      <c r="AW166" s="1"/>
      <c r="AX166" s="1"/>
      <c r="AY166" s="1"/>
      <c r="BE166" s="1"/>
      <c r="BF166" s="1"/>
      <c r="BG166" s="1"/>
      <c r="BM166" s="1"/>
      <c r="BN166" s="1"/>
      <c r="BO166" s="1"/>
    </row>
    <row r="167" spans="22:67" s="17" customFormat="1" ht="22.5" customHeight="1" x14ac:dyDescent="0.25">
      <c r="V167" s="99"/>
      <c r="W167" s="99"/>
      <c r="AW167" s="1"/>
      <c r="AX167" s="1"/>
      <c r="AY167" s="1"/>
      <c r="BE167" s="1"/>
      <c r="BF167" s="1"/>
      <c r="BG167" s="1"/>
      <c r="BM167" s="1"/>
      <c r="BN167" s="1"/>
      <c r="BO167" s="1"/>
    </row>
    <row r="168" spans="22:67" s="17" customFormat="1" ht="22.5" customHeight="1" x14ac:dyDescent="0.25">
      <c r="V168" s="99"/>
      <c r="W168" s="99"/>
      <c r="AW168" s="1"/>
      <c r="AX168" s="1"/>
      <c r="AY168" s="1"/>
      <c r="BE168" s="1"/>
      <c r="BF168" s="1"/>
      <c r="BG168" s="1"/>
      <c r="BM168" s="1"/>
      <c r="BN168" s="1"/>
      <c r="BO168" s="1"/>
    </row>
    <row r="169" spans="22:67" s="17" customFormat="1" ht="22.5" customHeight="1" x14ac:dyDescent="0.25">
      <c r="V169" s="99"/>
      <c r="W169" s="99"/>
      <c r="AW169" s="1"/>
      <c r="AX169" s="1"/>
      <c r="AY169" s="1"/>
      <c r="BE169" s="1"/>
      <c r="BF169" s="1"/>
      <c r="BG169" s="1"/>
      <c r="BM169" s="1"/>
      <c r="BN169" s="1"/>
      <c r="BO169" s="1"/>
    </row>
    <row r="170" spans="22:67" s="17" customFormat="1" ht="22.5" customHeight="1" x14ac:dyDescent="0.25">
      <c r="V170" s="99"/>
      <c r="W170" s="99"/>
      <c r="AW170" s="1"/>
      <c r="AX170" s="1"/>
      <c r="AY170" s="1"/>
      <c r="BE170" s="1"/>
      <c r="BF170" s="1"/>
      <c r="BG170" s="1"/>
      <c r="BM170" s="1"/>
      <c r="BN170" s="1"/>
      <c r="BO170" s="1"/>
    </row>
    <row r="171" spans="22:67" s="17" customFormat="1" ht="22.5" customHeight="1" x14ac:dyDescent="0.25">
      <c r="V171" s="99"/>
      <c r="W171" s="99"/>
      <c r="AW171" s="1"/>
      <c r="AX171" s="1"/>
      <c r="AY171" s="1"/>
      <c r="BE171" s="1"/>
      <c r="BF171" s="1"/>
      <c r="BG171" s="1"/>
      <c r="BM171" s="1"/>
      <c r="BN171" s="1"/>
      <c r="BO171" s="1"/>
    </row>
    <row r="172" spans="22:67" s="17" customFormat="1" ht="22.5" customHeight="1" x14ac:dyDescent="0.25">
      <c r="V172" s="99"/>
      <c r="W172" s="99"/>
      <c r="AW172" s="1"/>
      <c r="AX172" s="1"/>
      <c r="AY172" s="1"/>
      <c r="BE172" s="1"/>
      <c r="BF172" s="1"/>
      <c r="BG172" s="1"/>
      <c r="BM172" s="1"/>
      <c r="BN172" s="1"/>
      <c r="BO172" s="1"/>
    </row>
    <row r="173" spans="22:67" s="17" customFormat="1" ht="22.5" customHeight="1" x14ac:dyDescent="0.25">
      <c r="V173" s="99"/>
      <c r="W173" s="99"/>
      <c r="AW173" s="1"/>
      <c r="AX173" s="1"/>
      <c r="AY173" s="1"/>
      <c r="BE173" s="1"/>
      <c r="BF173" s="1"/>
      <c r="BG173" s="1"/>
      <c r="BM173" s="1"/>
      <c r="BN173" s="1"/>
      <c r="BO173" s="1"/>
    </row>
    <row r="174" spans="22:67" s="17" customFormat="1" ht="22.5" customHeight="1" x14ac:dyDescent="0.25">
      <c r="V174" s="99"/>
      <c r="W174" s="99"/>
      <c r="AW174" s="1"/>
      <c r="AX174" s="1"/>
      <c r="AY174" s="1"/>
      <c r="BE174" s="1"/>
      <c r="BF174" s="1"/>
      <c r="BG174" s="1"/>
      <c r="BM174" s="1"/>
      <c r="BN174" s="1"/>
      <c r="BO174" s="1"/>
    </row>
    <row r="175" spans="22:67" s="17" customFormat="1" ht="22.5" customHeight="1" x14ac:dyDescent="0.25">
      <c r="V175" s="99"/>
      <c r="W175" s="99"/>
      <c r="AW175" s="1"/>
      <c r="AX175" s="1"/>
      <c r="AY175" s="1"/>
      <c r="BE175" s="1"/>
      <c r="BF175" s="1"/>
      <c r="BG175" s="1"/>
      <c r="BM175" s="1"/>
      <c r="BN175" s="1"/>
      <c r="BO175" s="1"/>
    </row>
    <row r="176" spans="22:67" s="17" customFormat="1" ht="22.5" customHeight="1" x14ac:dyDescent="0.25">
      <c r="V176" s="99"/>
      <c r="W176" s="99"/>
      <c r="AW176" s="1"/>
      <c r="AX176" s="1"/>
      <c r="AY176" s="1"/>
      <c r="BE176" s="1"/>
      <c r="BF176" s="1"/>
      <c r="BG176" s="1"/>
      <c r="BM176" s="1"/>
      <c r="BN176" s="1"/>
      <c r="BO176" s="1"/>
    </row>
    <row r="177" spans="22:67" s="17" customFormat="1" ht="22.5" customHeight="1" x14ac:dyDescent="0.25">
      <c r="V177" s="99"/>
      <c r="W177" s="99"/>
      <c r="AW177" s="1"/>
      <c r="AX177" s="1"/>
      <c r="AY177" s="1"/>
      <c r="BE177" s="1"/>
      <c r="BF177" s="1"/>
      <c r="BG177" s="1"/>
      <c r="BM177" s="1"/>
      <c r="BN177" s="1"/>
      <c r="BO177" s="1"/>
    </row>
    <row r="178" spans="22:67" s="17" customFormat="1" ht="22.5" customHeight="1" x14ac:dyDescent="0.25">
      <c r="V178" s="99"/>
      <c r="W178" s="99"/>
      <c r="AW178" s="1"/>
      <c r="AX178" s="1"/>
      <c r="AY178" s="1"/>
      <c r="BE178" s="1"/>
      <c r="BF178" s="1"/>
      <c r="BG178" s="1"/>
      <c r="BM178" s="1"/>
      <c r="BN178" s="1"/>
      <c r="BO178" s="1"/>
    </row>
    <row r="179" spans="22:67" s="17" customFormat="1" ht="22.5" customHeight="1" x14ac:dyDescent="0.25">
      <c r="V179" s="99"/>
      <c r="W179" s="99"/>
      <c r="AW179" s="1"/>
      <c r="AX179" s="1"/>
      <c r="AY179" s="1"/>
      <c r="BE179" s="1"/>
      <c r="BF179" s="1"/>
      <c r="BG179" s="1"/>
      <c r="BM179" s="1"/>
      <c r="BN179" s="1"/>
      <c r="BO179" s="1"/>
    </row>
    <row r="180" spans="22:67" s="17" customFormat="1" ht="22.5" customHeight="1" x14ac:dyDescent="0.25">
      <c r="V180" s="99"/>
      <c r="W180" s="99"/>
      <c r="AW180" s="1"/>
      <c r="AX180" s="1"/>
      <c r="AY180" s="1"/>
      <c r="BE180" s="1"/>
      <c r="BF180" s="1"/>
      <c r="BG180" s="1"/>
      <c r="BM180" s="1"/>
      <c r="BN180" s="1"/>
      <c r="BO180" s="1"/>
    </row>
    <row r="181" spans="22:67" s="17" customFormat="1" ht="22.5" customHeight="1" x14ac:dyDescent="0.25">
      <c r="V181" s="99"/>
      <c r="W181" s="99"/>
      <c r="AW181" s="1"/>
      <c r="AX181" s="1"/>
      <c r="AY181" s="1"/>
      <c r="BE181" s="1"/>
      <c r="BF181" s="1"/>
      <c r="BG181" s="1"/>
      <c r="BM181" s="1"/>
      <c r="BN181" s="1"/>
      <c r="BO181" s="1"/>
    </row>
    <row r="182" spans="22:67" s="17" customFormat="1" ht="22.5" customHeight="1" x14ac:dyDescent="0.25">
      <c r="V182" s="99"/>
      <c r="W182" s="99"/>
      <c r="AW182" s="1"/>
      <c r="AX182" s="1"/>
      <c r="AY182" s="1"/>
      <c r="BE182" s="1"/>
      <c r="BF182" s="1"/>
      <c r="BG182" s="1"/>
      <c r="BM182" s="1"/>
      <c r="BN182" s="1"/>
      <c r="BO182" s="1"/>
    </row>
    <row r="183" spans="22:67" s="17" customFormat="1" ht="22.5" customHeight="1" x14ac:dyDescent="0.25">
      <c r="V183" s="99"/>
      <c r="W183" s="99"/>
      <c r="AW183" s="1"/>
      <c r="AX183" s="1"/>
      <c r="AY183" s="1"/>
      <c r="BE183" s="1"/>
      <c r="BF183" s="1"/>
      <c r="BG183" s="1"/>
      <c r="BM183" s="1"/>
      <c r="BN183" s="1"/>
      <c r="BO183" s="1"/>
    </row>
    <row r="184" spans="22:67" s="17" customFormat="1" ht="22.5" customHeight="1" x14ac:dyDescent="0.25">
      <c r="V184" s="99"/>
      <c r="W184" s="99"/>
      <c r="AW184" s="1"/>
      <c r="AX184" s="1"/>
      <c r="AY184" s="1"/>
      <c r="BE184" s="1"/>
      <c r="BF184" s="1"/>
      <c r="BG184" s="1"/>
      <c r="BM184" s="1"/>
      <c r="BN184" s="1"/>
      <c r="BO184" s="1"/>
    </row>
    <row r="185" spans="22:67" s="17" customFormat="1" ht="22.5" customHeight="1" x14ac:dyDescent="0.25">
      <c r="V185" s="99"/>
      <c r="W185" s="99"/>
      <c r="AW185" s="1"/>
      <c r="AX185" s="1"/>
      <c r="AY185" s="1"/>
      <c r="BE185" s="1"/>
      <c r="BF185" s="1"/>
      <c r="BG185" s="1"/>
      <c r="BM185" s="1"/>
      <c r="BN185" s="1"/>
      <c r="BO185" s="1"/>
    </row>
    <row r="186" spans="22:67" s="17" customFormat="1" ht="22.5" customHeight="1" x14ac:dyDescent="0.25">
      <c r="V186" s="99"/>
      <c r="W186" s="99"/>
      <c r="AW186" s="1"/>
      <c r="AX186" s="1"/>
      <c r="AY186" s="1"/>
      <c r="BE186" s="1"/>
      <c r="BF186" s="1"/>
      <c r="BG186" s="1"/>
      <c r="BM186" s="1"/>
      <c r="BN186" s="1"/>
      <c r="BO186" s="1"/>
    </row>
    <row r="187" spans="22:67" s="17" customFormat="1" ht="22.5" customHeight="1" x14ac:dyDescent="0.25">
      <c r="V187" s="99"/>
      <c r="W187" s="99"/>
      <c r="AW187" s="1"/>
      <c r="AX187" s="1"/>
      <c r="AY187" s="1"/>
      <c r="BE187" s="1"/>
      <c r="BF187" s="1"/>
      <c r="BG187" s="1"/>
      <c r="BM187" s="1"/>
      <c r="BN187" s="1"/>
      <c r="BO187" s="1"/>
    </row>
    <row r="188" spans="22:67" s="17" customFormat="1" ht="22.5" customHeight="1" x14ac:dyDescent="0.25">
      <c r="V188" s="99"/>
      <c r="W188" s="99"/>
      <c r="AW188" s="1"/>
      <c r="AX188" s="1"/>
      <c r="AY188" s="1"/>
      <c r="BE188" s="1"/>
      <c r="BF188" s="1"/>
      <c r="BG188" s="1"/>
      <c r="BM188" s="1"/>
      <c r="BN188" s="1"/>
      <c r="BO188" s="1"/>
    </row>
    <row r="189" spans="22:67" s="17" customFormat="1" ht="22.5" customHeight="1" x14ac:dyDescent="0.25">
      <c r="V189" s="99"/>
      <c r="W189" s="99"/>
      <c r="AW189" s="1"/>
      <c r="AX189" s="1"/>
      <c r="AY189" s="1"/>
      <c r="BE189" s="1"/>
      <c r="BF189" s="1"/>
      <c r="BG189" s="1"/>
      <c r="BM189" s="1"/>
      <c r="BN189" s="1"/>
      <c r="BO189" s="1"/>
    </row>
    <row r="190" spans="22:67" s="17" customFormat="1" ht="22.5" customHeight="1" x14ac:dyDescent="0.25">
      <c r="V190" s="99"/>
      <c r="W190" s="99"/>
      <c r="AW190" s="1"/>
      <c r="AX190" s="1"/>
      <c r="AY190" s="1"/>
      <c r="BE190" s="1"/>
      <c r="BF190" s="1"/>
      <c r="BG190" s="1"/>
      <c r="BM190" s="1"/>
      <c r="BN190" s="1"/>
      <c r="BO190" s="1"/>
    </row>
    <row r="191" spans="22:67" s="17" customFormat="1" ht="22.5" customHeight="1" x14ac:dyDescent="0.25">
      <c r="V191" s="99"/>
      <c r="W191" s="99"/>
      <c r="AW191" s="1"/>
      <c r="AX191" s="1"/>
      <c r="AY191" s="1"/>
      <c r="BE191" s="1"/>
      <c r="BF191" s="1"/>
      <c r="BG191" s="1"/>
      <c r="BM191" s="1"/>
      <c r="BN191" s="1"/>
      <c r="BO191" s="1"/>
    </row>
    <row r="192" spans="22:67" s="17" customFormat="1" ht="22.5" customHeight="1" x14ac:dyDescent="0.25">
      <c r="V192" s="99"/>
      <c r="W192" s="99"/>
      <c r="AW192" s="1"/>
      <c r="AX192" s="1"/>
      <c r="AY192" s="1"/>
      <c r="BE192" s="1"/>
      <c r="BF192" s="1"/>
      <c r="BG192" s="1"/>
      <c r="BM192" s="1"/>
      <c r="BN192" s="1"/>
      <c r="BO192" s="1"/>
    </row>
    <row r="193" spans="22:67" s="17" customFormat="1" ht="22.5" customHeight="1" x14ac:dyDescent="0.25">
      <c r="V193" s="99"/>
      <c r="W193" s="99"/>
      <c r="AW193" s="1"/>
      <c r="AX193" s="1"/>
      <c r="AY193" s="1"/>
      <c r="BE193" s="1"/>
      <c r="BF193" s="1"/>
      <c r="BG193" s="1"/>
      <c r="BM193" s="1"/>
      <c r="BN193" s="1"/>
      <c r="BO193" s="1"/>
    </row>
    <row r="194" spans="22:67" s="17" customFormat="1" ht="22.5" customHeight="1" x14ac:dyDescent="0.25">
      <c r="V194" s="99"/>
      <c r="W194" s="99"/>
      <c r="AW194" s="1"/>
      <c r="AX194" s="1"/>
      <c r="AY194" s="1"/>
      <c r="BE194" s="1"/>
      <c r="BF194" s="1"/>
      <c r="BG194" s="1"/>
      <c r="BM194" s="1"/>
      <c r="BN194" s="1"/>
      <c r="BO194" s="1"/>
    </row>
    <row r="195" spans="22:67" s="17" customFormat="1" ht="22.5" customHeight="1" x14ac:dyDescent="0.25">
      <c r="V195" s="99"/>
      <c r="W195" s="99"/>
      <c r="AW195" s="1"/>
      <c r="AX195" s="1"/>
      <c r="AY195" s="1"/>
      <c r="BE195" s="1"/>
      <c r="BF195" s="1"/>
      <c r="BG195" s="1"/>
      <c r="BM195" s="1"/>
      <c r="BN195" s="1"/>
      <c r="BO195" s="1"/>
    </row>
    <row r="196" spans="22:67" s="17" customFormat="1" ht="22.5" customHeight="1" x14ac:dyDescent="0.25">
      <c r="V196" s="99"/>
      <c r="W196" s="99"/>
      <c r="AW196" s="1"/>
      <c r="AX196" s="1"/>
      <c r="AY196" s="1"/>
      <c r="BE196" s="1"/>
      <c r="BF196" s="1"/>
      <c r="BG196" s="1"/>
      <c r="BM196" s="1"/>
      <c r="BN196" s="1"/>
      <c r="BO196" s="1"/>
    </row>
    <row r="197" spans="22:67" s="17" customFormat="1" ht="22.5" customHeight="1" x14ac:dyDescent="0.25">
      <c r="V197" s="99"/>
      <c r="W197" s="99"/>
      <c r="AW197" s="1"/>
      <c r="AX197" s="1"/>
      <c r="AY197" s="1"/>
      <c r="BE197" s="1"/>
      <c r="BF197" s="1"/>
      <c r="BG197" s="1"/>
      <c r="BM197" s="1"/>
      <c r="BN197" s="1"/>
      <c r="BO197" s="1"/>
    </row>
    <row r="198" spans="22:67" s="17" customFormat="1" ht="22.5" customHeight="1" x14ac:dyDescent="0.25">
      <c r="V198" s="99"/>
      <c r="W198" s="99"/>
      <c r="AW198" s="1"/>
      <c r="AX198" s="1"/>
      <c r="AY198" s="1"/>
      <c r="BE198" s="1"/>
      <c r="BF198" s="1"/>
      <c r="BG198" s="1"/>
      <c r="BM198" s="1"/>
      <c r="BN198" s="1"/>
      <c r="BO198" s="1"/>
    </row>
    <row r="199" spans="22:67" s="17" customFormat="1" ht="22.5" customHeight="1" x14ac:dyDescent="0.25">
      <c r="V199" s="99"/>
      <c r="W199" s="99"/>
      <c r="AW199" s="1"/>
      <c r="AX199" s="1"/>
      <c r="AY199" s="1"/>
      <c r="BE199" s="1"/>
      <c r="BF199" s="1"/>
      <c r="BG199" s="1"/>
      <c r="BM199" s="1"/>
      <c r="BN199" s="1"/>
      <c r="BO199" s="1"/>
    </row>
    <row r="200" spans="22:67" s="17" customFormat="1" ht="22.5" customHeight="1" x14ac:dyDescent="0.25">
      <c r="V200" s="99"/>
      <c r="W200" s="99"/>
      <c r="AW200" s="1"/>
      <c r="AX200" s="1"/>
      <c r="AY200" s="1"/>
      <c r="BE200" s="1"/>
      <c r="BF200" s="1"/>
      <c r="BG200" s="1"/>
      <c r="BM200" s="1"/>
      <c r="BN200" s="1"/>
      <c r="BO200" s="1"/>
    </row>
    <row r="201" spans="22:67" s="17" customFormat="1" ht="22.5" customHeight="1" x14ac:dyDescent="0.25">
      <c r="V201" s="99"/>
      <c r="W201" s="99"/>
      <c r="AW201" s="1"/>
      <c r="AX201" s="1"/>
      <c r="AY201" s="1"/>
      <c r="BE201" s="1"/>
      <c r="BF201" s="1"/>
      <c r="BG201" s="1"/>
      <c r="BM201" s="1"/>
      <c r="BN201" s="1"/>
      <c r="BO201" s="1"/>
    </row>
    <row r="202" spans="22:67" s="17" customFormat="1" ht="22.5" customHeight="1" x14ac:dyDescent="0.25">
      <c r="V202" s="99"/>
      <c r="W202" s="99"/>
      <c r="AW202" s="1"/>
      <c r="AX202" s="1"/>
      <c r="AY202" s="1"/>
      <c r="BE202" s="1"/>
      <c r="BF202" s="1"/>
      <c r="BG202" s="1"/>
      <c r="BM202" s="1"/>
      <c r="BN202" s="1"/>
      <c r="BO202" s="1"/>
    </row>
    <row r="203" spans="22:67" s="17" customFormat="1" ht="22.5" customHeight="1" x14ac:dyDescent="0.25">
      <c r="V203" s="99"/>
      <c r="W203" s="99"/>
      <c r="AW203" s="1"/>
      <c r="AX203" s="1"/>
      <c r="AY203" s="1"/>
      <c r="BE203" s="1"/>
      <c r="BF203" s="1"/>
      <c r="BG203" s="1"/>
      <c r="BM203" s="1"/>
      <c r="BN203" s="1"/>
      <c r="BO203" s="1"/>
    </row>
    <row r="204" spans="22:67" s="17" customFormat="1" ht="22.5" customHeight="1" x14ac:dyDescent="0.25">
      <c r="V204" s="99"/>
      <c r="W204" s="99"/>
      <c r="AW204" s="1"/>
      <c r="AX204" s="1"/>
      <c r="AY204" s="1"/>
      <c r="BE204" s="1"/>
      <c r="BF204" s="1"/>
      <c r="BG204" s="1"/>
      <c r="BM204" s="1"/>
      <c r="BN204" s="1"/>
      <c r="BO204" s="1"/>
    </row>
    <row r="205" spans="22:67" s="17" customFormat="1" ht="22.5" customHeight="1" x14ac:dyDescent="0.25">
      <c r="V205" s="99"/>
      <c r="W205" s="99"/>
      <c r="AW205" s="1"/>
      <c r="AX205" s="1"/>
      <c r="AY205" s="1"/>
      <c r="BE205" s="1"/>
      <c r="BF205" s="1"/>
      <c r="BG205" s="1"/>
      <c r="BM205" s="1"/>
      <c r="BN205" s="1"/>
      <c r="BO205" s="1"/>
    </row>
    <row r="206" spans="22:67" s="17" customFormat="1" ht="22.5" customHeight="1" x14ac:dyDescent="0.25">
      <c r="V206" s="99"/>
      <c r="W206" s="99"/>
      <c r="AW206" s="1"/>
      <c r="AX206" s="1"/>
      <c r="AY206" s="1"/>
      <c r="BE206" s="1"/>
      <c r="BF206" s="1"/>
      <c r="BG206" s="1"/>
      <c r="BM206" s="1"/>
      <c r="BN206" s="1"/>
      <c r="BO206" s="1"/>
    </row>
    <row r="207" spans="22:67" s="17" customFormat="1" ht="22.5" customHeight="1" x14ac:dyDescent="0.25">
      <c r="V207" s="99"/>
      <c r="W207" s="99"/>
      <c r="AW207" s="1"/>
      <c r="AX207" s="1"/>
      <c r="AY207" s="1"/>
      <c r="BE207" s="1"/>
      <c r="BF207" s="1"/>
      <c r="BG207" s="1"/>
      <c r="BM207" s="1"/>
      <c r="BN207" s="1"/>
      <c r="BO207" s="1"/>
    </row>
    <row r="208" spans="22:67" s="17" customFormat="1" ht="22.5" customHeight="1" x14ac:dyDescent="0.25">
      <c r="V208" s="99"/>
      <c r="W208" s="99"/>
      <c r="AW208" s="1"/>
      <c r="AX208" s="1"/>
      <c r="AY208" s="1"/>
      <c r="BE208" s="1"/>
      <c r="BF208" s="1"/>
      <c r="BG208" s="1"/>
      <c r="BM208" s="1"/>
      <c r="BN208" s="1"/>
      <c r="BO208" s="1"/>
    </row>
    <row r="209" spans="22:67" s="17" customFormat="1" ht="22.5" customHeight="1" x14ac:dyDescent="0.25">
      <c r="V209" s="99"/>
      <c r="W209" s="99"/>
      <c r="AW209" s="1"/>
      <c r="AX209" s="1"/>
      <c r="AY209" s="1"/>
      <c r="BE209" s="1"/>
      <c r="BF209" s="1"/>
      <c r="BG209" s="1"/>
      <c r="BM209" s="1"/>
      <c r="BN209" s="1"/>
      <c r="BO209" s="1"/>
    </row>
    <row r="210" spans="22:67" s="17" customFormat="1" ht="22.5" customHeight="1" x14ac:dyDescent="0.25">
      <c r="V210" s="99"/>
      <c r="W210" s="99"/>
      <c r="AW210" s="1"/>
      <c r="AX210" s="1"/>
      <c r="AY210" s="1"/>
      <c r="BE210" s="1"/>
      <c r="BF210" s="1"/>
      <c r="BG210" s="1"/>
      <c r="BM210" s="1"/>
      <c r="BN210" s="1"/>
      <c r="BO210" s="1"/>
    </row>
    <row r="211" spans="22:67" s="17" customFormat="1" ht="22.5" customHeight="1" x14ac:dyDescent="0.25">
      <c r="V211" s="99"/>
      <c r="W211" s="99"/>
      <c r="AW211" s="1"/>
      <c r="AX211" s="1"/>
      <c r="AY211" s="1"/>
      <c r="BE211" s="1"/>
      <c r="BF211" s="1"/>
      <c r="BG211" s="1"/>
      <c r="BM211" s="1"/>
      <c r="BN211" s="1"/>
      <c r="BO211" s="1"/>
    </row>
    <row r="212" spans="22:67" s="17" customFormat="1" ht="22.5" customHeight="1" x14ac:dyDescent="0.25">
      <c r="V212" s="99"/>
      <c r="W212" s="99"/>
      <c r="AW212" s="1"/>
      <c r="AX212" s="1"/>
      <c r="AY212" s="1"/>
      <c r="BE212" s="1"/>
      <c r="BF212" s="1"/>
      <c r="BG212" s="1"/>
      <c r="BM212" s="1"/>
      <c r="BN212" s="1"/>
      <c r="BO212" s="1"/>
    </row>
    <row r="213" spans="22:67" s="17" customFormat="1" ht="22.5" customHeight="1" x14ac:dyDescent="0.25">
      <c r="V213" s="99"/>
      <c r="W213" s="99"/>
      <c r="AW213" s="1"/>
      <c r="AX213" s="1"/>
      <c r="AY213" s="1"/>
      <c r="BE213" s="1"/>
      <c r="BF213" s="1"/>
      <c r="BG213" s="1"/>
      <c r="BM213" s="1"/>
      <c r="BN213" s="1"/>
      <c r="BO213" s="1"/>
    </row>
    <row r="214" spans="22:67" s="17" customFormat="1" ht="22.5" customHeight="1" x14ac:dyDescent="0.25">
      <c r="V214" s="99"/>
      <c r="W214" s="99"/>
      <c r="AW214" s="1"/>
      <c r="AX214" s="1"/>
      <c r="AY214" s="1"/>
      <c r="BE214" s="1"/>
      <c r="BF214" s="1"/>
      <c r="BG214" s="1"/>
      <c r="BM214" s="1"/>
      <c r="BN214" s="1"/>
      <c r="BO214" s="1"/>
    </row>
    <row r="215" spans="22:67" s="17" customFormat="1" ht="22.5" customHeight="1" x14ac:dyDescent="0.25">
      <c r="V215" s="99"/>
      <c r="W215" s="99"/>
      <c r="AW215" s="1"/>
      <c r="AX215" s="1"/>
      <c r="AY215" s="1"/>
      <c r="BE215" s="1"/>
      <c r="BF215" s="1"/>
      <c r="BG215" s="1"/>
      <c r="BM215" s="1"/>
      <c r="BN215" s="1"/>
      <c r="BO215" s="1"/>
    </row>
    <row r="216" spans="22:67" s="17" customFormat="1" ht="22.5" customHeight="1" x14ac:dyDescent="0.25">
      <c r="V216" s="99"/>
      <c r="W216" s="99"/>
      <c r="AW216" s="1"/>
      <c r="AX216" s="1"/>
      <c r="AY216" s="1"/>
      <c r="BE216" s="1"/>
      <c r="BF216" s="1"/>
      <c r="BG216" s="1"/>
      <c r="BM216" s="1"/>
      <c r="BN216" s="1"/>
      <c r="BO216" s="1"/>
    </row>
    <row r="217" spans="22:67" s="17" customFormat="1" ht="22.5" customHeight="1" x14ac:dyDescent="0.25">
      <c r="V217" s="99"/>
      <c r="W217" s="99"/>
      <c r="AW217" s="1"/>
      <c r="AX217" s="1"/>
      <c r="AY217" s="1"/>
      <c r="BE217" s="1"/>
      <c r="BF217" s="1"/>
      <c r="BG217" s="1"/>
      <c r="BM217" s="1"/>
      <c r="BN217" s="1"/>
      <c r="BO217" s="1"/>
    </row>
    <row r="218" spans="22:67" s="17" customFormat="1" ht="22.5" customHeight="1" x14ac:dyDescent="0.25">
      <c r="V218" s="99"/>
      <c r="W218" s="99"/>
      <c r="AW218" s="1"/>
      <c r="AX218" s="1"/>
      <c r="AY218" s="1"/>
      <c r="BE218" s="1"/>
      <c r="BF218" s="1"/>
      <c r="BG218" s="1"/>
      <c r="BM218" s="1"/>
      <c r="BN218" s="1"/>
      <c r="BO218" s="1"/>
    </row>
    <row r="219" spans="22:67" s="17" customFormat="1" ht="22.5" customHeight="1" x14ac:dyDescent="0.25">
      <c r="V219" s="99"/>
      <c r="W219" s="99"/>
      <c r="AW219" s="1"/>
      <c r="AX219" s="1"/>
      <c r="AY219" s="1"/>
      <c r="BE219" s="1"/>
      <c r="BF219" s="1"/>
      <c r="BG219" s="1"/>
      <c r="BM219" s="1"/>
      <c r="BN219" s="1"/>
      <c r="BO219" s="1"/>
    </row>
    <row r="220" spans="22:67" s="17" customFormat="1" ht="22.5" customHeight="1" x14ac:dyDescent="0.25">
      <c r="V220" s="99"/>
      <c r="W220" s="99"/>
      <c r="AW220" s="1"/>
      <c r="AX220" s="1"/>
      <c r="AY220" s="1"/>
      <c r="BE220" s="1"/>
      <c r="BF220" s="1"/>
      <c r="BG220" s="1"/>
      <c r="BM220" s="1"/>
      <c r="BN220" s="1"/>
      <c r="BO220" s="1"/>
    </row>
    <row r="221" spans="22:67" s="17" customFormat="1" ht="22.5" customHeight="1" x14ac:dyDescent="0.25">
      <c r="V221" s="99"/>
      <c r="W221" s="99"/>
      <c r="AW221" s="1"/>
      <c r="AX221" s="1"/>
      <c r="AY221" s="1"/>
      <c r="BE221" s="1"/>
      <c r="BF221" s="1"/>
      <c r="BG221" s="1"/>
      <c r="BM221" s="1"/>
      <c r="BN221" s="1"/>
      <c r="BO221" s="1"/>
    </row>
    <row r="222" spans="22:67" s="17" customFormat="1" ht="22.5" customHeight="1" x14ac:dyDescent="0.25">
      <c r="V222" s="99"/>
      <c r="W222" s="99"/>
      <c r="AW222" s="1"/>
      <c r="AX222" s="1"/>
      <c r="AY222" s="1"/>
      <c r="BE222" s="1"/>
      <c r="BF222" s="1"/>
      <c r="BG222" s="1"/>
      <c r="BM222" s="1"/>
      <c r="BN222" s="1"/>
      <c r="BO222" s="1"/>
    </row>
    <row r="223" spans="22:67" s="17" customFormat="1" ht="22.5" customHeight="1" x14ac:dyDescent="0.25">
      <c r="V223" s="99"/>
      <c r="W223" s="99"/>
      <c r="AW223" s="1"/>
      <c r="AX223" s="1"/>
      <c r="AY223" s="1"/>
      <c r="BE223" s="1"/>
      <c r="BF223" s="1"/>
      <c r="BG223" s="1"/>
      <c r="BM223" s="1"/>
      <c r="BN223" s="1"/>
      <c r="BO223" s="1"/>
    </row>
    <row r="224" spans="22:67" s="17" customFormat="1" ht="22.5" customHeight="1" x14ac:dyDescent="0.25">
      <c r="V224" s="99"/>
      <c r="W224" s="99"/>
      <c r="AW224" s="1"/>
      <c r="AX224" s="1"/>
      <c r="AY224" s="1"/>
      <c r="BE224" s="1"/>
      <c r="BF224" s="1"/>
      <c r="BG224" s="1"/>
      <c r="BM224" s="1"/>
      <c r="BN224" s="1"/>
      <c r="BO224" s="1"/>
    </row>
    <row r="225" spans="22:67" s="17" customFormat="1" ht="22.5" customHeight="1" x14ac:dyDescent="0.25">
      <c r="V225" s="99"/>
      <c r="W225" s="99"/>
      <c r="AW225" s="1"/>
      <c r="AX225" s="1"/>
      <c r="AY225" s="1"/>
      <c r="BE225" s="1"/>
      <c r="BF225" s="1"/>
      <c r="BG225" s="1"/>
      <c r="BM225" s="1"/>
      <c r="BN225" s="1"/>
      <c r="BO225" s="1"/>
    </row>
    <row r="226" spans="22:67" s="17" customFormat="1" ht="22.5" customHeight="1" x14ac:dyDescent="0.25">
      <c r="V226" s="99"/>
      <c r="W226" s="99"/>
      <c r="AW226" s="1"/>
      <c r="AX226" s="1"/>
      <c r="AY226" s="1"/>
      <c r="BE226" s="1"/>
      <c r="BF226" s="1"/>
      <c r="BG226" s="1"/>
      <c r="BM226" s="1"/>
      <c r="BN226" s="1"/>
      <c r="BO226" s="1"/>
    </row>
    <row r="227" spans="22:67" s="17" customFormat="1" ht="22.5" customHeight="1" x14ac:dyDescent="0.25">
      <c r="V227" s="99"/>
      <c r="W227" s="99"/>
      <c r="AW227" s="1"/>
      <c r="AX227" s="1"/>
      <c r="AY227" s="1"/>
      <c r="BE227" s="1"/>
      <c r="BF227" s="1"/>
      <c r="BG227" s="1"/>
      <c r="BM227" s="1"/>
      <c r="BN227" s="1"/>
      <c r="BO227" s="1"/>
    </row>
    <row r="228" spans="22:67" s="17" customFormat="1" ht="22.5" customHeight="1" x14ac:dyDescent="0.25">
      <c r="V228" s="99"/>
      <c r="W228" s="99"/>
      <c r="AW228" s="1"/>
      <c r="AX228" s="1"/>
      <c r="AY228" s="1"/>
      <c r="BE228" s="1"/>
      <c r="BF228" s="1"/>
      <c r="BG228" s="1"/>
      <c r="BM228" s="1"/>
      <c r="BN228" s="1"/>
      <c r="BO228" s="1"/>
    </row>
    <row r="229" spans="22:67" s="17" customFormat="1" ht="22.5" customHeight="1" x14ac:dyDescent="0.25">
      <c r="V229" s="99"/>
      <c r="W229" s="99"/>
      <c r="AW229" s="1"/>
      <c r="AX229" s="1"/>
      <c r="AY229" s="1"/>
      <c r="BE229" s="1"/>
      <c r="BF229" s="1"/>
      <c r="BG229" s="1"/>
      <c r="BM229" s="1"/>
      <c r="BN229" s="1"/>
      <c r="BO229" s="1"/>
    </row>
    <row r="230" spans="22:67" s="17" customFormat="1" ht="22.5" customHeight="1" x14ac:dyDescent="0.25">
      <c r="V230" s="99"/>
      <c r="W230" s="99"/>
      <c r="AW230" s="1"/>
      <c r="AX230" s="1"/>
      <c r="AY230" s="1"/>
      <c r="BE230" s="1"/>
      <c r="BF230" s="1"/>
      <c r="BG230" s="1"/>
      <c r="BM230" s="1"/>
      <c r="BN230" s="1"/>
      <c r="BO230" s="1"/>
    </row>
    <row r="231" spans="22:67" s="17" customFormat="1" ht="22.5" customHeight="1" x14ac:dyDescent="0.25">
      <c r="V231" s="99"/>
      <c r="W231" s="99"/>
      <c r="AW231" s="1"/>
      <c r="AX231" s="1"/>
      <c r="AY231" s="1"/>
      <c r="BE231" s="1"/>
      <c r="BF231" s="1"/>
      <c r="BG231" s="1"/>
      <c r="BM231" s="1"/>
      <c r="BN231" s="1"/>
      <c r="BO231" s="1"/>
    </row>
    <row r="232" spans="22:67" s="17" customFormat="1" ht="22.5" customHeight="1" x14ac:dyDescent="0.25">
      <c r="V232" s="99"/>
      <c r="W232" s="99"/>
      <c r="AW232" s="1"/>
      <c r="AX232" s="1"/>
      <c r="AY232" s="1"/>
      <c r="BE232" s="1"/>
      <c r="BF232" s="1"/>
      <c r="BG232" s="1"/>
      <c r="BM232" s="1"/>
      <c r="BN232" s="1"/>
      <c r="BO232" s="1"/>
    </row>
    <row r="233" spans="22:67" s="17" customFormat="1" ht="22.5" customHeight="1" x14ac:dyDescent="0.25">
      <c r="V233" s="99"/>
      <c r="W233" s="99"/>
      <c r="AW233" s="1"/>
      <c r="AX233" s="1"/>
      <c r="AY233" s="1"/>
      <c r="BE233" s="1"/>
      <c r="BF233" s="1"/>
      <c r="BG233" s="1"/>
      <c r="BM233" s="1"/>
      <c r="BN233" s="1"/>
      <c r="BO233" s="1"/>
    </row>
    <row r="234" spans="22:67" s="17" customFormat="1" ht="22.5" customHeight="1" x14ac:dyDescent="0.25">
      <c r="V234" s="99"/>
      <c r="W234" s="99"/>
      <c r="AW234" s="1"/>
      <c r="AX234" s="1"/>
      <c r="AY234" s="1"/>
      <c r="BE234" s="1"/>
      <c r="BF234" s="1"/>
      <c r="BG234" s="1"/>
      <c r="BM234" s="1"/>
      <c r="BN234" s="1"/>
      <c r="BO234" s="1"/>
    </row>
    <row r="235" spans="22:67" s="17" customFormat="1" ht="22.5" customHeight="1" x14ac:dyDescent="0.25">
      <c r="V235" s="99"/>
      <c r="W235" s="99"/>
      <c r="AW235" s="1"/>
      <c r="AX235" s="1"/>
      <c r="AY235" s="1"/>
      <c r="BE235" s="1"/>
      <c r="BF235" s="1"/>
      <c r="BG235" s="1"/>
      <c r="BM235" s="1"/>
      <c r="BN235" s="1"/>
      <c r="BO235" s="1"/>
    </row>
    <row r="236" spans="22:67" s="17" customFormat="1" ht="22.5" customHeight="1" x14ac:dyDescent="0.25">
      <c r="V236" s="99"/>
      <c r="W236" s="99"/>
      <c r="AW236" s="1"/>
      <c r="AX236" s="1"/>
      <c r="AY236" s="1"/>
      <c r="BE236" s="1"/>
      <c r="BF236" s="1"/>
      <c r="BG236" s="1"/>
      <c r="BM236" s="1"/>
      <c r="BN236" s="1"/>
      <c r="BO236" s="1"/>
    </row>
    <row r="237" spans="22:67" s="17" customFormat="1" ht="22.5" customHeight="1" x14ac:dyDescent="0.25">
      <c r="V237" s="99"/>
      <c r="W237" s="99"/>
      <c r="AW237" s="1"/>
      <c r="AX237" s="1"/>
      <c r="AY237" s="1"/>
      <c r="BE237" s="1"/>
      <c r="BF237" s="1"/>
      <c r="BG237" s="1"/>
      <c r="BM237" s="1"/>
      <c r="BN237" s="1"/>
      <c r="BO237" s="1"/>
    </row>
    <row r="238" spans="22:67" s="17" customFormat="1" ht="22.5" customHeight="1" x14ac:dyDescent="0.25">
      <c r="V238" s="99"/>
      <c r="W238" s="99"/>
      <c r="AW238" s="1"/>
      <c r="AX238" s="1"/>
      <c r="AY238" s="1"/>
      <c r="BE238" s="1"/>
      <c r="BF238" s="1"/>
      <c r="BG238" s="1"/>
      <c r="BM238" s="1"/>
      <c r="BN238" s="1"/>
      <c r="BO238" s="1"/>
    </row>
    <row r="239" spans="22:67" s="17" customFormat="1" ht="22.5" customHeight="1" x14ac:dyDescent="0.25">
      <c r="V239" s="99"/>
      <c r="W239" s="99"/>
      <c r="AW239" s="1"/>
      <c r="AX239" s="1"/>
      <c r="AY239" s="1"/>
      <c r="BE239" s="1"/>
      <c r="BF239" s="1"/>
      <c r="BG239" s="1"/>
      <c r="BM239" s="1"/>
      <c r="BN239" s="1"/>
      <c r="BO239" s="1"/>
    </row>
    <row r="240" spans="22:67" s="17" customFormat="1" ht="22.5" customHeight="1" x14ac:dyDescent="0.25">
      <c r="V240" s="99"/>
      <c r="W240" s="99"/>
      <c r="AW240" s="1"/>
      <c r="AX240" s="1"/>
      <c r="AY240" s="1"/>
      <c r="BE240" s="1"/>
      <c r="BF240" s="1"/>
      <c r="BG240" s="1"/>
      <c r="BM240" s="1"/>
      <c r="BN240" s="1"/>
      <c r="BO240" s="1"/>
    </row>
    <row r="241" spans="22:67" s="17" customFormat="1" ht="22.5" customHeight="1" x14ac:dyDescent="0.25">
      <c r="V241" s="99"/>
      <c r="W241" s="99"/>
      <c r="AW241" s="1"/>
      <c r="AX241" s="1"/>
      <c r="AY241" s="1"/>
      <c r="BE241" s="1"/>
      <c r="BF241" s="1"/>
      <c r="BG241" s="1"/>
      <c r="BM241" s="1"/>
      <c r="BN241" s="1"/>
      <c r="BO241" s="1"/>
    </row>
    <row r="242" spans="22:67" s="17" customFormat="1" ht="22.5" customHeight="1" x14ac:dyDescent="0.25">
      <c r="V242" s="99"/>
      <c r="W242" s="99"/>
      <c r="AW242" s="1"/>
      <c r="AX242" s="1"/>
      <c r="AY242" s="1"/>
      <c r="BE242" s="1"/>
      <c r="BF242" s="1"/>
      <c r="BG242" s="1"/>
      <c r="BM242" s="1"/>
      <c r="BN242" s="1"/>
      <c r="BO242" s="1"/>
    </row>
    <row r="243" spans="22:67" s="17" customFormat="1" ht="22.5" customHeight="1" x14ac:dyDescent="0.25">
      <c r="V243" s="99"/>
      <c r="W243" s="99"/>
      <c r="AW243" s="1"/>
      <c r="AX243" s="1"/>
      <c r="AY243" s="1"/>
      <c r="BE243" s="1"/>
      <c r="BF243" s="1"/>
      <c r="BG243" s="1"/>
      <c r="BM243" s="1"/>
      <c r="BN243" s="1"/>
      <c r="BO243" s="1"/>
    </row>
    <row r="244" spans="22:67" s="17" customFormat="1" ht="22.5" customHeight="1" x14ac:dyDescent="0.25">
      <c r="V244" s="99"/>
      <c r="W244" s="99"/>
      <c r="AW244" s="1"/>
      <c r="AX244" s="1"/>
      <c r="AY244" s="1"/>
      <c r="BE244" s="1"/>
      <c r="BF244" s="1"/>
      <c r="BG244" s="1"/>
      <c r="BM244" s="1"/>
      <c r="BN244" s="1"/>
      <c r="BO244" s="1"/>
    </row>
    <row r="245" spans="22:67" s="17" customFormat="1" ht="22.5" customHeight="1" x14ac:dyDescent="0.25">
      <c r="V245" s="99"/>
      <c r="W245" s="99"/>
      <c r="AW245" s="1"/>
      <c r="AX245" s="1"/>
      <c r="AY245" s="1"/>
      <c r="BE245" s="1"/>
      <c r="BF245" s="1"/>
      <c r="BG245" s="1"/>
      <c r="BM245" s="1"/>
      <c r="BN245" s="1"/>
      <c r="BO245" s="1"/>
    </row>
    <row r="246" spans="22:67" s="17" customFormat="1" ht="22.5" customHeight="1" x14ac:dyDescent="0.25">
      <c r="V246" s="99"/>
      <c r="W246" s="99"/>
      <c r="AW246" s="1"/>
      <c r="AX246" s="1"/>
      <c r="AY246" s="1"/>
      <c r="BE246" s="1"/>
      <c r="BF246" s="1"/>
      <c r="BG246" s="1"/>
      <c r="BM246" s="1"/>
      <c r="BN246" s="1"/>
      <c r="BO246" s="1"/>
    </row>
    <row r="247" spans="22:67" s="17" customFormat="1" ht="22.5" customHeight="1" x14ac:dyDescent="0.25">
      <c r="V247" s="99"/>
      <c r="W247" s="99"/>
      <c r="AW247" s="1"/>
      <c r="AX247" s="1"/>
      <c r="AY247" s="1"/>
      <c r="BE247" s="1"/>
      <c r="BF247" s="1"/>
      <c r="BG247" s="1"/>
      <c r="BM247" s="1"/>
      <c r="BN247" s="1"/>
      <c r="BO247" s="1"/>
    </row>
    <row r="248" spans="22:67" s="17" customFormat="1" ht="22.5" customHeight="1" x14ac:dyDescent="0.25">
      <c r="V248" s="99"/>
      <c r="W248" s="99"/>
      <c r="AW248" s="1"/>
      <c r="AX248" s="1"/>
      <c r="AY248" s="1"/>
      <c r="BE248" s="1"/>
      <c r="BF248" s="1"/>
      <c r="BG248" s="1"/>
      <c r="BM248" s="1"/>
      <c r="BN248" s="1"/>
      <c r="BO248" s="1"/>
    </row>
    <row r="249" spans="22:67" s="17" customFormat="1" ht="22.5" customHeight="1" x14ac:dyDescent="0.25">
      <c r="V249" s="99"/>
      <c r="W249" s="99"/>
      <c r="AW249" s="1"/>
      <c r="AX249" s="1"/>
      <c r="AY249" s="1"/>
      <c r="BE249" s="1"/>
      <c r="BF249" s="1"/>
      <c r="BG249" s="1"/>
      <c r="BM249" s="1"/>
      <c r="BN249" s="1"/>
      <c r="BO249" s="1"/>
    </row>
    <row r="250" spans="22:67" s="17" customFormat="1" ht="22.5" customHeight="1" x14ac:dyDescent="0.25">
      <c r="V250" s="99"/>
      <c r="W250" s="99"/>
      <c r="AW250" s="1"/>
      <c r="AX250" s="1"/>
      <c r="AY250" s="1"/>
      <c r="BE250" s="1"/>
      <c r="BF250" s="1"/>
      <c r="BG250" s="1"/>
      <c r="BM250" s="1"/>
      <c r="BN250" s="1"/>
      <c r="BO250" s="1"/>
    </row>
    <row r="251" spans="22:67" s="17" customFormat="1" ht="22.5" customHeight="1" x14ac:dyDescent="0.25">
      <c r="V251" s="99"/>
      <c r="W251" s="99"/>
      <c r="AW251" s="1"/>
      <c r="AX251" s="1"/>
      <c r="AY251" s="1"/>
      <c r="BE251" s="1"/>
      <c r="BF251" s="1"/>
      <c r="BG251" s="1"/>
      <c r="BM251" s="1"/>
      <c r="BN251" s="1"/>
      <c r="BO251" s="1"/>
    </row>
    <row r="252" spans="22:67" s="17" customFormat="1" ht="22.5" customHeight="1" x14ac:dyDescent="0.25">
      <c r="V252" s="99"/>
      <c r="W252" s="99"/>
      <c r="AW252" s="1"/>
      <c r="AX252" s="1"/>
      <c r="AY252" s="1"/>
      <c r="BE252" s="1"/>
      <c r="BF252" s="1"/>
      <c r="BG252" s="1"/>
      <c r="BM252" s="1"/>
      <c r="BN252" s="1"/>
      <c r="BO252" s="1"/>
    </row>
    <row r="253" spans="22:67" s="17" customFormat="1" ht="22.5" customHeight="1" x14ac:dyDescent="0.25">
      <c r="V253" s="99"/>
      <c r="W253" s="99"/>
      <c r="AW253" s="1"/>
      <c r="AX253" s="1"/>
      <c r="AY253" s="1"/>
      <c r="BE253" s="1"/>
      <c r="BF253" s="1"/>
      <c r="BG253" s="1"/>
      <c r="BM253" s="1"/>
      <c r="BN253" s="1"/>
      <c r="BO253" s="1"/>
    </row>
    <row r="254" spans="22:67" s="17" customFormat="1" ht="22.5" customHeight="1" x14ac:dyDescent="0.25">
      <c r="V254" s="99"/>
      <c r="W254" s="99"/>
      <c r="AW254" s="1"/>
      <c r="AX254" s="1"/>
      <c r="AY254" s="1"/>
      <c r="BE254" s="1"/>
      <c r="BF254" s="1"/>
      <c r="BG254" s="1"/>
      <c r="BM254" s="1"/>
      <c r="BN254" s="1"/>
      <c r="BO254" s="1"/>
    </row>
    <row r="255" spans="22:67" s="17" customFormat="1" ht="22.5" customHeight="1" x14ac:dyDescent="0.25">
      <c r="V255" s="99"/>
      <c r="W255" s="99"/>
      <c r="AW255" s="1"/>
      <c r="AX255" s="1"/>
      <c r="AY255" s="1"/>
      <c r="BE255" s="1"/>
      <c r="BF255" s="1"/>
      <c r="BG255" s="1"/>
      <c r="BM255" s="1"/>
      <c r="BN255" s="1"/>
      <c r="BO255" s="1"/>
    </row>
    <row r="256" spans="22:67" s="17" customFormat="1" ht="22.5" customHeight="1" x14ac:dyDescent="0.25">
      <c r="V256" s="99"/>
      <c r="W256" s="99"/>
      <c r="AW256" s="1"/>
      <c r="AX256" s="1"/>
      <c r="AY256" s="1"/>
      <c r="BE256" s="1"/>
      <c r="BF256" s="1"/>
      <c r="BG256" s="1"/>
      <c r="BM256" s="1"/>
      <c r="BN256" s="1"/>
      <c r="BO256" s="1"/>
    </row>
    <row r="257" spans="22:67" s="17" customFormat="1" ht="22.5" customHeight="1" x14ac:dyDescent="0.25">
      <c r="V257" s="99"/>
      <c r="W257" s="99"/>
      <c r="AW257" s="1"/>
      <c r="AX257" s="1"/>
      <c r="AY257" s="1"/>
      <c r="BE257" s="1"/>
      <c r="BF257" s="1"/>
      <c r="BG257" s="1"/>
      <c r="BM257" s="1"/>
      <c r="BN257" s="1"/>
      <c r="BO257" s="1"/>
    </row>
    <row r="258" spans="22:67" s="17" customFormat="1" ht="22.5" customHeight="1" x14ac:dyDescent="0.25">
      <c r="V258" s="99"/>
      <c r="W258" s="99"/>
      <c r="AW258" s="1"/>
      <c r="AX258" s="1"/>
      <c r="AY258" s="1"/>
      <c r="BE258" s="1"/>
      <c r="BF258" s="1"/>
      <c r="BG258" s="1"/>
      <c r="BM258" s="1"/>
      <c r="BN258" s="1"/>
      <c r="BO258" s="1"/>
    </row>
    <row r="259" spans="22:67" s="17" customFormat="1" ht="22.5" customHeight="1" x14ac:dyDescent="0.25">
      <c r="V259" s="99"/>
      <c r="W259" s="99"/>
      <c r="AW259" s="1"/>
      <c r="AX259" s="1"/>
      <c r="AY259" s="1"/>
      <c r="BE259" s="1"/>
      <c r="BF259" s="1"/>
      <c r="BG259" s="1"/>
      <c r="BM259" s="1"/>
      <c r="BN259" s="1"/>
      <c r="BO259" s="1"/>
    </row>
    <row r="260" spans="22:67" s="17" customFormat="1" ht="22.5" customHeight="1" x14ac:dyDescent="0.25">
      <c r="V260" s="99"/>
      <c r="W260" s="99"/>
      <c r="AW260" s="1"/>
      <c r="AX260" s="1"/>
      <c r="AY260" s="1"/>
      <c r="BE260" s="1"/>
      <c r="BF260" s="1"/>
      <c r="BG260" s="1"/>
      <c r="BM260" s="1"/>
      <c r="BN260" s="1"/>
      <c r="BO260" s="1"/>
    </row>
    <row r="261" spans="22:67" s="17" customFormat="1" ht="22.5" customHeight="1" x14ac:dyDescent="0.25">
      <c r="V261" s="99"/>
      <c r="W261" s="99"/>
      <c r="AW261" s="1"/>
      <c r="AX261" s="1"/>
      <c r="AY261" s="1"/>
      <c r="BE261" s="1"/>
      <c r="BF261" s="1"/>
      <c r="BG261" s="1"/>
      <c r="BM261" s="1"/>
      <c r="BN261" s="1"/>
      <c r="BO261" s="1"/>
    </row>
    <row r="262" spans="22:67" s="17" customFormat="1" ht="22.5" customHeight="1" x14ac:dyDescent="0.25">
      <c r="V262" s="99"/>
      <c r="W262" s="99"/>
      <c r="AW262" s="1"/>
      <c r="AX262" s="1"/>
      <c r="AY262" s="1"/>
      <c r="BE262" s="1"/>
      <c r="BF262" s="1"/>
      <c r="BG262" s="1"/>
      <c r="BM262" s="1"/>
      <c r="BN262" s="1"/>
      <c r="BO262" s="1"/>
    </row>
    <row r="263" spans="22:67" s="17" customFormat="1" ht="22.5" customHeight="1" x14ac:dyDescent="0.25">
      <c r="V263" s="99"/>
      <c r="W263" s="99"/>
      <c r="AW263" s="1"/>
      <c r="AX263" s="1"/>
      <c r="AY263" s="1"/>
      <c r="BE263" s="1"/>
      <c r="BF263" s="1"/>
      <c r="BG263" s="1"/>
      <c r="BM263" s="1"/>
      <c r="BN263" s="1"/>
      <c r="BO263" s="1"/>
    </row>
    <row r="264" spans="22:67" s="17" customFormat="1" ht="22.5" customHeight="1" x14ac:dyDescent="0.25">
      <c r="V264" s="99"/>
      <c r="W264" s="99"/>
      <c r="AW264" s="1"/>
      <c r="AX264" s="1"/>
      <c r="AY264" s="1"/>
      <c r="BE264" s="1"/>
      <c r="BF264" s="1"/>
      <c r="BG264" s="1"/>
      <c r="BM264" s="1"/>
      <c r="BN264" s="1"/>
      <c r="BO264" s="1"/>
    </row>
    <row r="265" spans="22:67" s="17" customFormat="1" ht="22.5" customHeight="1" x14ac:dyDescent="0.25">
      <c r="V265" s="99"/>
      <c r="W265" s="99"/>
      <c r="AW265" s="1"/>
      <c r="AX265" s="1"/>
      <c r="AY265" s="1"/>
      <c r="BE265" s="1"/>
      <c r="BF265" s="1"/>
      <c r="BG265" s="1"/>
      <c r="BM265" s="1"/>
      <c r="BN265" s="1"/>
      <c r="BO265" s="1"/>
    </row>
    <row r="266" spans="22:67" s="17" customFormat="1" ht="22.5" customHeight="1" x14ac:dyDescent="0.25">
      <c r="V266" s="99"/>
      <c r="W266" s="99"/>
      <c r="AW266" s="1"/>
      <c r="AX266" s="1"/>
      <c r="AY266" s="1"/>
      <c r="BE266" s="1"/>
      <c r="BF266" s="1"/>
      <c r="BG266" s="1"/>
      <c r="BM266" s="1"/>
      <c r="BN266" s="1"/>
      <c r="BO266" s="1"/>
    </row>
    <row r="267" spans="22:67" s="17" customFormat="1" ht="22.5" customHeight="1" x14ac:dyDescent="0.25">
      <c r="V267" s="99"/>
      <c r="W267" s="99"/>
      <c r="AW267" s="1"/>
      <c r="AX267" s="1"/>
      <c r="AY267" s="1"/>
      <c r="BE267" s="1"/>
      <c r="BF267" s="1"/>
      <c r="BG267" s="1"/>
      <c r="BM267" s="1"/>
      <c r="BN267" s="1"/>
      <c r="BO267" s="1"/>
    </row>
    <row r="268" spans="22:67" s="17" customFormat="1" ht="22.5" customHeight="1" x14ac:dyDescent="0.25">
      <c r="V268" s="99"/>
      <c r="W268" s="99"/>
      <c r="AW268" s="1"/>
      <c r="AX268" s="1"/>
      <c r="AY268" s="1"/>
      <c r="BE268" s="1"/>
      <c r="BF268" s="1"/>
      <c r="BG268" s="1"/>
      <c r="BM268" s="1"/>
      <c r="BN268" s="1"/>
      <c r="BO268" s="1"/>
    </row>
    <row r="269" spans="22:67" s="17" customFormat="1" ht="22.5" customHeight="1" x14ac:dyDescent="0.25">
      <c r="V269" s="99"/>
      <c r="W269" s="99"/>
      <c r="AW269" s="1"/>
      <c r="AX269" s="1"/>
      <c r="AY269" s="1"/>
      <c r="BE269" s="1"/>
      <c r="BF269" s="1"/>
      <c r="BG269" s="1"/>
      <c r="BM269" s="1"/>
      <c r="BN269" s="1"/>
      <c r="BO269" s="1"/>
    </row>
    <row r="270" spans="22:67" s="17" customFormat="1" ht="22.5" customHeight="1" x14ac:dyDescent="0.25">
      <c r="V270" s="99"/>
      <c r="W270" s="99"/>
      <c r="AW270" s="1"/>
      <c r="AX270" s="1"/>
      <c r="AY270" s="1"/>
      <c r="BE270" s="1"/>
      <c r="BF270" s="1"/>
      <c r="BG270" s="1"/>
      <c r="BM270" s="1"/>
      <c r="BN270" s="1"/>
      <c r="BO270" s="1"/>
    </row>
    <row r="271" spans="22:67" s="17" customFormat="1" ht="22.5" customHeight="1" x14ac:dyDescent="0.25">
      <c r="V271" s="99"/>
      <c r="W271" s="99"/>
      <c r="AW271" s="1"/>
      <c r="AX271" s="1"/>
      <c r="AY271" s="1"/>
      <c r="BE271" s="1"/>
      <c r="BF271" s="1"/>
      <c r="BG271" s="1"/>
      <c r="BM271" s="1"/>
      <c r="BN271" s="1"/>
      <c r="BO271" s="1"/>
    </row>
    <row r="272" spans="22:67" s="17" customFormat="1" ht="22.5" customHeight="1" x14ac:dyDescent="0.25">
      <c r="V272" s="99"/>
      <c r="W272" s="99"/>
      <c r="AW272" s="1"/>
      <c r="AX272" s="1"/>
      <c r="AY272" s="1"/>
      <c r="BE272" s="1"/>
      <c r="BF272" s="1"/>
      <c r="BG272" s="1"/>
      <c r="BM272" s="1"/>
      <c r="BN272" s="1"/>
      <c r="BO272" s="1"/>
    </row>
    <row r="273" spans="22:67" s="17" customFormat="1" ht="22.5" customHeight="1" x14ac:dyDescent="0.25">
      <c r="V273" s="99"/>
      <c r="W273" s="99"/>
      <c r="AW273" s="1"/>
      <c r="AX273" s="1"/>
      <c r="AY273" s="1"/>
      <c r="BE273" s="1"/>
      <c r="BF273" s="1"/>
      <c r="BG273" s="1"/>
      <c r="BM273" s="1"/>
      <c r="BN273" s="1"/>
      <c r="BO273" s="1"/>
    </row>
    <row r="274" spans="22:67" s="17" customFormat="1" ht="22.5" customHeight="1" x14ac:dyDescent="0.25">
      <c r="V274" s="99"/>
      <c r="W274" s="99"/>
      <c r="AW274" s="1"/>
      <c r="AX274" s="1"/>
      <c r="AY274" s="1"/>
      <c r="BE274" s="1"/>
      <c r="BF274" s="1"/>
      <c r="BG274" s="1"/>
      <c r="BM274" s="1"/>
      <c r="BN274" s="1"/>
      <c r="BO274" s="1"/>
    </row>
    <row r="275" spans="22:67" s="17" customFormat="1" ht="22.5" customHeight="1" x14ac:dyDescent="0.25">
      <c r="V275" s="99"/>
      <c r="W275" s="99"/>
      <c r="AW275" s="1"/>
      <c r="AX275" s="1"/>
      <c r="AY275" s="1"/>
      <c r="BE275" s="1"/>
      <c r="BF275" s="1"/>
      <c r="BG275" s="1"/>
      <c r="BM275" s="1"/>
      <c r="BN275" s="1"/>
      <c r="BO275" s="1"/>
    </row>
    <row r="276" spans="22:67" s="17" customFormat="1" ht="22.5" customHeight="1" x14ac:dyDescent="0.25">
      <c r="V276" s="99"/>
      <c r="W276" s="99"/>
      <c r="AW276" s="1"/>
      <c r="AX276" s="1"/>
      <c r="AY276" s="1"/>
      <c r="BE276" s="1"/>
      <c r="BF276" s="1"/>
      <c r="BG276" s="1"/>
      <c r="BM276" s="1"/>
      <c r="BN276" s="1"/>
      <c r="BO276" s="1"/>
    </row>
    <row r="277" spans="22:67" s="17" customFormat="1" ht="22.5" customHeight="1" x14ac:dyDescent="0.25">
      <c r="V277" s="99"/>
      <c r="W277" s="99"/>
      <c r="AW277" s="1"/>
      <c r="AX277" s="1"/>
      <c r="AY277" s="1"/>
      <c r="BE277" s="1"/>
      <c r="BF277" s="1"/>
      <c r="BG277" s="1"/>
      <c r="BM277" s="1"/>
      <c r="BN277" s="1"/>
      <c r="BO277" s="1"/>
    </row>
    <row r="278" spans="22:67" s="17" customFormat="1" ht="22.5" customHeight="1" x14ac:dyDescent="0.25">
      <c r="V278" s="99"/>
      <c r="W278" s="99"/>
      <c r="AW278" s="1"/>
      <c r="AX278" s="1"/>
      <c r="AY278" s="1"/>
      <c r="BE278" s="1"/>
      <c r="BF278" s="1"/>
      <c r="BG278" s="1"/>
      <c r="BM278" s="1"/>
      <c r="BN278" s="1"/>
      <c r="BO278" s="1"/>
    </row>
    <row r="279" spans="22:67" s="17" customFormat="1" ht="22.5" customHeight="1" x14ac:dyDescent="0.25">
      <c r="V279" s="99"/>
      <c r="W279" s="99"/>
      <c r="AW279" s="1"/>
      <c r="AX279" s="1"/>
      <c r="AY279" s="1"/>
      <c r="BE279" s="1"/>
      <c r="BF279" s="1"/>
      <c r="BG279" s="1"/>
      <c r="BM279" s="1"/>
      <c r="BN279" s="1"/>
      <c r="BO279" s="1"/>
    </row>
    <row r="280" spans="22:67" s="17" customFormat="1" ht="22.5" customHeight="1" x14ac:dyDescent="0.25">
      <c r="V280" s="99"/>
      <c r="W280" s="99"/>
      <c r="AW280" s="1"/>
      <c r="AX280" s="1"/>
      <c r="AY280" s="1"/>
      <c r="BE280" s="1"/>
      <c r="BF280" s="1"/>
      <c r="BG280" s="1"/>
      <c r="BM280" s="1"/>
      <c r="BN280" s="1"/>
      <c r="BO280" s="1"/>
    </row>
    <row r="281" spans="22:67" s="17" customFormat="1" ht="22.5" customHeight="1" x14ac:dyDescent="0.25">
      <c r="V281" s="99"/>
      <c r="W281" s="99"/>
      <c r="AW281" s="1"/>
      <c r="AX281" s="1"/>
      <c r="AY281" s="1"/>
      <c r="BE281" s="1"/>
      <c r="BF281" s="1"/>
      <c r="BG281" s="1"/>
      <c r="BM281" s="1"/>
      <c r="BN281" s="1"/>
      <c r="BO281" s="1"/>
    </row>
    <row r="282" spans="22:67" s="17" customFormat="1" ht="22.5" customHeight="1" x14ac:dyDescent="0.25">
      <c r="V282" s="99"/>
      <c r="W282" s="99"/>
      <c r="AW282" s="1"/>
      <c r="AX282" s="1"/>
      <c r="AY282" s="1"/>
      <c r="BE282" s="1"/>
      <c r="BF282" s="1"/>
      <c r="BG282" s="1"/>
      <c r="BM282" s="1"/>
      <c r="BN282" s="1"/>
      <c r="BO282" s="1"/>
    </row>
    <row r="283" spans="22:67" s="17" customFormat="1" ht="22.5" customHeight="1" x14ac:dyDescent="0.25">
      <c r="V283" s="99"/>
      <c r="W283" s="99"/>
      <c r="AW283" s="1"/>
      <c r="AX283" s="1"/>
      <c r="AY283" s="1"/>
      <c r="BE283" s="1"/>
      <c r="BF283" s="1"/>
      <c r="BG283" s="1"/>
      <c r="BM283" s="1"/>
      <c r="BN283" s="1"/>
      <c r="BO283" s="1"/>
    </row>
    <row r="284" spans="22:67" s="17" customFormat="1" ht="22.5" customHeight="1" x14ac:dyDescent="0.25">
      <c r="V284" s="99"/>
      <c r="W284" s="99"/>
      <c r="AW284" s="1"/>
      <c r="AX284" s="1"/>
      <c r="AY284" s="1"/>
      <c r="BE284" s="1"/>
      <c r="BF284" s="1"/>
      <c r="BG284" s="1"/>
      <c r="BM284" s="1"/>
      <c r="BN284" s="1"/>
      <c r="BO284" s="1"/>
    </row>
    <row r="285" spans="22:67" s="17" customFormat="1" ht="22.5" customHeight="1" x14ac:dyDescent="0.25">
      <c r="V285" s="99"/>
      <c r="W285" s="99"/>
      <c r="AW285" s="1"/>
      <c r="AX285" s="1"/>
      <c r="AY285" s="1"/>
      <c r="BE285" s="1"/>
      <c r="BF285" s="1"/>
      <c r="BG285" s="1"/>
      <c r="BM285" s="1"/>
      <c r="BN285" s="1"/>
      <c r="BO285" s="1"/>
    </row>
    <row r="286" spans="22:67" s="17" customFormat="1" ht="22.5" customHeight="1" x14ac:dyDescent="0.25">
      <c r="V286" s="99"/>
      <c r="W286" s="99"/>
      <c r="AW286" s="1"/>
      <c r="AX286" s="1"/>
      <c r="AY286" s="1"/>
      <c r="BE286" s="1"/>
      <c r="BF286" s="1"/>
      <c r="BG286" s="1"/>
      <c r="BM286" s="1"/>
      <c r="BN286" s="1"/>
      <c r="BO286" s="1"/>
    </row>
    <row r="287" spans="22:67" s="17" customFormat="1" ht="22.5" customHeight="1" x14ac:dyDescent="0.25">
      <c r="V287" s="99"/>
      <c r="W287" s="99"/>
      <c r="AW287" s="1"/>
      <c r="AX287" s="1"/>
      <c r="AY287" s="1"/>
      <c r="BE287" s="1"/>
      <c r="BF287" s="1"/>
      <c r="BG287" s="1"/>
      <c r="BM287" s="1"/>
      <c r="BN287" s="1"/>
      <c r="BO287" s="1"/>
    </row>
    <row r="288" spans="22:67" s="17" customFormat="1" ht="22.5" customHeight="1" x14ac:dyDescent="0.25">
      <c r="V288" s="99"/>
      <c r="W288" s="99"/>
      <c r="AW288" s="1"/>
      <c r="AX288" s="1"/>
      <c r="AY288" s="1"/>
      <c r="BE288" s="1"/>
      <c r="BF288" s="1"/>
      <c r="BG288" s="1"/>
      <c r="BM288" s="1"/>
      <c r="BN288" s="1"/>
      <c r="BO288" s="1"/>
    </row>
    <row r="289" spans="22:67" s="17" customFormat="1" ht="22.5" customHeight="1" x14ac:dyDescent="0.25">
      <c r="V289" s="99"/>
      <c r="W289" s="99"/>
      <c r="AW289" s="1"/>
      <c r="AX289" s="1"/>
      <c r="AY289" s="1"/>
      <c r="BE289" s="1"/>
      <c r="BF289" s="1"/>
      <c r="BG289" s="1"/>
      <c r="BM289" s="1"/>
      <c r="BN289" s="1"/>
      <c r="BO289" s="1"/>
    </row>
    <row r="290" spans="22:67" s="17" customFormat="1" ht="22.5" customHeight="1" x14ac:dyDescent="0.25">
      <c r="V290" s="99"/>
      <c r="W290" s="99"/>
      <c r="AW290" s="1"/>
      <c r="AX290" s="1"/>
      <c r="AY290" s="1"/>
      <c r="BE290" s="1"/>
      <c r="BF290" s="1"/>
      <c r="BG290" s="1"/>
      <c r="BM290" s="1"/>
      <c r="BN290" s="1"/>
      <c r="BO290" s="1"/>
    </row>
    <row r="291" spans="22:67" s="17" customFormat="1" ht="22.5" customHeight="1" x14ac:dyDescent="0.25">
      <c r="V291" s="99"/>
      <c r="W291" s="99"/>
      <c r="AW291" s="1"/>
      <c r="AX291" s="1"/>
      <c r="AY291" s="1"/>
      <c r="BE291" s="1"/>
      <c r="BF291" s="1"/>
      <c r="BG291" s="1"/>
      <c r="BM291" s="1"/>
      <c r="BN291" s="1"/>
      <c r="BO291" s="1"/>
    </row>
    <row r="292" spans="22:67" s="17" customFormat="1" ht="22.5" customHeight="1" x14ac:dyDescent="0.25">
      <c r="V292" s="99"/>
      <c r="W292" s="99"/>
      <c r="AW292" s="1"/>
      <c r="AX292" s="1"/>
      <c r="AY292" s="1"/>
      <c r="BE292" s="1"/>
      <c r="BF292" s="1"/>
      <c r="BG292" s="1"/>
      <c r="BM292" s="1"/>
      <c r="BN292" s="1"/>
      <c r="BO292" s="1"/>
    </row>
    <row r="293" spans="22:67" s="17" customFormat="1" ht="22.5" customHeight="1" x14ac:dyDescent="0.25">
      <c r="V293" s="99"/>
      <c r="W293" s="99"/>
      <c r="AW293" s="1"/>
      <c r="AX293" s="1"/>
      <c r="AY293" s="1"/>
      <c r="BE293" s="1"/>
      <c r="BF293" s="1"/>
      <c r="BG293" s="1"/>
      <c r="BM293" s="1"/>
      <c r="BN293" s="1"/>
      <c r="BO293" s="1"/>
    </row>
    <row r="294" spans="22:67" s="17" customFormat="1" ht="22.5" customHeight="1" x14ac:dyDescent="0.25">
      <c r="V294" s="99"/>
      <c r="W294" s="99"/>
      <c r="AW294" s="1"/>
      <c r="AX294" s="1"/>
      <c r="AY294" s="1"/>
      <c r="BE294" s="1"/>
      <c r="BF294" s="1"/>
      <c r="BG294" s="1"/>
      <c r="BM294" s="1"/>
      <c r="BN294" s="1"/>
      <c r="BO294" s="1"/>
    </row>
    <row r="295" spans="22:67" s="17" customFormat="1" ht="22.5" customHeight="1" x14ac:dyDescent="0.25">
      <c r="V295" s="99"/>
      <c r="W295" s="99"/>
      <c r="AW295" s="1"/>
      <c r="AX295" s="1"/>
      <c r="AY295" s="1"/>
      <c r="BE295" s="1"/>
      <c r="BF295" s="1"/>
      <c r="BG295" s="1"/>
      <c r="BM295" s="1"/>
      <c r="BN295" s="1"/>
      <c r="BO295" s="1"/>
    </row>
    <row r="296" spans="22:67" s="17" customFormat="1" ht="22.5" customHeight="1" x14ac:dyDescent="0.25">
      <c r="V296" s="99"/>
      <c r="W296" s="99"/>
      <c r="AW296" s="1"/>
      <c r="AX296" s="1"/>
      <c r="AY296" s="1"/>
      <c r="BE296" s="1"/>
      <c r="BF296" s="1"/>
      <c r="BG296" s="1"/>
      <c r="BM296" s="1"/>
      <c r="BN296" s="1"/>
      <c r="BO296" s="1"/>
    </row>
    <row r="297" spans="22:67" s="17" customFormat="1" ht="22.5" customHeight="1" x14ac:dyDescent="0.25">
      <c r="V297" s="99"/>
      <c r="W297" s="99"/>
      <c r="AW297" s="1"/>
      <c r="AX297" s="1"/>
      <c r="AY297" s="1"/>
      <c r="BE297" s="1"/>
      <c r="BF297" s="1"/>
      <c r="BG297" s="1"/>
      <c r="BM297" s="1"/>
      <c r="BN297" s="1"/>
      <c r="BO297" s="1"/>
    </row>
    <row r="298" spans="22:67" s="17" customFormat="1" ht="22.5" customHeight="1" x14ac:dyDescent="0.25">
      <c r="V298" s="99"/>
      <c r="W298" s="99"/>
      <c r="AW298" s="1"/>
      <c r="AX298" s="1"/>
      <c r="AY298" s="1"/>
      <c r="BE298" s="1"/>
      <c r="BF298" s="1"/>
      <c r="BG298" s="1"/>
      <c r="BM298" s="1"/>
      <c r="BN298" s="1"/>
      <c r="BO298" s="1"/>
    </row>
    <row r="299" spans="22:67" s="17" customFormat="1" ht="22.5" customHeight="1" x14ac:dyDescent="0.25">
      <c r="V299" s="99"/>
      <c r="W299" s="99"/>
      <c r="AW299" s="1"/>
      <c r="AX299" s="1"/>
      <c r="AY299" s="1"/>
      <c r="BE299" s="1"/>
      <c r="BF299" s="1"/>
      <c r="BG299" s="1"/>
      <c r="BM299" s="1"/>
      <c r="BN299" s="1"/>
      <c r="BO299" s="1"/>
    </row>
    <row r="300" spans="22:67" s="17" customFormat="1" ht="22.5" customHeight="1" x14ac:dyDescent="0.25">
      <c r="V300" s="99"/>
      <c r="W300" s="99"/>
      <c r="AW300" s="1"/>
      <c r="AX300" s="1"/>
      <c r="AY300" s="1"/>
      <c r="BE300" s="1"/>
      <c r="BF300" s="1"/>
      <c r="BG300" s="1"/>
      <c r="BM300" s="1"/>
      <c r="BN300" s="1"/>
      <c r="BO300" s="1"/>
    </row>
    <row r="301" spans="22:67" s="17" customFormat="1" ht="22.5" customHeight="1" x14ac:dyDescent="0.25">
      <c r="V301" s="99"/>
      <c r="W301" s="99"/>
      <c r="AW301" s="1"/>
      <c r="AX301" s="1"/>
      <c r="AY301" s="1"/>
      <c r="BE301" s="1"/>
      <c r="BF301" s="1"/>
      <c r="BG301" s="1"/>
      <c r="BM301" s="1"/>
      <c r="BN301" s="1"/>
      <c r="BO301" s="1"/>
    </row>
    <row r="302" spans="22:67" s="17" customFormat="1" ht="22.5" customHeight="1" x14ac:dyDescent="0.25">
      <c r="V302" s="99"/>
      <c r="W302" s="99"/>
      <c r="AW302" s="1"/>
      <c r="AX302" s="1"/>
      <c r="AY302" s="1"/>
      <c r="BE302" s="1"/>
      <c r="BF302" s="1"/>
      <c r="BG302" s="1"/>
      <c r="BM302" s="1"/>
      <c r="BN302" s="1"/>
      <c r="BO302" s="1"/>
    </row>
    <row r="303" spans="22:67" s="17" customFormat="1" ht="22.5" customHeight="1" x14ac:dyDescent="0.25">
      <c r="V303" s="99"/>
      <c r="W303" s="99"/>
      <c r="AW303" s="1"/>
      <c r="AX303" s="1"/>
      <c r="AY303" s="1"/>
      <c r="BE303" s="1"/>
      <c r="BF303" s="1"/>
      <c r="BG303" s="1"/>
      <c r="BM303" s="1"/>
      <c r="BN303" s="1"/>
      <c r="BO303" s="1"/>
    </row>
    <row r="304" spans="22:67" s="17" customFormat="1" ht="22.5" customHeight="1" x14ac:dyDescent="0.25">
      <c r="V304" s="99"/>
      <c r="W304" s="99"/>
      <c r="AW304" s="1"/>
      <c r="AX304" s="1"/>
      <c r="AY304" s="1"/>
      <c r="BE304" s="1"/>
      <c r="BF304" s="1"/>
      <c r="BG304" s="1"/>
      <c r="BM304" s="1"/>
      <c r="BN304" s="1"/>
      <c r="BO304" s="1"/>
    </row>
    <row r="305" spans="22:67" s="17" customFormat="1" ht="22.5" customHeight="1" x14ac:dyDescent="0.25">
      <c r="V305" s="99"/>
      <c r="W305" s="99"/>
      <c r="AW305" s="1"/>
      <c r="AX305" s="1"/>
      <c r="AY305" s="1"/>
      <c r="BE305" s="1"/>
      <c r="BF305" s="1"/>
      <c r="BG305" s="1"/>
      <c r="BM305" s="1"/>
      <c r="BN305" s="1"/>
      <c r="BO305" s="1"/>
    </row>
    <row r="306" spans="22:67" s="17" customFormat="1" ht="22.5" customHeight="1" x14ac:dyDescent="0.25">
      <c r="V306" s="99"/>
      <c r="W306" s="99"/>
      <c r="AW306" s="1"/>
      <c r="AX306" s="1"/>
      <c r="AY306" s="1"/>
      <c r="BE306" s="1"/>
      <c r="BF306" s="1"/>
      <c r="BG306" s="1"/>
      <c r="BM306" s="1"/>
      <c r="BN306" s="1"/>
      <c r="BO306" s="1"/>
    </row>
    <row r="307" spans="22:67" s="17" customFormat="1" ht="22.5" customHeight="1" x14ac:dyDescent="0.25">
      <c r="V307" s="99"/>
      <c r="W307" s="99"/>
      <c r="AW307" s="1"/>
      <c r="AX307" s="1"/>
      <c r="AY307" s="1"/>
      <c r="BE307" s="1"/>
      <c r="BF307" s="1"/>
      <c r="BG307" s="1"/>
      <c r="BM307" s="1"/>
      <c r="BN307" s="1"/>
      <c r="BO307" s="1"/>
    </row>
    <row r="308" spans="22:67" s="17" customFormat="1" ht="22.5" customHeight="1" x14ac:dyDescent="0.25">
      <c r="V308" s="99"/>
      <c r="W308" s="99"/>
      <c r="AW308" s="1"/>
      <c r="AX308" s="1"/>
      <c r="AY308" s="1"/>
      <c r="BE308" s="1"/>
      <c r="BF308" s="1"/>
      <c r="BG308" s="1"/>
      <c r="BM308" s="1"/>
      <c r="BN308" s="1"/>
      <c r="BO308" s="1"/>
    </row>
    <row r="309" spans="22:67" s="17" customFormat="1" ht="22.5" customHeight="1" x14ac:dyDescent="0.25">
      <c r="V309" s="99"/>
      <c r="W309" s="99"/>
      <c r="AW309" s="1"/>
      <c r="AX309" s="1"/>
      <c r="AY309" s="1"/>
      <c r="BE309" s="1"/>
      <c r="BF309" s="1"/>
      <c r="BG309" s="1"/>
      <c r="BM309" s="1"/>
      <c r="BN309" s="1"/>
      <c r="BO309" s="1"/>
    </row>
    <row r="310" spans="22:67" s="17" customFormat="1" ht="22.5" customHeight="1" x14ac:dyDescent="0.25">
      <c r="V310" s="99"/>
      <c r="W310" s="99"/>
      <c r="AW310" s="1"/>
      <c r="AX310" s="1"/>
      <c r="AY310" s="1"/>
      <c r="BE310" s="1"/>
      <c r="BF310" s="1"/>
      <c r="BG310" s="1"/>
      <c r="BM310" s="1"/>
      <c r="BN310" s="1"/>
      <c r="BO310" s="1"/>
    </row>
    <row r="311" spans="22:67" s="17" customFormat="1" ht="22.5" customHeight="1" x14ac:dyDescent="0.25">
      <c r="V311" s="99"/>
      <c r="W311" s="99"/>
      <c r="AW311" s="1"/>
      <c r="AX311" s="1"/>
      <c r="AY311" s="1"/>
      <c r="BE311" s="1"/>
      <c r="BF311" s="1"/>
      <c r="BG311" s="1"/>
      <c r="BM311" s="1"/>
      <c r="BN311" s="1"/>
      <c r="BO311" s="1"/>
    </row>
    <row r="312" spans="22:67" s="17" customFormat="1" ht="22.5" customHeight="1" x14ac:dyDescent="0.25">
      <c r="V312" s="99"/>
      <c r="W312" s="99"/>
      <c r="AW312" s="1"/>
      <c r="AX312" s="1"/>
      <c r="AY312" s="1"/>
      <c r="BE312" s="1"/>
      <c r="BF312" s="1"/>
      <c r="BG312" s="1"/>
      <c r="BM312" s="1"/>
      <c r="BN312" s="1"/>
      <c r="BO312" s="1"/>
    </row>
    <row r="313" spans="22:67" s="17" customFormat="1" ht="22.5" customHeight="1" x14ac:dyDescent="0.25">
      <c r="V313" s="99"/>
      <c r="W313" s="99"/>
      <c r="AW313" s="1"/>
      <c r="AX313" s="1"/>
      <c r="AY313" s="1"/>
      <c r="BE313" s="1"/>
      <c r="BF313" s="1"/>
      <c r="BG313" s="1"/>
      <c r="BM313" s="1"/>
      <c r="BN313" s="1"/>
      <c r="BO313" s="1"/>
    </row>
    <row r="314" spans="22:67" s="17" customFormat="1" ht="22.5" customHeight="1" x14ac:dyDescent="0.25">
      <c r="V314" s="99"/>
      <c r="W314" s="99"/>
      <c r="AW314" s="1"/>
      <c r="AX314" s="1"/>
      <c r="AY314" s="1"/>
      <c r="BE314" s="1"/>
      <c r="BF314" s="1"/>
      <c r="BG314" s="1"/>
      <c r="BM314" s="1"/>
      <c r="BN314" s="1"/>
      <c r="BO314" s="1"/>
    </row>
    <row r="315" spans="22:67" s="17" customFormat="1" ht="22.5" customHeight="1" x14ac:dyDescent="0.25">
      <c r="V315" s="99"/>
      <c r="W315" s="99"/>
      <c r="AW315" s="1"/>
      <c r="AX315" s="1"/>
      <c r="AY315" s="1"/>
      <c r="BE315" s="1"/>
      <c r="BF315" s="1"/>
      <c r="BG315" s="1"/>
      <c r="BM315" s="1"/>
      <c r="BN315" s="1"/>
      <c r="BO315" s="1"/>
    </row>
    <row r="316" spans="22:67" s="17" customFormat="1" ht="22.5" customHeight="1" x14ac:dyDescent="0.25">
      <c r="V316" s="99"/>
      <c r="W316" s="99"/>
      <c r="AW316" s="1"/>
      <c r="AX316" s="1"/>
      <c r="AY316" s="1"/>
      <c r="BE316" s="1"/>
      <c r="BF316" s="1"/>
      <c r="BG316" s="1"/>
      <c r="BM316" s="1"/>
      <c r="BN316" s="1"/>
      <c r="BO316" s="1"/>
    </row>
    <row r="317" spans="22:67" s="17" customFormat="1" ht="22.5" customHeight="1" x14ac:dyDescent="0.25">
      <c r="V317" s="99"/>
      <c r="W317" s="99"/>
      <c r="AW317" s="1"/>
      <c r="AX317" s="1"/>
      <c r="AY317" s="1"/>
      <c r="BE317" s="1"/>
      <c r="BF317" s="1"/>
      <c r="BG317" s="1"/>
      <c r="BM317" s="1"/>
      <c r="BN317" s="1"/>
      <c r="BO317" s="1"/>
    </row>
    <row r="318" spans="22:67" s="17" customFormat="1" ht="22.5" customHeight="1" x14ac:dyDescent="0.25">
      <c r="V318" s="99"/>
      <c r="W318" s="99"/>
      <c r="AW318" s="1"/>
      <c r="AX318" s="1"/>
      <c r="AY318" s="1"/>
      <c r="BE318" s="1"/>
      <c r="BF318" s="1"/>
      <c r="BG318" s="1"/>
      <c r="BM318" s="1"/>
      <c r="BN318" s="1"/>
      <c r="BO318" s="1"/>
    </row>
    <row r="319" spans="22:67" s="17" customFormat="1" ht="22.5" customHeight="1" x14ac:dyDescent="0.25">
      <c r="V319" s="99"/>
      <c r="W319" s="99"/>
      <c r="AW319" s="1"/>
      <c r="AX319" s="1"/>
      <c r="AY319" s="1"/>
      <c r="BE319" s="1"/>
      <c r="BF319" s="1"/>
      <c r="BG319" s="1"/>
      <c r="BM319" s="1"/>
      <c r="BN319" s="1"/>
      <c r="BO319" s="1"/>
    </row>
    <row r="320" spans="22:67" s="17" customFormat="1" ht="22.5" customHeight="1" x14ac:dyDescent="0.25">
      <c r="V320" s="99"/>
      <c r="W320" s="99"/>
      <c r="AW320" s="1"/>
      <c r="AX320" s="1"/>
      <c r="AY320" s="1"/>
      <c r="BE320" s="1"/>
      <c r="BF320" s="1"/>
      <c r="BG320" s="1"/>
      <c r="BM320" s="1"/>
      <c r="BN320" s="1"/>
      <c r="BO320" s="1"/>
    </row>
    <row r="321" spans="22:67" s="17" customFormat="1" ht="22.5" customHeight="1" x14ac:dyDescent="0.25">
      <c r="V321" s="99"/>
      <c r="W321" s="99"/>
      <c r="AW321" s="1"/>
      <c r="AX321" s="1"/>
      <c r="AY321" s="1"/>
      <c r="BE321" s="1"/>
      <c r="BF321" s="1"/>
      <c r="BG321" s="1"/>
      <c r="BM321" s="1"/>
      <c r="BN321" s="1"/>
      <c r="BO321" s="1"/>
    </row>
    <row r="322" spans="22:67" s="17" customFormat="1" ht="22.5" customHeight="1" x14ac:dyDescent="0.25">
      <c r="V322" s="99"/>
      <c r="W322" s="99"/>
      <c r="AW322" s="1"/>
      <c r="AX322" s="1"/>
      <c r="AY322" s="1"/>
      <c r="BE322" s="1"/>
      <c r="BF322" s="1"/>
      <c r="BG322" s="1"/>
      <c r="BM322" s="1"/>
      <c r="BN322" s="1"/>
      <c r="BO322" s="1"/>
    </row>
    <row r="323" spans="22:67" s="17" customFormat="1" ht="22.5" customHeight="1" x14ac:dyDescent="0.25">
      <c r="V323" s="99"/>
      <c r="W323" s="99"/>
      <c r="AW323" s="1"/>
      <c r="AX323" s="1"/>
      <c r="AY323" s="1"/>
      <c r="BE323" s="1"/>
      <c r="BF323" s="1"/>
      <c r="BG323" s="1"/>
      <c r="BM323" s="1"/>
      <c r="BN323" s="1"/>
      <c r="BO323" s="1"/>
    </row>
    <row r="324" spans="22:67" s="17" customFormat="1" ht="22.5" customHeight="1" x14ac:dyDescent="0.25">
      <c r="V324" s="99"/>
      <c r="W324" s="99"/>
      <c r="AW324" s="1"/>
      <c r="AX324" s="1"/>
      <c r="AY324" s="1"/>
      <c r="BE324" s="1"/>
      <c r="BF324" s="1"/>
      <c r="BG324" s="1"/>
      <c r="BM324" s="1"/>
      <c r="BN324" s="1"/>
      <c r="BO324" s="1"/>
    </row>
    <row r="325" spans="22:67" s="17" customFormat="1" ht="22.5" customHeight="1" x14ac:dyDescent="0.25">
      <c r="V325" s="99"/>
      <c r="W325" s="99"/>
      <c r="AW325" s="1"/>
      <c r="AX325" s="1"/>
      <c r="AY325" s="1"/>
      <c r="BE325" s="1"/>
      <c r="BF325" s="1"/>
      <c r="BG325" s="1"/>
      <c r="BM325" s="1"/>
      <c r="BN325" s="1"/>
      <c r="BO325" s="1"/>
    </row>
    <row r="326" spans="22:67" s="17" customFormat="1" ht="22.5" customHeight="1" x14ac:dyDescent="0.25">
      <c r="V326" s="99"/>
      <c r="W326" s="99"/>
      <c r="AW326" s="1"/>
      <c r="AX326" s="1"/>
      <c r="AY326" s="1"/>
      <c r="BE326" s="1"/>
      <c r="BF326" s="1"/>
      <c r="BG326" s="1"/>
      <c r="BM326" s="1"/>
      <c r="BN326" s="1"/>
      <c r="BO326" s="1"/>
    </row>
    <row r="327" spans="22:67" s="17" customFormat="1" ht="22.5" customHeight="1" x14ac:dyDescent="0.25">
      <c r="V327" s="99"/>
      <c r="W327" s="99"/>
      <c r="AW327" s="1"/>
      <c r="AX327" s="1"/>
      <c r="AY327" s="1"/>
      <c r="BE327" s="1"/>
      <c r="BF327" s="1"/>
      <c r="BG327" s="1"/>
      <c r="BM327" s="1"/>
      <c r="BN327" s="1"/>
      <c r="BO327" s="1"/>
    </row>
    <row r="328" spans="22:67" s="17" customFormat="1" ht="22.5" customHeight="1" x14ac:dyDescent="0.25">
      <c r="V328" s="99"/>
      <c r="W328" s="99"/>
      <c r="AW328" s="1"/>
      <c r="AX328" s="1"/>
      <c r="AY328" s="1"/>
      <c r="BE328" s="1"/>
      <c r="BF328" s="1"/>
      <c r="BG328" s="1"/>
      <c r="BM328" s="1"/>
      <c r="BN328" s="1"/>
      <c r="BO328" s="1"/>
    </row>
    <row r="329" spans="22:67" s="17" customFormat="1" ht="22.5" customHeight="1" x14ac:dyDescent="0.25">
      <c r="V329" s="99"/>
      <c r="W329" s="99"/>
      <c r="AW329" s="1"/>
      <c r="AX329" s="1"/>
      <c r="AY329" s="1"/>
      <c r="BE329" s="1"/>
      <c r="BF329" s="1"/>
      <c r="BG329" s="1"/>
      <c r="BM329" s="1"/>
      <c r="BN329" s="1"/>
      <c r="BO329" s="1"/>
    </row>
    <row r="330" spans="22:67" s="17" customFormat="1" ht="22.5" customHeight="1" x14ac:dyDescent="0.25">
      <c r="V330" s="99"/>
      <c r="W330" s="99"/>
      <c r="AW330" s="1"/>
      <c r="AX330" s="1"/>
      <c r="AY330" s="1"/>
      <c r="BE330" s="1"/>
      <c r="BF330" s="1"/>
      <c r="BG330" s="1"/>
      <c r="BM330" s="1"/>
      <c r="BN330" s="1"/>
      <c r="BO330" s="1"/>
    </row>
    <row r="331" spans="22:67" s="17" customFormat="1" ht="22.5" customHeight="1" x14ac:dyDescent="0.25">
      <c r="V331" s="99"/>
      <c r="W331" s="99"/>
      <c r="AW331" s="1"/>
      <c r="AX331" s="1"/>
      <c r="AY331" s="1"/>
      <c r="BE331" s="1"/>
      <c r="BF331" s="1"/>
      <c r="BG331" s="1"/>
      <c r="BM331" s="1"/>
      <c r="BN331" s="1"/>
      <c r="BO331" s="1"/>
    </row>
    <row r="332" spans="22:67" s="17" customFormat="1" ht="22.5" customHeight="1" x14ac:dyDescent="0.25">
      <c r="V332" s="99"/>
      <c r="W332" s="99"/>
      <c r="AW332" s="1"/>
      <c r="AX332" s="1"/>
      <c r="AY332" s="1"/>
      <c r="BE332" s="1"/>
      <c r="BF332" s="1"/>
      <c r="BG332" s="1"/>
      <c r="BM332" s="1"/>
      <c r="BN332" s="1"/>
      <c r="BO332" s="1"/>
    </row>
    <row r="333" spans="22:67" s="17" customFormat="1" ht="22.5" customHeight="1" x14ac:dyDescent="0.25">
      <c r="V333" s="99"/>
      <c r="W333" s="99"/>
      <c r="AW333" s="1"/>
      <c r="AX333" s="1"/>
      <c r="AY333" s="1"/>
      <c r="BE333" s="1"/>
      <c r="BF333" s="1"/>
      <c r="BG333" s="1"/>
      <c r="BM333" s="1"/>
      <c r="BN333" s="1"/>
      <c r="BO333" s="1"/>
    </row>
    <row r="334" spans="22:67" s="17" customFormat="1" ht="22.5" customHeight="1" x14ac:dyDescent="0.25">
      <c r="V334" s="99"/>
      <c r="W334" s="99"/>
      <c r="AW334" s="1"/>
      <c r="AX334" s="1"/>
      <c r="AY334" s="1"/>
      <c r="BE334" s="1"/>
      <c r="BF334" s="1"/>
      <c r="BG334" s="1"/>
      <c r="BM334" s="1"/>
      <c r="BN334" s="1"/>
      <c r="BO334" s="1"/>
    </row>
    <row r="335" spans="22:67" s="17" customFormat="1" ht="22.5" customHeight="1" x14ac:dyDescent="0.25">
      <c r="V335" s="99"/>
      <c r="W335" s="99"/>
      <c r="AW335" s="1"/>
      <c r="AX335" s="1"/>
      <c r="AY335" s="1"/>
      <c r="BE335" s="1"/>
      <c r="BF335" s="1"/>
      <c r="BG335" s="1"/>
      <c r="BM335" s="1"/>
      <c r="BN335" s="1"/>
      <c r="BO335" s="1"/>
    </row>
    <row r="336" spans="22:67" s="17" customFormat="1" ht="22.5" customHeight="1" x14ac:dyDescent="0.25">
      <c r="V336" s="99"/>
      <c r="W336" s="99"/>
      <c r="AW336" s="1"/>
      <c r="AX336" s="1"/>
      <c r="AY336" s="1"/>
      <c r="BE336" s="1"/>
      <c r="BF336" s="1"/>
      <c r="BG336" s="1"/>
      <c r="BM336" s="1"/>
      <c r="BN336" s="1"/>
      <c r="BO336" s="1"/>
    </row>
    <row r="337" spans="22:67" s="17" customFormat="1" ht="22.5" customHeight="1" x14ac:dyDescent="0.25">
      <c r="V337" s="99"/>
      <c r="W337" s="99"/>
      <c r="AW337" s="1"/>
      <c r="AX337" s="1"/>
      <c r="AY337" s="1"/>
      <c r="BE337" s="1"/>
      <c r="BF337" s="1"/>
      <c r="BG337" s="1"/>
      <c r="BM337" s="1"/>
      <c r="BN337" s="1"/>
      <c r="BO337" s="1"/>
    </row>
    <row r="338" spans="22:67" s="17" customFormat="1" ht="22.5" customHeight="1" x14ac:dyDescent="0.25">
      <c r="V338" s="99"/>
      <c r="W338" s="99"/>
      <c r="AW338" s="1"/>
      <c r="AX338" s="1"/>
      <c r="AY338" s="1"/>
      <c r="BE338" s="1"/>
      <c r="BF338" s="1"/>
      <c r="BG338" s="1"/>
      <c r="BM338" s="1"/>
      <c r="BN338" s="1"/>
      <c r="BO338" s="1"/>
    </row>
    <row r="339" spans="22:67" s="17" customFormat="1" ht="22.5" customHeight="1" x14ac:dyDescent="0.25">
      <c r="V339" s="99"/>
      <c r="W339" s="99"/>
      <c r="AW339" s="1"/>
      <c r="AX339" s="1"/>
      <c r="AY339" s="1"/>
      <c r="BE339" s="1"/>
      <c r="BF339" s="1"/>
      <c r="BG339" s="1"/>
      <c r="BM339" s="1"/>
      <c r="BN339" s="1"/>
      <c r="BO339" s="1"/>
    </row>
    <row r="340" spans="22:67" s="17" customFormat="1" ht="22.5" customHeight="1" x14ac:dyDescent="0.25">
      <c r="V340" s="99"/>
      <c r="W340" s="99"/>
      <c r="AW340" s="1"/>
      <c r="AX340" s="1"/>
      <c r="AY340" s="1"/>
      <c r="BE340" s="1"/>
      <c r="BF340" s="1"/>
      <c r="BG340" s="1"/>
      <c r="BM340" s="1"/>
      <c r="BN340" s="1"/>
      <c r="BO340" s="1"/>
    </row>
    <row r="341" spans="22:67" s="17" customFormat="1" ht="22.5" customHeight="1" x14ac:dyDescent="0.25">
      <c r="V341" s="99"/>
      <c r="W341" s="99"/>
      <c r="AW341" s="1"/>
      <c r="AX341" s="1"/>
      <c r="AY341" s="1"/>
      <c r="BE341" s="1"/>
      <c r="BF341" s="1"/>
      <c r="BG341" s="1"/>
      <c r="BM341" s="1"/>
      <c r="BN341" s="1"/>
      <c r="BO341" s="1"/>
    </row>
    <row r="342" spans="22:67" s="17" customFormat="1" ht="22.5" customHeight="1" x14ac:dyDescent="0.25">
      <c r="V342" s="99"/>
      <c r="W342" s="99"/>
      <c r="AW342" s="1"/>
      <c r="AX342" s="1"/>
      <c r="AY342" s="1"/>
      <c r="BE342" s="1"/>
      <c r="BF342" s="1"/>
      <c r="BG342" s="1"/>
      <c r="BM342" s="1"/>
      <c r="BN342" s="1"/>
      <c r="BO342" s="1"/>
    </row>
    <row r="343" spans="22:67" s="17" customFormat="1" ht="22.5" customHeight="1" x14ac:dyDescent="0.25">
      <c r="V343" s="99"/>
      <c r="W343" s="99"/>
      <c r="AW343" s="1"/>
      <c r="AX343" s="1"/>
      <c r="AY343" s="1"/>
      <c r="BE343" s="1"/>
      <c r="BF343" s="1"/>
      <c r="BG343" s="1"/>
      <c r="BM343" s="1"/>
      <c r="BN343" s="1"/>
      <c r="BO343" s="1"/>
    </row>
    <row r="344" spans="22:67" s="17" customFormat="1" ht="22.5" customHeight="1" x14ac:dyDescent="0.25">
      <c r="V344" s="99"/>
      <c r="W344" s="99"/>
      <c r="AW344" s="1"/>
      <c r="AX344" s="1"/>
      <c r="AY344" s="1"/>
      <c r="BE344" s="1"/>
      <c r="BF344" s="1"/>
      <c r="BG344" s="1"/>
      <c r="BM344" s="1"/>
      <c r="BN344" s="1"/>
      <c r="BO344" s="1"/>
    </row>
    <row r="345" spans="22:67" s="17" customFormat="1" ht="22.5" customHeight="1" x14ac:dyDescent="0.25">
      <c r="V345" s="99"/>
      <c r="W345" s="99"/>
      <c r="AW345" s="1"/>
      <c r="AX345" s="1"/>
      <c r="AY345" s="1"/>
      <c r="BE345" s="1"/>
      <c r="BF345" s="1"/>
      <c r="BG345" s="1"/>
      <c r="BM345" s="1"/>
      <c r="BN345" s="1"/>
      <c r="BO345" s="1"/>
    </row>
    <row r="346" spans="22:67" s="17" customFormat="1" ht="22.5" customHeight="1" x14ac:dyDescent="0.25">
      <c r="V346" s="99"/>
      <c r="W346" s="99"/>
      <c r="AW346" s="1"/>
      <c r="AX346" s="1"/>
      <c r="AY346" s="1"/>
      <c r="BE346" s="1"/>
      <c r="BF346" s="1"/>
      <c r="BG346" s="1"/>
      <c r="BM346" s="1"/>
      <c r="BN346" s="1"/>
      <c r="BO346" s="1"/>
    </row>
    <row r="347" spans="22:67" s="17" customFormat="1" ht="22.5" customHeight="1" x14ac:dyDescent="0.25">
      <c r="V347" s="99"/>
      <c r="W347" s="99"/>
      <c r="AW347" s="1"/>
      <c r="AX347" s="1"/>
      <c r="AY347" s="1"/>
      <c r="BE347" s="1"/>
      <c r="BF347" s="1"/>
      <c r="BG347" s="1"/>
      <c r="BM347" s="1"/>
      <c r="BN347" s="1"/>
      <c r="BO347" s="1"/>
    </row>
    <row r="348" spans="22:67" s="17" customFormat="1" ht="22.5" customHeight="1" x14ac:dyDescent="0.25">
      <c r="V348" s="99"/>
      <c r="W348" s="99"/>
      <c r="AW348" s="1"/>
      <c r="AX348" s="1"/>
      <c r="AY348" s="1"/>
      <c r="BE348" s="1"/>
      <c r="BF348" s="1"/>
      <c r="BG348" s="1"/>
      <c r="BM348" s="1"/>
      <c r="BN348" s="1"/>
      <c r="BO348" s="1"/>
    </row>
    <row r="349" spans="22:67" s="17" customFormat="1" ht="22.5" customHeight="1" x14ac:dyDescent="0.25">
      <c r="V349" s="99"/>
      <c r="W349" s="99"/>
      <c r="AW349" s="1"/>
      <c r="AX349" s="1"/>
      <c r="AY349" s="1"/>
      <c r="BE349" s="1"/>
      <c r="BF349" s="1"/>
      <c r="BG349" s="1"/>
      <c r="BM349" s="1"/>
      <c r="BN349" s="1"/>
      <c r="BO349" s="1"/>
    </row>
    <row r="350" spans="22:67" s="17" customFormat="1" ht="22.5" customHeight="1" x14ac:dyDescent="0.25">
      <c r="V350" s="99"/>
      <c r="W350" s="99"/>
      <c r="AW350" s="1"/>
      <c r="AX350" s="1"/>
      <c r="AY350" s="1"/>
      <c r="BE350" s="1"/>
      <c r="BF350" s="1"/>
      <c r="BG350" s="1"/>
      <c r="BM350" s="1"/>
      <c r="BN350" s="1"/>
      <c r="BO350" s="1"/>
    </row>
    <row r="351" spans="22:67" s="17" customFormat="1" ht="22.5" customHeight="1" x14ac:dyDescent="0.25">
      <c r="V351" s="99"/>
      <c r="W351" s="99"/>
      <c r="AW351" s="1"/>
      <c r="AX351" s="1"/>
      <c r="AY351" s="1"/>
      <c r="BE351" s="1"/>
      <c r="BF351" s="1"/>
      <c r="BG351" s="1"/>
      <c r="BM351" s="1"/>
      <c r="BN351" s="1"/>
      <c r="BO351" s="1"/>
    </row>
    <row r="352" spans="22:67" s="17" customFormat="1" ht="22.5" customHeight="1" x14ac:dyDescent="0.25">
      <c r="V352" s="99"/>
      <c r="W352" s="99"/>
      <c r="AW352" s="1"/>
      <c r="AX352" s="1"/>
      <c r="AY352" s="1"/>
      <c r="BE352" s="1"/>
      <c r="BF352" s="1"/>
      <c r="BG352" s="1"/>
      <c r="BM352" s="1"/>
      <c r="BN352" s="1"/>
      <c r="BO352" s="1"/>
    </row>
    <row r="353" spans="22:67" s="17" customFormat="1" ht="22.5" customHeight="1" x14ac:dyDescent="0.25">
      <c r="V353" s="99"/>
      <c r="W353" s="99"/>
      <c r="AW353" s="1"/>
      <c r="AX353" s="1"/>
      <c r="AY353" s="1"/>
      <c r="BE353" s="1"/>
      <c r="BF353" s="1"/>
      <c r="BG353" s="1"/>
      <c r="BM353" s="1"/>
      <c r="BN353" s="1"/>
      <c r="BO353" s="1"/>
    </row>
    <row r="354" spans="22:67" s="17" customFormat="1" ht="22.5" customHeight="1" x14ac:dyDescent="0.25">
      <c r="V354" s="99"/>
      <c r="W354" s="99"/>
      <c r="AW354" s="1"/>
      <c r="AX354" s="1"/>
      <c r="AY354" s="1"/>
      <c r="BE354" s="1"/>
      <c r="BF354" s="1"/>
      <c r="BG354" s="1"/>
      <c r="BM354" s="1"/>
      <c r="BN354" s="1"/>
      <c r="BO354" s="1"/>
    </row>
    <row r="355" spans="22:67" s="17" customFormat="1" ht="22.5" customHeight="1" x14ac:dyDescent="0.25">
      <c r="V355" s="99"/>
      <c r="W355" s="99"/>
      <c r="AW355" s="1"/>
      <c r="AX355" s="1"/>
      <c r="AY355" s="1"/>
      <c r="BE355" s="1"/>
      <c r="BF355" s="1"/>
      <c r="BG355" s="1"/>
      <c r="BM355" s="1"/>
      <c r="BN355" s="1"/>
      <c r="BO355" s="1"/>
    </row>
    <row r="356" spans="22:67" s="17" customFormat="1" ht="22.5" customHeight="1" x14ac:dyDescent="0.25">
      <c r="V356" s="99"/>
      <c r="W356" s="99"/>
      <c r="AW356" s="1"/>
      <c r="AX356" s="1"/>
      <c r="AY356" s="1"/>
      <c r="BE356" s="1"/>
      <c r="BF356" s="1"/>
      <c r="BG356" s="1"/>
      <c r="BM356" s="1"/>
      <c r="BN356" s="1"/>
      <c r="BO356" s="1"/>
    </row>
    <row r="357" spans="22:67" s="17" customFormat="1" ht="22.5" customHeight="1" x14ac:dyDescent="0.25">
      <c r="V357" s="99"/>
      <c r="W357" s="99"/>
      <c r="AW357" s="1"/>
      <c r="AX357" s="1"/>
      <c r="AY357" s="1"/>
      <c r="BE357" s="1"/>
      <c r="BF357" s="1"/>
      <c r="BG357" s="1"/>
      <c r="BM357" s="1"/>
      <c r="BN357" s="1"/>
      <c r="BO357" s="1"/>
    </row>
    <row r="358" spans="22:67" s="17" customFormat="1" ht="22.5" customHeight="1" x14ac:dyDescent="0.25">
      <c r="V358" s="99"/>
      <c r="W358" s="99"/>
      <c r="AW358" s="1"/>
      <c r="AX358" s="1"/>
      <c r="AY358" s="1"/>
      <c r="BE358" s="1"/>
      <c r="BF358" s="1"/>
      <c r="BG358" s="1"/>
      <c r="BM358" s="1"/>
      <c r="BN358" s="1"/>
      <c r="BO358" s="1"/>
    </row>
    <row r="359" spans="22:67" s="17" customFormat="1" ht="22.5" customHeight="1" x14ac:dyDescent="0.25">
      <c r="V359" s="99"/>
      <c r="W359" s="99"/>
      <c r="AW359" s="1"/>
      <c r="AX359" s="1"/>
      <c r="AY359" s="1"/>
      <c r="BE359" s="1"/>
      <c r="BF359" s="1"/>
      <c r="BG359" s="1"/>
      <c r="BM359" s="1"/>
      <c r="BN359" s="1"/>
      <c r="BO359" s="1"/>
    </row>
    <row r="360" spans="22:67" s="17" customFormat="1" ht="22.5" customHeight="1" x14ac:dyDescent="0.25">
      <c r="V360" s="99"/>
      <c r="W360" s="99"/>
      <c r="AW360" s="1"/>
      <c r="AX360" s="1"/>
      <c r="AY360" s="1"/>
      <c r="BE360" s="1"/>
      <c r="BF360" s="1"/>
      <c r="BG360" s="1"/>
      <c r="BM360" s="1"/>
      <c r="BN360" s="1"/>
      <c r="BO360" s="1"/>
    </row>
    <row r="361" spans="22:67" s="17" customFormat="1" ht="22.5" customHeight="1" x14ac:dyDescent="0.25">
      <c r="V361" s="99"/>
      <c r="W361" s="99"/>
      <c r="AW361" s="1"/>
      <c r="AX361" s="1"/>
      <c r="AY361" s="1"/>
      <c r="BE361" s="1"/>
      <c r="BF361" s="1"/>
      <c r="BG361" s="1"/>
      <c r="BM361" s="1"/>
      <c r="BN361" s="1"/>
      <c r="BO361" s="1"/>
    </row>
    <row r="362" spans="22:67" s="17" customFormat="1" ht="22.5" customHeight="1" x14ac:dyDescent="0.25">
      <c r="V362" s="99"/>
      <c r="W362" s="99"/>
      <c r="AW362" s="1"/>
      <c r="AX362" s="1"/>
      <c r="AY362" s="1"/>
      <c r="BE362" s="1"/>
      <c r="BF362" s="1"/>
      <c r="BG362" s="1"/>
      <c r="BM362" s="1"/>
      <c r="BN362" s="1"/>
      <c r="BO362" s="1"/>
    </row>
    <row r="363" spans="22:67" s="17" customFormat="1" ht="22.5" customHeight="1" x14ac:dyDescent="0.25">
      <c r="V363" s="99"/>
      <c r="W363" s="99"/>
      <c r="AW363" s="1"/>
      <c r="AX363" s="1"/>
      <c r="AY363" s="1"/>
      <c r="BE363" s="1"/>
      <c r="BF363" s="1"/>
      <c r="BG363" s="1"/>
      <c r="BM363" s="1"/>
      <c r="BN363" s="1"/>
      <c r="BO363" s="1"/>
    </row>
    <row r="364" spans="22:67" s="17" customFormat="1" ht="22.5" customHeight="1" x14ac:dyDescent="0.25">
      <c r="V364" s="99"/>
      <c r="W364" s="99"/>
      <c r="AW364" s="1"/>
      <c r="AX364" s="1"/>
      <c r="AY364" s="1"/>
      <c r="BE364" s="1"/>
      <c r="BF364" s="1"/>
      <c r="BG364" s="1"/>
      <c r="BM364" s="1"/>
      <c r="BN364" s="1"/>
      <c r="BO364" s="1"/>
    </row>
    <row r="365" spans="22:67" s="17" customFormat="1" ht="22.5" customHeight="1" x14ac:dyDescent="0.25">
      <c r="V365" s="99"/>
      <c r="W365" s="99"/>
      <c r="AW365" s="1"/>
      <c r="AX365" s="1"/>
      <c r="AY365" s="1"/>
      <c r="BE365" s="1"/>
      <c r="BF365" s="1"/>
      <c r="BG365" s="1"/>
      <c r="BM365" s="1"/>
      <c r="BN365" s="1"/>
      <c r="BO365" s="1"/>
    </row>
    <row r="366" spans="22:67" s="17" customFormat="1" ht="22.5" customHeight="1" x14ac:dyDescent="0.25">
      <c r="V366" s="99"/>
      <c r="W366" s="99"/>
      <c r="AW366" s="1"/>
      <c r="AX366" s="1"/>
      <c r="AY366" s="1"/>
      <c r="BE366" s="1"/>
      <c r="BF366" s="1"/>
      <c r="BG366" s="1"/>
      <c r="BM366" s="1"/>
      <c r="BN366" s="1"/>
      <c r="BO366" s="1"/>
    </row>
    <row r="367" spans="22:67" s="17" customFormat="1" ht="22.5" customHeight="1" x14ac:dyDescent="0.25">
      <c r="V367" s="99"/>
      <c r="W367" s="99"/>
      <c r="AW367" s="1"/>
      <c r="AX367" s="1"/>
      <c r="AY367" s="1"/>
      <c r="BE367" s="1"/>
      <c r="BF367" s="1"/>
      <c r="BG367" s="1"/>
      <c r="BM367" s="1"/>
      <c r="BN367" s="1"/>
      <c r="BO367" s="1"/>
    </row>
    <row r="368" spans="22:67" s="17" customFormat="1" ht="22.5" customHeight="1" x14ac:dyDescent="0.25">
      <c r="V368" s="99"/>
      <c r="W368" s="99"/>
      <c r="AW368" s="1"/>
      <c r="AX368" s="1"/>
      <c r="AY368" s="1"/>
      <c r="BE368" s="1"/>
      <c r="BF368" s="1"/>
      <c r="BG368" s="1"/>
      <c r="BM368" s="1"/>
      <c r="BN368" s="1"/>
      <c r="BO368" s="1"/>
    </row>
    <row r="369" spans="22:67" s="17" customFormat="1" ht="22.5" customHeight="1" x14ac:dyDescent="0.25">
      <c r="V369" s="99"/>
      <c r="W369" s="99"/>
      <c r="AW369" s="1"/>
      <c r="AX369" s="1"/>
      <c r="AY369" s="1"/>
      <c r="BE369" s="1"/>
      <c r="BF369" s="1"/>
      <c r="BG369" s="1"/>
      <c r="BM369" s="1"/>
      <c r="BN369" s="1"/>
      <c r="BO369" s="1"/>
    </row>
    <row r="370" spans="22:67" s="17" customFormat="1" ht="22.5" customHeight="1" x14ac:dyDescent="0.25">
      <c r="V370" s="99"/>
      <c r="W370" s="99"/>
      <c r="AW370" s="1"/>
      <c r="AX370" s="1"/>
      <c r="AY370" s="1"/>
      <c r="BE370" s="1"/>
      <c r="BF370" s="1"/>
      <c r="BG370" s="1"/>
      <c r="BM370" s="1"/>
      <c r="BN370" s="1"/>
      <c r="BO370" s="1"/>
    </row>
    <row r="371" spans="22:67" s="17" customFormat="1" ht="22.5" customHeight="1" x14ac:dyDescent="0.25">
      <c r="V371" s="99"/>
      <c r="W371" s="99"/>
      <c r="AW371" s="1"/>
      <c r="AX371" s="1"/>
      <c r="AY371" s="1"/>
      <c r="BE371" s="1"/>
      <c r="BF371" s="1"/>
      <c r="BG371" s="1"/>
      <c r="BM371" s="1"/>
      <c r="BN371" s="1"/>
      <c r="BO371" s="1"/>
    </row>
    <row r="372" spans="22:67" s="17" customFormat="1" ht="22.5" customHeight="1" x14ac:dyDescent="0.25">
      <c r="V372" s="99"/>
      <c r="W372" s="99"/>
      <c r="AW372" s="1"/>
      <c r="AX372" s="1"/>
      <c r="AY372" s="1"/>
      <c r="BE372" s="1"/>
      <c r="BF372" s="1"/>
      <c r="BG372" s="1"/>
      <c r="BM372" s="1"/>
      <c r="BN372" s="1"/>
      <c r="BO372" s="1"/>
    </row>
    <row r="373" spans="22:67" s="17" customFormat="1" ht="22.5" customHeight="1" x14ac:dyDescent="0.25">
      <c r="V373" s="99"/>
      <c r="W373" s="99"/>
      <c r="AW373" s="1"/>
      <c r="AX373" s="1"/>
      <c r="AY373" s="1"/>
      <c r="BE373" s="1"/>
      <c r="BF373" s="1"/>
      <c r="BG373" s="1"/>
      <c r="BM373" s="1"/>
      <c r="BN373" s="1"/>
      <c r="BO373" s="1"/>
    </row>
    <row r="374" spans="22:67" s="17" customFormat="1" ht="22.5" customHeight="1" x14ac:dyDescent="0.25">
      <c r="V374" s="99"/>
      <c r="W374" s="99"/>
      <c r="AW374" s="1"/>
      <c r="AX374" s="1"/>
      <c r="AY374" s="1"/>
      <c r="BE374" s="1"/>
      <c r="BF374" s="1"/>
      <c r="BG374" s="1"/>
      <c r="BM374" s="1"/>
      <c r="BN374" s="1"/>
      <c r="BO374" s="1"/>
    </row>
    <row r="375" spans="22:67" s="17" customFormat="1" ht="22.5" customHeight="1" x14ac:dyDescent="0.25">
      <c r="V375" s="99"/>
      <c r="W375" s="99"/>
      <c r="AW375" s="1"/>
      <c r="AX375" s="1"/>
      <c r="AY375" s="1"/>
      <c r="BE375" s="1"/>
      <c r="BF375" s="1"/>
      <c r="BG375" s="1"/>
      <c r="BM375" s="1"/>
      <c r="BN375" s="1"/>
      <c r="BO375" s="1"/>
    </row>
    <row r="376" spans="22:67" s="17" customFormat="1" ht="22.5" customHeight="1" x14ac:dyDescent="0.25">
      <c r="V376" s="99"/>
      <c r="W376" s="99"/>
      <c r="AW376" s="1"/>
      <c r="AX376" s="1"/>
      <c r="AY376" s="1"/>
      <c r="BE376" s="1"/>
      <c r="BF376" s="1"/>
      <c r="BG376" s="1"/>
      <c r="BM376" s="1"/>
      <c r="BN376" s="1"/>
      <c r="BO376" s="1"/>
    </row>
    <row r="377" spans="22:67" s="17" customFormat="1" ht="22.5" customHeight="1" x14ac:dyDescent="0.25">
      <c r="V377" s="99"/>
      <c r="W377" s="99"/>
      <c r="AW377" s="1"/>
      <c r="AX377" s="1"/>
      <c r="AY377" s="1"/>
      <c r="BE377" s="1"/>
      <c r="BF377" s="1"/>
      <c r="BG377" s="1"/>
      <c r="BM377" s="1"/>
      <c r="BN377" s="1"/>
      <c r="BO377" s="1"/>
    </row>
    <row r="378" spans="22:67" s="17" customFormat="1" ht="22.5" customHeight="1" x14ac:dyDescent="0.25">
      <c r="V378" s="99"/>
      <c r="W378" s="99"/>
      <c r="AW378" s="1"/>
      <c r="AX378" s="1"/>
      <c r="AY378" s="1"/>
      <c r="BE378" s="1"/>
      <c r="BF378" s="1"/>
      <c r="BG378" s="1"/>
      <c r="BM378" s="1"/>
      <c r="BN378" s="1"/>
      <c r="BO378" s="1"/>
    </row>
    <row r="379" spans="22:67" s="17" customFormat="1" ht="22.5" customHeight="1" x14ac:dyDescent="0.25">
      <c r="V379" s="99"/>
      <c r="W379" s="99"/>
      <c r="AW379" s="1"/>
      <c r="AX379" s="1"/>
      <c r="AY379" s="1"/>
      <c r="BE379" s="1"/>
      <c r="BF379" s="1"/>
      <c r="BG379" s="1"/>
      <c r="BM379" s="1"/>
      <c r="BN379" s="1"/>
      <c r="BO379" s="1"/>
    </row>
    <row r="380" spans="22:67" s="17" customFormat="1" ht="22.5" customHeight="1" x14ac:dyDescent="0.25">
      <c r="V380" s="99"/>
      <c r="W380" s="99"/>
      <c r="AW380" s="1"/>
      <c r="AX380" s="1"/>
      <c r="AY380" s="1"/>
      <c r="BE380" s="1"/>
      <c r="BF380" s="1"/>
      <c r="BG380" s="1"/>
      <c r="BM380" s="1"/>
      <c r="BN380" s="1"/>
      <c r="BO380" s="1"/>
    </row>
    <row r="381" spans="22:67" s="17" customFormat="1" ht="22.5" customHeight="1" x14ac:dyDescent="0.25">
      <c r="V381" s="99"/>
      <c r="W381" s="99"/>
      <c r="AW381" s="1"/>
      <c r="AX381" s="1"/>
      <c r="AY381" s="1"/>
      <c r="BE381" s="1"/>
      <c r="BF381" s="1"/>
      <c r="BG381" s="1"/>
      <c r="BM381" s="1"/>
      <c r="BN381" s="1"/>
      <c r="BO381" s="1"/>
    </row>
    <row r="382" spans="22:67" s="17" customFormat="1" ht="22.5" customHeight="1" x14ac:dyDescent="0.25">
      <c r="V382" s="99"/>
      <c r="W382" s="99"/>
      <c r="AW382" s="1"/>
      <c r="AX382" s="1"/>
      <c r="AY382" s="1"/>
      <c r="BE382" s="1"/>
      <c r="BF382" s="1"/>
      <c r="BG382" s="1"/>
      <c r="BM382" s="1"/>
      <c r="BN382" s="1"/>
      <c r="BO382" s="1"/>
    </row>
    <row r="383" spans="22:67" s="17" customFormat="1" ht="22.5" customHeight="1" x14ac:dyDescent="0.25">
      <c r="V383" s="99"/>
      <c r="W383" s="99"/>
      <c r="AW383" s="1"/>
      <c r="AX383" s="1"/>
      <c r="AY383" s="1"/>
      <c r="BE383" s="1"/>
      <c r="BF383" s="1"/>
      <c r="BG383" s="1"/>
      <c r="BM383" s="1"/>
      <c r="BN383" s="1"/>
      <c r="BO383" s="1"/>
    </row>
    <row r="384" spans="22:67" s="17" customFormat="1" ht="22.5" customHeight="1" x14ac:dyDescent="0.25">
      <c r="V384" s="99"/>
      <c r="W384" s="99"/>
      <c r="AW384" s="1"/>
      <c r="AX384" s="1"/>
      <c r="AY384" s="1"/>
      <c r="BE384" s="1"/>
      <c r="BF384" s="1"/>
      <c r="BG384" s="1"/>
      <c r="BM384" s="1"/>
      <c r="BN384" s="1"/>
      <c r="BO384" s="1"/>
    </row>
    <row r="385" spans="22:67" s="17" customFormat="1" ht="22.5" customHeight="1" x14ac:dyDescent="0.25">
      <c r="V385" s="99"/>
      <c r="W385" s="99"/>
      <c r="AW385" s="1"/>
      <c r="AX385" s="1"/>
      <c r="AY385" s="1"/>
      <c r="BE385" s="1"/>
      <c r="BF385" s="1"/>
      <c r="BG385" s="1"/>
      <c r="BM385" s="1"/>
      <c r="BN385" s="1"/>
      <c r="BO385" s="1"/>
    </row>
    <row r="386" spans="22:67" s="17" customFormat="1" ht="22.5" customHeight="1" x14ac:dyDescent="0.25">
      <c r="V386" s="99"/>
      <c r="W386" s="99"/>
      <c r="AW386" s="1"/>
      <c r="AX386" s="1"/>
      <c r="AY386" s="1"/>
      <c r="BE386" s="1"/>
      <c r="BF386" s="1"/>
      <c r="BG386" s="1"/>
      <c r="BM386" s="1"/>
      <c r="BN386" s="1"/>
      <c r="BO386" s="1"/>
    </row>
    <row r="387" spans="22:67" s="17" customFormat="1" ht="22.5" customHeight="1" x14ac:dyDescent="0.25">
      <c r="V387" s="99"/>
      <c r="W387" s="99"/>
      <c r="AW387" s="1"/>
      <c r="AX387" s="1"/>
      <c r="AY387" s="1"/>
      <c r="BE387" s="1"/>
      <c r="BF387" s="1"/>
      <c r="BG387" s="1"/>
      <c r="BM387" s="1"/>
      <c r="BN387" s="1"/>
      <c r="BO387" s="1"/>
    </row>
    <row r="388" spans="22:67" s="17" customFormat="1" ht="22.5" customHeight="1" x14ac:dyDescent="0.25">
      <c r="V388" s="99"/>
      <c r="W388" s="99"/>
      <c r="AW388" s="1"/>
      <c r="AX388" s="1"/>
      <c r="AY388" s="1"/>
      <c r="BE388" s="1"/>
      <c r="BF388" s="1"/>
      <c r="BG388" s="1"/>
      <c r="BM388" s="1"/>
      <c r="BN388" s="1"/>
      <c r="BO388" s="1"/>
    </row>
    <row r="389" spans="22:67" s="17" customFormat="1" ht="22.5" customHeight="1" x14ac:dyDescent="0.25">
      <c r="V389" s="99"/>
      <c r="W389" s="99"/>
      <c r="AW389" s="1"/>
      <c r="AX389" s="1"/>
      <c r="AY389" s="1"/>
      <c r="BE389" s="1"/>
      <c r="BF389" s="1"/>
      <c r="BG389" s="1"/>
      <c r="BM389" s="1"/>
      <c r="BN389" s="1"/>
      <c r="BO389" s="1"/>
    </row>
    <row r="390" spans="22:67" s="17" customFormat="1" ht="22.5" customHeight="1" x14ac:dyDescent="0.25">
      <c r="V390" s="99"/>
      <c r="W390" s="99"/>
      <c r="AW390" s="1"/>
      <c r="AX390" s="1"/>
      <c r="AY390" s="1"/>
      <c r="BE390" s="1"/>
      <c r="BF390" s="1"/>
      <c r="BG390" s="1"/>
      <c r="BM390" s="1"/>
      <c r="BN390" s="1"/>
      <c r="BO390" s="1"/>
    </row>
    <row r="391" spans="22:67" s="17" customFormat="1" ht="22.5" customHeight="1" x14ac:dyDescent="0.25">
      <c r="V391" s="99"/>
      <c r="W391" s="99"/>
      <c r="AW391" s="1"/>
      <c r="AX391" s="1"/>
      <c r="AY391" s="1"/>
      <c r="BE391" s="1"/>
      <c r="BF391" s="1"/>
      <c r="BG391" s="1"/>
      <c r="BM391" s="1"/>
      <c r="BN391" s="1"/>
      <c r="BO391" s="1"/>
    </row>
    <row r="392" spans="22:67" s="17" customFormat="1" ht="22.5" customHeight="1" x14ac:dyDescent="0.25">
      <c r="V392" s="99"/>
      <c r="W392" s="99"/>
      <c r="AW392" s="1"/>
      <c r="AX392" s="1"/>
      <c r="AY392" s="1"/>
      <c r="BE392" s="1"/>
      <c r="BF392" s="1"/>
      <c r="BG392" s="1"/>
      <c r="BM392" s="1"/>
      <c r="BN392" s="1"/>
      <c r="BO392" s="1"/>
    </row>
    <row r="393" spans="22:67" s="17" customFormat="1" ht="22.5" customHeight="1" x14ac:dyDescent="0.25">
      <c r="V393" s="99"/>
      <c r="W393" s="99"/>
      <c r="AW393" s="1"/>
      <c r="AX393" s="1"/>
      <c r="AY393" s="1"/>
      <c r="BE393" s="1"/>
      <c r="BF393" s="1"/>
      <c r="BG393" s="1"/>
      <c r="BM393" s="1"/>
      <c r="BN393" s="1"/>
      <c r="BO393" s="1"/>
    </row>
    <row r="394" spans="22:67" s="17" customFormat="1" ht="22.5" customHeight="1" x14ac:dyDescent="0.25">
      <c r="V394" s="99"/>
      <c r="W394" s="99"/>
      <c r="AW394" s="1"/>
      <c r="AX394" s="1"/>
      <c r="AY394" s="1"/>
      <c r="BE394" s="1"/>
      <c r="BF394" s="1"/>
      <c r="BG394" s="1"/>
      <c r="BM394" s="1"/>
      <c r="BN394" s="1"/>
      <c r="BO394" s="1"/>
    </row>
    <row r="395" spans="22:67" s="17" customFormat="1" ht="22.5" customHeight="1" x14ac:dyDescent="0.25">
      <c r="V395" s="99"/>
      <c r="W395" s="99"/>
      <c r="AW395" s="1"/>
      <c r="AX395" s="1"/>
      <c r="AY395" s="1"/>
      <c r="BE395" s="1"/>
      <c r="BF395" s="1"/>
      <c r="BG395" s="1"/>
      <c r="BM395" s="1"/>
      <c r="BN395" s="1"/>
      <c r="BO395" s="1"/>
    </row>
    <row r="396" spans="22:67" s="17" customFormat="1" ht="22.5" customHeight="1" x14ac:dyDescent="0.25">
      <c r="V396" s="99"/>
      <c r="W396" s="99"/>
      <c r="AW396" s="1"/>
      <c r="AX396" s="1"/>
      <c r="AY396" s="1"/>
      <c r="BE396" s="1"/>
      <c r="BF396" s="1"/>
      <c r="BG396" s="1"/>
      <c r="BM396" s="1"/>
      <c r="BN396" s="1"/>
      <c r="BO396" s="1"/>
    </row>
    <row r="397" spans="22:67" s="17" customFormat="1" ht="22.5" customHeight="1" x14ac:dyDescent="0.25">
      <c r="V397" s="99"/>
      <c r="W397" s="99"/>
      <c r="AW397" s="1"/>
      <c r="AX397" s="1"/>
      <c r="AY397" s="1"/>
      <c r="BE397" s="1"/>
      <c r="BF397" s="1"/>
      <c r="BG397" s="1"/>
      <c r="BM397" s="1"/>
      <c r="BN397" s="1"/>
      <c r="BO397" s="1"/>
    </row>
    <row r="398" spans="22:67" s="17" customFormat="1" ht="22.5" customHeight="1" x14ac:dyDescent="0.25">
      <c r="V398" s="99"/>
      <c r="W398" s="99"/>
      <c r="AW398" s="1"/>
      <c r="AX398" s="1"/>
      <c r="AY398" s="1"/>
      <c r="BE398" s="1"/>
      <c r="BF398" s="1"/>
      <c r="BG398" s="1"/>
      <c r="BM398" s="1"/>
      <c r="BN398" s="1"/>
      <c r="BO398" s="1"/>
    </row>
    <row r="399" spans="22:67" s="17" customFormat="1" ht="22.5" customHeight="1" x14ac:dyDescent="0.25">
      <c r="V399" s="99"/>
      <c r="W399" s="99"/>
      <c r="AW399" s="1"/>
      <c r="AX399" s="1"/>
      <c r="AY399" s="1"/>
      <c r="BE399" s="1"/>
      <c r="BF399" s="1"/>
      <c r="BG399" s="1"/>
      <c r="BM399" s="1"/>
      <c r="BN399" s="1"/>
      <c r="BO399" s="1"/>
    </row>
    <row r="400" spans="22:67" s="17" customFormat="1" ht="22.5" customHeight="1" x14ac:dyDescent="0.25">
      <c r="V400" s="99"/>
      <c r="W400" s="99"/>
      <c r="AW400" s="1"/>
      <c r="AX400" s="1"/>
      <c r="AY400" s="1"/>
      <c r="BE400" s="1"/>
      <c r="BF400" s="1"/>
      <c r="BG400" s="1"/>
      <c r="BM400" s="1"/>
      <c r="BN400" s="1"/>
      <c r="BO400" s="1"/>
    </row>
    <row r="401" spans="22:67" s="17" customFormat="1" ht="22.5" customHeight="1" x14ac:dyDescent="0.25">
      <c r="V401" s="99"/>
      <c r="W401" s="99"/>
      <c r="AW401" s="1"/>
      <c r="AX401" s="1"/>
      <c r="AY401" s="1"/>
      <c r="BE401" s="1"/>
      <c r="BF401" s="1"/>
      <c r="BG401" s="1"/>
      <c r="BM401" s="1"/>
      <c r="BN401" s="1"/>
      <c r="BO401" s="1"/>
    </row>
    <row r="402" spans="22:67" s="17" customFormat="1" ht="22.5" customHeight="1" x14ac:dyDescent="0.25">
      <c r="V402" s="99"/>
      <c r="W402" s="99"/>
      <c r="AW402" s="1"/>
      <c r="AX402" s="1"/>
      <c r="AY402" s="1"/>
      <c r="BE402" s="1"/>
      <c r="BF402" s="1"/>
      <c r="BG402" s="1"/>
      <c r="BM402" s="1"/>
      <c r="BN402" s="1"/>
      <c r="BO402" s="1"/>
    </row>
    <row r="403" spans="22:67" s="17" customFormat="1" ht="22.5" customHeight="1" x14ac:dyDescent="0.25">
      <c r="V403" s="99"/>
      <c r="W403" s="99"/>
      <c r="AW403" s="1"/>
      <c r="AX403" s="1"/>
      <c r="AY403" s="1"/>
      <c r="BE403" s="1"/>
      <c r="BF403" s="1"/>
      <c r="BG403" s="1"/>
      <c r="BM403" s="1"/>
      <c r="BN403" s="1"/>
      <c r="BO403" s="1"/>
    </row>
    <row r="404" spans="22:67" s="17" customFormat="1" ht="22.5" customHeight="1" x14ac:dyDescent="0.25">
      <c r="V404" s="99"/>
      <c r="W404" s="99"/>
      <c r="AW404" s="1"/>
      <c r="AX404" s="1"/>
      <c r="AY404" s="1"/>
      <c r="BE404" s="1"/>
      <c r="BF404" s="1"/>
      <c r="BG404" s="1"/>
      <c r="BM404" s="1"/>
      <c r="BN404" s="1"/>
      <c r="BO404" s="1"/>
    </row>
    <row r="405" spans="22:67" s="17" customFormat="1" ht="22.5" customHeight="1" x14ac:dyDescent="0.25">
      <c r="V405" s="99"/>
      <c r="W405" s="99"/>
      <c r="AW405" s="1"/>
      <c r="AX405" s="1"/>
      <c r="AY405" s="1"/>
      <c r="BE405" s="1"/>
      <c r="BF405" s="1"/>
      <c r="BG405" s="1"/>
      <c r="BM405" s="1"/>
      <c r="BN405" s="1"/>
      <c r="BO405" s="1"/>
    </row>
    <row r="406" spans="22:67" s="17" customFormat="1" ht="22.5" customHeight="1" x14ac:dyDescent="0.25">
      <c r="V406" s="99"/>
      <c r="W406" s="99"/>
      <c r="AW406" s="1"/>
      <c r="AX406" s="1"/>
      <c r="AY406" s="1"/>
      <c r="BE406" s="1"/>
      <c r="BF406" s="1"/>
      <c r="BG406" s="1"/>
      <c r="BM406" s="1"/>
      <c r="BN406" s="1"/>
      <c r="BO406" s="1"/>
    </row>
    <row r="407" spans="22:67" s="17" customFormat="1" ht="22.5" customHeight="1" x14ac:dyDescent="0.25">
      <c r="V407" s="99"/>
      <c r="W407" s="99"/>
      <c r="AW407" s="1"/>
      <c r="AX407" s="1"/>
      <c r="AY407" s="1"/>
      <c r="BE407" s="1"/>
      <c r="BF407" s="1"/>
      <c r="BG407" s="1"/>
      <c r="BM407" s="1"/>
      <c r="BN407" s="1"/>
      <c r="BO407" s="1"/>
    </row>
    <row r="408" spans="22:67" s="17" customFormat="1" ht="22.5" customHeight="1" x14ac:dyDescent="0.25">
      <c r="V408" s="99"/>
      <c r="W408" s="99"/>
      <c r="AW408" s="1"/>
      <c r="AX408" s="1"/>
      <c r="AY408" s="1"/>
      <c r="BE408" s="1"/>
      <c r="BF408" s="1"/>
      <c r="BG408" s="1"/>
      <c r="BM408" s="1"/>
      <c r="BN408" s="1"/>
      <c r="BO408" s="1"/>
    </row>
    <row r="409" spans="22:67" s="17" customFormat="1" ht="22.5" customHeight="1" x14ac:dyDescent="0.25">
      <c r="V409" s="99"/>
      <c r="W409" s="99"/>
      <c r="AW409" s="1"/>
      <c r="AX409" s="1"/>
      <c r="AY409" s="1"/>
      <c r="BE409" s="1"/>
      <c r="BF409" s="1"/>
      <c r="BG409" s="1"/>
      <c r="BM409" s="1"/>
      <c r="BN409" s="1"/>
      <c r="BO409" s="1"/>
    </row>
    <row r="410" spans="22:67" s="17" customFormat="1" ht="22.5" customHeight="1" x14ac:dyDescent="0.25">
      <c r="V410" s="99"/>
      <c r="W410" s="99"/>
      <c r="AW410" s="1"/>
      <c r="AX410" s="1"/>
      <c r="AY410" s="1"/>
      <c r="BE410" s="1"/>
      <c r="BF410" s="1"/>
      <c r="BG410" s="1"/>
      <c r="BM410" s="1"/>
      <c r="BN410" s="1"/>
      <c r="BO410" s="1"/>
    </row>
    <row r="411" spans="22:67" s="17" customFormat="1" ht="22.5" customHeight="1" x14ac:dyDescent="0.25">
      <c r="V411" s="99"/>
      <c r="W411" s="99"/>
      <c r="AW411" s="1"/>
      <c r="AX411" s="1"/>
      <c r="AY411" s="1"/>
      <c r="BE411" s="1"/>
      <c r="BF411" s="1"/>
      <c r="BG411" s="1"/>
      <c r="BM411" s="1"/>
      <c r="BN411" s="1"/>
      <c r="BO411" s="1"/>
    </row>
    <row r="412" spans="22:67" s="17" customFormat="1" ht="22.5" customHeight="1" x14ac:dyDescent="0.25">
      <c r="V412" s="99"/>
      <c r="W412" s="99"/>
      <c r="AW412" s="1"/>
      <c r="AX412" s="1"/>
      <c r="AY412" s="1"/>
      <c r="BE412" s="1"/>
      <c r="BF412" s="1"/>
      <c r="BG412" s="1"/>
      <c r="BM412" s="1"/>
      <c r="BN412" s="1"/>
      <c r="BO412" s="1"/>
    </row>
    <row r="413" spans="22:67" s="17" customFormat="1" ht="22.5" customHeight="1" x14ac:dyDescent="0.25">
      <c r="V413" s="99"/>
      <c r="W413" s="99"/>
      <c r="AW413" s="1"/>
      <c r="AX413" s="1"/>
      <c r="AY413" s="1"/>
      <c r="BE413" s="1"/>
      <c r="BF413" s="1"/>
      <c r="BG413" s="1"/>
      <c r="BM413" s="1"/>
      <c r="BN413" s="1"/>
      <c r="BO413" s="1"/>
    </row>
    <row r="414" spans="22:67" s="17" customFormat="1" ht="22.5" customHeight="1" x14ac:dyDescent="0.25">
      <c r="V414" s="99"/>
      <c r="W414" s="99"/>
      <c r="AW414" s="1"/>
      <c r="AX414" s="1"/>
      <c r="AY414" s="1"/>
      <c r="BE414" s="1"/>
      <c r="BF414" s="1"/>
      <c r="BG414" s="1"/>
      <c r="BM414" s="1"/>
      <c r="BN414" s="1"/>
      <c r="BO414" s="1"/>
    </row>
    <row r="415" spans="22:67" s="17" customFormat="1" ht="22.5" customHeight="1" x14ac:dyDescent="0.25">
      <c r="V415" s="99"/>
      <c r="W415" s="99"/>
      <c r="AW415" s="1"/>
      <c r="AX415" s="1"/>
      <c r="AY415" s="1"/>
      <c r="BE415" s="1"/>
      <c r="BF415" s="1"/>
      <c r="BG415" s="1"/>
      <c r="BM415" s="1"/>
      <c r="BN415" s="1"/>
      <c r="BO415" s="1"/>
    </row>
    <row r="416" spans="22:67" s="17" customFormat="1" ht="22.5" customHeight="1" x14ac:dyDescent="0.25">
      <c r="V416" s="99"/>
      <c r="W416" s="99"/>
      <c r="AW416" s="1"/>
      <c r="AX416" s="1"/>
      <c r="AY416" s="1"/>
      <c r="BE416" s="1"/>
      <c r="BF416" s="1"/>
      <c r="BG416" s="1"/>
      <c r="BM416" s="1"/>
      <c r="BN416" s="1"/>
      <c r="BO416" s="1"/>
    </row>
    <row r="417" spans="22:67" s="17" customFormat="1" ht="22.5" customHeight="1" x14ac:dyDescent="0.25">
      <c r="V417" s="99"/>
      <c r="W417" s="99"/>
      <c r="AW417" s="1"/>
      <c r="AX417" s="1"/>
      <c r="AY417" s="1"/>
      <c r="BE417" s="1"/>
      <c r="BF417" s="1"/>
      <c r="BG417" s="1"/>
      <c r="BM417" s="1"/>
      <c r="BN417" s="1"/>
      <c r="BO417" s="1"/>
    </row>
    <row r="418" spans="22:67" s="17" customFormat="1" ht="22.5" customHeight="1" x14ac:dyDescent="0.25">
      <c r="V418" s="99"/>
      <c r="W418" s="99"/>
      <c r="AW418" s="1"/>
      <c r="AX418" s="1"/>
      <c r="AY418" s="1"/>
      <c r="BE418" s="1"/>
      <c r="BF418" s="1"/>
      <c r="BG418" s="1"/>
      <c r="BM418" s="1"/>
      <c r="BN418" s="1"/>
      <c r="BO418" s="1"/>
    </row>
    <row r="419" spans="22:67" s="17" customFormat="1" ht="22.5" customHeight="1" x14ac:dyDescent="0.25">
      <c r="V419" s="99"/>
      <c r="W419" s="99"/>
      <c r="AW419" s="1"/>
      <c r="AX419" s="1"/>
      <c r="AY419" s="1"/>
      <c r="BE419" s="1"/>
      <c r="BF419" s="1"/>
      <c r="BG419" s="1"/>
      <c r="BM419" s="1"/>
      <c r="BN419" s="1"/>
      <c r="BO419" s="1"/>
    </row>
    <row r="420" spans="22:67" s="17" customFormat="1" ht="22.5" customHeight="1" x14ac:dyDescent="0.25">
      <c r="V420" s="99"/>
      <c r="W420" s="99"/>
      <c r="AW420" s="1"/>
      <c r="AX420" s="1"/>
      <c r="AY420" s="1"/>
      <c r="BE420" s="1"/>
      <c r="BF420" s="1"/>
      <c r="BG420" s="1"/>
      <c r="BM420" s="1"/>
      <c r="BN420" s="1"/>
      <c r="BO420" s="1"/>
    </row>
    <row r="421" spans="22:67" s="17" customFormat="1" ht="22.5" customHeight="1" x14ac:dyDescent="0.25">
      <c r="V421" s="99"/>
      <c r="W421" s="99"/>
      <c r="AW421" s="1"/>
      <c r="AX421" s="1"/>
      <c r="AY421" s="1"/>
      <c r="BE421" s="1"/>
      <c r="BF421" s="1"/>
      <c r="BG421" s="1"/>
      <c r="BM421" s="1"/>
      <c r="BN421" s="1"/>
      <c r="BO421" s="1"/>
    </row>
    <row r="422" spans="22:67" s="17" customFormat="1" ht="22.5" customHeight="1" x14ac:dyDescent="0.25">
      <c r="V422" s="99"/>
      <c r="W422" s="99"/>
      <c r="AW422" s="1"/>
      <c r="AX422" s="1"/>
      <c r="AY422" s="1"/>
      <c r="BE422" s="1"/>
      <c r="BF422" s="1"/>
      <c r="BG422" s="1"/>
      <c r="BM422" s="1"/>
      <c r="BN422" s="1"/>
      <c r="BO422" s="1"/>
    </row>
    <row r="423" spans="22:67" s="17" customFormat="1" ht="22.5" customHeight="1" x14ac:dyDescent="0.25">
      <c r="V423" s="99"/>
      <c r="W423" s="99"/>
      <c r="AW423" s="1"/>
      <c r="AX423" s="1"/>
      <c r="AY423" s="1"/>
      <c r="BE423" s="1"/>
      <c r="BF423" s="1"/>
      <c r="BG423" s="1"/>
      <c r="BM423" s="1"/>
      <c r="BN423" s="1"/>
      <c r="BO423" s="1"/>
    </row>
    <row r="424" spans="22:67" s="17" customFormat="1" ht="22.5" customHeight="1" x14ac:dyDescent="0.25">
      <c r="V424" s="99"/>
      <c r="W424" s="99"/>
      <c r="AW424" s="1"/>
      <c r="AX424" s="1"/>
      <c r="AY424" s="1"/>
      <c r="BE424" s="1"/>
      <c r="BF424" s="1"/>
      <c r="BG424" s="1"/>
      <c r="BM424" s="1"/>
      <c r="BN424" s="1"/>
      <c r="BO424" s="1"/>
    </row>
    <row r="425" spans="22:67" s="17" customFormat="1" ht="22.5" customHeight="1" x14ac:dyDescent="0.25">
      <c r="V425" s="99"/>
      <c r="W425" s="99"/>
      <c r="AW425" s="1"/>
      <c r="AX425" s="1"/>
      <c r="AY425" s="1"/>
      <c r="BE425" s="1"/>
      <c r="BF425" s="1"/>
      <c r="BG425" s="1"/>
      <c r="BM425" s="1"/>
      <c r="BN425" s="1"/>
      <c r="BO425" s="1"/>
    </row>
    <row r="426" spans="22:67" s="17" customFormat="1" ht="22.5" customHeight="1" x14ac:dyDescent="0.25">
      <c r="V426" s="99"/>
      <c r="W426" s="99"/>
      <c r="AW426" s="1"/>
      <c r="AX426" s="1"/>
      <c r="AY426" s="1"/>
      <c r="BE426" s="1"/>
      <c r="BF426" s="1"/>
      <c r="BG426" s="1"/>
      <c r="BM426" s="1"/>
      <c r="BN426" s="1"/>
      <c r="BO426" s="1"/>
    </row>
    <row r="427" spans="22:67" s="17" customFormat="1" ht="22.5" customHeight="1" x14ac:dyDescent="0.25">
      <c r="V427" s="99"/>
      <c r="W427" s="99"/>
      <c r="AW427" s="1"/>
      <c r="AX427" s="1"/>
      <c r="AY427" s="1"/>
      <c r="BE427" s="1"/>
      <c r="BF427" s="1"/>
      <c r="BG427" s="1"/>
      <c r="BM427" s="1"/>
      <c r="BN427" s="1"/>
      <c r="BO427" s="1"/>
    </row>
    <row r="428" spans="22:67" s="17" customFormat="1" ht="22.5" customHeight="1" x14ac:dyDescent="0.25">
      <c r="V428" s="99"/>
      <c r="W428" s="99"/>
      <c r="AW428" s="1"/>
      <c r="AX428" s="1"/>
      <c r="AY428" s="1"/>
      <c r="BE428" s="1"/>
      <c r="BF428" s="1"/>
      <c r="BG428" s="1"/>
      <c r="BM428" s="1"/>
      <c r="BN428" s="1"/>
      <c r="BO428" s="1"/>
    </row>
    <row r="429" spans="22:67" s="17" customFormat="1" ht="22.5" customHeight="1" x14ac:dyDescent="0.25">
      <c r="V429" s="99"/>
      <c r="W429" s="99"/>
      <c r="AW429" s="1"/>
      <c r="AX429" s="1"/>
      <c r="AY429" s="1"/>
      <c r="BE429" s="1"/>
      <c r="BF429" s="1"/>
      <c r="BG429" s="1"/>
      <c r="BM429" s="1"/>
      <c r="BN429" s="1"/>
      <c r="BO429" s="1"/>
    </row>
    <row r="430" spans="22:67" s="17" customFormat="1" ht="22.5" customHeight="1" x14ac:dyDescent="0.25">
      <c r="V430" s="99"/>
      <c r="W430" s="99"/>
      <c r="AW430" s="1"/>
      <c r="AX430" s="1"/>
      <c r="AY430" s="1"/>
      <c r="BE430" s="1"/>
      <c r="BF430" s="1"/>
      <c r="BG430" s="1"/>
      <c r="BM430" s="1"/>
      <c r="BN430" s="1"/>
      <c r="BO430" s="1"/>
    </row>
    <row r="431" spans="22:67" s="17" customFormat="1" ht="22.5" customHeight="1" x14ac:dyDescent="0.25">
      <c r="V431" s="99"/>
      <c r="W431" s="99"/>
      <c r="AW431" s="1"/>
      <c r="AX431" s="1"/>
      <c r="AY431" s="1"/>
      <c r="BE431" s="1"/>
      <c r="BF431" s="1"/>
      <c r="BG431" s="1"/>
      <c r="BM431" s="1"/>
      <c r="BN431" s="1"/>
      <c r="BO431" s="1"/>
    </row>
    <row r="432" spans="22:67" s="17" customFormat="1" ht="22.5" customHeight="1" x14ac:dyDescent="0.25">
      <c r="V432" s="99"/>
      <c r="W432" s="99"/>
      <c r="AW432" s="1"/>
      <c r="AX432" s="1"/>
      <c r="AY432" s="1"/>
      <c r="BE432" s="1"/>
      <c r="BF432" s="1"/>
      <c r="BG432" s="1"/>
      <c r="BM432" s="1"/>
      <c r="BN432" s="1"/>
      <c r="BO432" s="1"/>
    </row>
    <row r="433" spans="22:67" s="17" customFormat="1" ht="22.5" customHeight="1" x14ac:dyDescent="0.25">
      <c r="V433" s="99"/>
      <c r="W433" s="99"/>
      <c r="AW433" s="1"/>
      <c r="AX433" s="1"/>
      <c r="AY433" s="1"/>
      <c r="BE433" s="1"/>
      <c r="BF433" s="1"/>
      <c r="BG433" s="1"/>
      <c r="BM433" s="1"/>
      <c r="BN433" s="1"/>
      <c r="BO433" s="1"/>
    </row>
    <row r="434" spans="22:67" s="17" customFormat="1" ht="22.5" customHeight="1" x14ac:dyDescent="0.25">
      <c r="V434" s="99"/>
      <c r="W434" s="99"/>
      <c r="AW434" s="1"/>
      <c r="AX434" s="1"/>
      <c r="AY434" s="1"/>
      <c r="BE434" s="1"/>
      <c r="BF434" s="1"/>
      <c r="BG434" s="1"/>
      <c r="BM434" s="1"/>
      <c r="BN434" s="1"/>
      <c r="BO434" s="1"/>
    </row>
    <row r="435" spans="22:67" s="17" customFormat="1" ht="22.5" customHeight="1" x14ac:dyDescent="0.25">
      <c r="V435" s="99"/>
      <c r="W435" s="99"/>
      <c r="AW435" s="1"/>
      <c r="AX435" s="1"/>
      <c r="AY435" s="1"/>
      <c r="BE435" s="1"/>
      <c r="BF435" s="1"/>
      <c r="BG435" s="1"/>
      <c r="BM435" s="1"/>
      <c r="BN435" s="1"/>
      <c r="BO435" s="1"/>
    </row>
    <row r="436" spans="22:67" s="17" customFormat="1" ht="22.5" customHeight="1" x14ac:dyDescent="0.25">
      <c r="V436" s="99"/>
      <c r="W436" s="99"/>
      <c r="AW436" s="1"/>
      <c r="AX436" s="1"/>
      <c r="AY436" s="1"/>
      <c r="BE436" s="1"/>
      <c r="BF436" s="1"/>
      <c r="BG436" s="1"/>
      <c r="BM436" s="1"/>
      <c r="BN436" s="1"/>
      <c r="BO436" s="1"/>
    </row>
    <row r="437" spans="22:67" s="17" customFormat="1" ht="22.5" customHeight="1" x14ac:dyDescent="0.25">
      <c r="V437" s="99"/>
      <c r="W437" s="99"/>
      <c r="AW437" s="1"/>
      <c r="AX437" s="1"/>
      <c r="AY437" s="1"/>
      <c r="BE437" s="1"/>
      <c r="BF437" s="1"/>
      <c r="BG437" s="1"/>
      <c r="BM437" s="1"/>
      <c r="BN437" s="1"/>
      <c r="BO437" s="1"/>
    </row>
    <row r="438" spans="22:67" s="17" customFormat="1" ht="22.5" customHeight="1" x14ac:dyDescent="0.25">
      <c r="V438" s="99"/>
      <c r="W438" s="99"/>
      <c r="AW438" s="1"/>
      <c r="AX438" s="1"/>
      <c r="AY438" s="1"/>
      <c r="BE438" s="1"/>
      <c r="BF438" s="1"/>
      <c r="BG438" s="1"/>
      <c r="BM438" s="1"/>
      <c r="BN438" s="1"/>
      <c r="BO438" s="1"/>
    </row>
    <row r="439" spans="22:67" s="17" customFormat="1" ht="22.5" customHeight="1" x14ac:dyDescent="0.25">
      <c r="V439" s="99"/>
      <c r="W439" s="99"/>
      <c r="AW439" s="1"/>
      <c r="AX439" s="1"/>
      <c r="AY439" s="1"/>
      <c r="BE439" s="1"/>
      <c r="BF439" s="1"/>
      <c r="BG439" s="1"/>
      <c r="BM439" s="1"/>
      <c r="BN439" s="1"/>
      <c r="BO439" s="1"/>
    </row>
    <row r="440" spans="22:67" s="17" customFormat="1" ht="22.5" customHeight="1" x14ac:dyDescent="0.25">
      <c r="V440" s="99"/>
      <c r="W440" s="99"/>
      <c r="AW440" s="1"/>
      <c r="AX440" s="1"/>
      <c r="AY440" s="1"/>
      <c r="BE440" s="1"/>
      <c r="BF440" s="1"/>
      <c r="BG440" s="1"/>
      <c r="BM440" s="1"/>
      <c r="BN440" s="1"/>
      <c r="BO440" s="1"/>
    </row>
    <row r="441" spans="22:67" s="17" customFormat="1" ht="22.5" customHeight="1" x14ac:dyDescent="0.25">
      <c r="V441" s="99"/>
      <c r="W441" s="99"/>
      <c r="AW441" s="1"/>
      <c r="AX441" s="1"/>
      <c r="AY441" s="1"/>
      <c r="BE441" s="1"/>
      <c r="BF441" s="1"/>
      <c r="BG441" s="1"/>
      <c r="BM441" s="1"/>
      <c r="BN441" s="1"/>
      <c r="BO441" s="1"/>
    </row>
    <row r="442" spans="22:67" s="17" customFormat="1" ht="22.5" customHeight="1" x14ac:dyDescent="0.25">
      <c r="V442" s="99"/>
      <c r="W442" s="99"/>
      <c r="AW442" s="1"/>
      <c r="AX442" s="1"/>
      <c r="AY442" s="1"/>
      <c r="BE442" s="1"/>
      <c r="BF442" s="1"/>
      <c r="BG442" s="1"/>
      <c r="BM442" s="1"/>
      <c r="BN442" s="1"/>
      <c r="BO442" s="1"/>
    </row>
    <row r="443" spans="22:67" s="17" customFormat="1" ht="22.5" customHeight="1" x14ac:dyDescent="0.25">
      <c r="V443" s="99"/>
      <c r="W443" s="99"/>
      <c r="AW443" s="1"/>
      <c r="AX443" s="1"/>
      <c r="AY443" s="1"/>
      <c r="BE443" s="1"/>
      <c r="BF443" s="1"/>
      <c r="BG443" s="1"/>
      <c r="BM443" s="1"/>
      <c r="BN443" s="1"/>
      <c r="BO443" s="1"/>
    </row>
    <row r="444" spans="22:67" s="17" customFormat="1" ht="22.5" customHeight="1" x14ac:dyDescent="0.25">
      <c r="V444" s="99"/>
      <c r="W444" s="99"/>
      <c r="AW444" s="1"/>
      <c r="AX444" s="1"/>
      <c r="AY444" s="1"/>
      <c r="BE444" s="1"/>
      <c r="BF444" s="1"/>
      <c r="BG444" s="1"/>
      <c r="BM444" s="1"/>
      <c r="BN444" s="1"/>
      <c r="BO444" s="1"/>
    </row>
    <row r="445" spans="22:67" s="17" customFormat="1" ht="22.5" customHeight="1" x14ac:dyDescent="0.25">
      <c r="V445" s="99"/>
      <c r="W445" s="99"/>
      <c r="AW445" s="1"/>
      <c r="AX445" s="1"/>
      <c r="AY445" s="1"/>
      <c r="BE445" s="1"/>
      <c r="BF445" s="1"/>
      <c r="BG445" s="1"/>
      <c r="BM445" s="1"/>
      <c r="BN445" s="1"/>
      <c r="BO445" s="1"/>
    </row>
    <row r="446" spans="22:67" s="17" customFormat="1" ht="22.5" customHeight="1" x14ac:dyDescent="0.25">
      <c r="V446" s="99"/>
      <c r="W446" s="99"/>
      <c r="AW446" s="1"/>
      <c r="AX446" s="1"/>
      <c r="AY446" s="1"/>
      <c r="BE446" s="1"/>
      <c r="BF446" s="1"/>
      <c r="BG446" s="1"/>
      <c r="BM446" s="1"/>
      <c r="BN446" s="1"/>
      <c r="BO446" s="1"/>
    </row>
    <row r="447" spans="22:67" s="17" customFormat="1" ht="22.5" customHeight="1" x14ac:dyDescent="0.25">
      <c r="V447" s="99"/>
      <c r="W447" s="99"/>
      <c r="AW447" s="1"/>
      <c r="AX447" s="1"/>
      <c r="AY447" s="1"/>
      <c r="BE447" s="1"/>
      <c r="BF447" s="1"/>
      <c r="BG447" s="1"/>
      <c r="BM447" s="1"/>
      <c r="BN447" s="1"/>
      <c r="BO447" s="1"/>
    </row>
    <row r="448" spans="22:67" s="17" customFormat="1" ht="22.5" customHeight="1" x14ac:dyDescent="0.25">
      <c r="V448" s="99"/>
      <c r="W448" s="99"/>
      <c r="AW448" s="1"/>
      <c r="AX448" s="1"/>
      <c r="AY448" s="1"/>
      <c r="BE448" s="1"/>
      <c r="BF448" s="1"/>
      <c r="BG448" s="1"/>
      <c r="BM448" s="1"/>
      <c r="BN448" s="1"/>
      <c r="BO448" s="1"/>
    </row>
    <row r="449" spans="22:67" s="17" customFormat="1" ht="22.5" customHeight="1" x14ac:dyDescent="0.25">
      <c r="V449" s="99"/>
      <c r="W449" s="99"/>
      <c r="AW449" s="1"/>
      <c r="AX449" s="1"/>
      <c r="AY449" s="1"/>
      <c r="BE449" s="1"/>
      <c r="BF449" s="1"/>
      <c r="BG449" s="1"/>
      <c r="BM449" s="1"/>
      <c r="BN449" s="1"/>
      <c r="BO449" s="1"/>
    </row>
    <row r="450" spans="22:67" s="17" customFormat="1" ht="22.5" customHeight="1" x14ac:dyDescent="0.25">
      <c r="V450" s="99"/>
      <c r="W450" s="99"/>
      <c r="AW450" s="1"/>
      <c r="AX450" s="1"/>
      <c r="AY450" s="1"/>
      <c r="BE450" s="1"/>
      <c r="BF450" s="1"/>
      <c r="BG450" s="1"/>
      <c r="BM450" s="1"/>
      <c r="BN450" s="1"/>
      <c r="BO450" s="1"/>
    </row>
    <row r="451" spans="22:67" s="17" customFormat="1" ht="22.5" customHeight="1" x14ac:dyDescent="0.25">
      <c r="V451" s="99"/>
      <c r="W451" s="99"/>
      <c r="AW451" s="1"/>
      <c r="AX451" s="1"/>
      <c r="AY451" s="1"/>
      <c r="BE451" s="1"/>
      <c r="BF451" s="1"/>
      <c r="BG451" s="1"/>
      <c r="BM451" s="1"/>
      <c r="BN451" s="1"/>
      <c r="BO451" s="1"/>
    </row>
    <row r="452" spans="22:67" s="17" customFormat="1" ht="22.5" customHeight="1" x14ac:dyDescent="0.25">
      <c r="V452" s="99"/>
      <c r="W452" s="99"/>
      <c r="AW452" s="1"/>
      <c r="AX452" s="1"/>
      <c r="AY452" s="1"/>
      <c r="BE452" s="1"/>
      <c r="BF452" s="1"/>
      <c r="BG452" s="1"/>
      <c r="BM452" s="1"/>
      <c r="BN452" s="1"/>
      <c r="BO452" s="1"/>
    </row>
    <row r="453" spans="22:67" s="17" customFormat="1" ht="22.5" customHeight="1" x14ac:dyDescent="0.25">
      <c r="V453" s="99"/>
      <c r="W453" s="99"/>
      <c r="AW453" s="1"/>
      <c r="AX453" s="1"/>
      <c r="AY453" s="1"/>
      <c r="BE453" s="1"/>
      <c r="BF453" s="1"/>
      <c r="BG453" s="1"/>
      <c r="BM453" s="1"/>
      <c r="BN453" s="1"/>
      <c r="BO453" s="1"/>
    </row>
    <row r="454" spans="22:67" s="17" customFormat="1" ht="22.5" customHeight="1" x14ac:dyDescent="0.25">
      <c r="V454" s="99"/>
      <c r="W454" s="99"/>
      <c r="AW454" s="1"/>
      <c r="AX454" s="1"/>
      <c r="AY454" s="1"/>
      <c r="BE454" s="1"/>
      <c r="BF454" s="1"/>
      <c r="BG454" s="1"/>
      <c r="BM454" s="1"/>
      <c r="BN454" s="1"/>
      <c r="BO454" s="1"/>
    </row>
    <row r="455" spans="22:67" s="17" customFormat="1" ht="22.5" customHeight="1" x14ac:dyDescent="0.25">
      <c r="V455" s="99"/>
      <c r="W455" s="99"/>
      <c r="AW455" s="1"/>
      <c r="AX455" s="1"/>
      <c r="AY455" s="1"/>
      <c r="BE455" s="1"/>
      <c r="BF455" s="1"/>
      <c r="BG455" s="1"/>
      <c r="BM455" s="1"/>
      <c r="BN455" s="1"/>
      <c r="BO455" s="1"/>
    </row>
    <row r="456" spans="22:67" s="17" customFormat="1" ht="22.5" customHeight="1" x14ac:dyDescent="0.25">
      <c r="V456" s="99"/>
      <c r="W456" s="99"/>
      <c r="AW456" s="1"/>
      <c r="AX456" s="1"/>
      <c r="AY456" s="1"/>
      <c r="BE456" s="1"/>
      <c r="BF456" s="1"/>
      <c r="BG456" s="1"/>
      <c r="BM456" s="1"/>
      <c r="BN456" s="1"/>
      <c r="BO456" s="1"/>
    </row>
    <row r="457" spans="22:67" s="17" customFormat="1" ht="22.5" customHeight="1" x14ac:dyDescent="0.25">
      <c r="V457" s="99"/>
      <c r="W457" s="99"/>
      <c r="AW457" s="1"/>
      <c r="AX457" s="1"/>
      <c r="AY457" s="1"/>
      <c r="BE457" s="1"/>
      <c r="BF457" s="1"/>
      <c r="BG457" s="1"/>
      <c r="BM457" s="1"/>
      <c r="BN457" s="1"/>
      <c r="BO457" s="1"/>
    </row>
    <row r="458" spans="22:67" s="17" customFormat="1" ht="22.5" customHeight="1" x14ac:dyDescent="0.25">
      <c r="V458" s="99"/>
      <c r="W458" s="99"/>
      <c r="AW458" s="1"/>
      <c r="AX458" s="1"/>
      <c r="AY458" s="1"/>
      <c r="BE458" s="1"/>
      <c r="BF458" s="1"/>
      <c r="BG458" s="1"/>
      <c r="BM458" s="1"/>
      <c r="BN458" s="1"/>
      <c r="BO458" s="1"/>
    </row>
    <row r="459" spans="22:67" s="17" customFormat="1" ht="22.5" customHeight="1" x14ac:dyDescent="0.25">
      <c r="V459" s="99"/>
      <c r="W459" s="99"/>
      <c r="AW459" s="1"/>
      <c r="AX459" s="1"/>
      <c r="AY459" s="1"/>
      <c r="BE459" s="1"/>
      <c r="BF459" s="1"/>
      <c r="BG459" s="1"/>
      <c r="BM459" s="1"/>
      <c r="BN459" s="1"/>
      <c r="BO459" s="1"/>
    </row>
    <row r="460" spans="22:67" s="17" customFormat="1" ht="22.5" customHeight="1" x14ac:dyDescent="0.25">
      <c r="V460" s="99"/>
      <c r="W460" s="99"/>
      <c r="AW460" s="1"/>
      <c r="AX460" s="1"/>
      <c r="AY460" s="1"/>
      <c r="BE460" s="1"/>
      <c r="BF460" s="1"/>
      <c r="BG460" s="1"/>
      <c r="BM460" s="1"/>
      <c r="BN460" s="1"/>
      <c r="BO460" s="1"/>
    </row>
    <row r="461" spans="22:67" s="17" customFormat="1" ht="22.5" customHeight="1" x14ac:dyDescent="0.25">
      <c r="V461" s="99"/>
      <c r="W461" s="99"/>
      <c r="AW461" s="1"/>
      <c r="AX461" s="1"/>
      <c r="AY461" s="1"/>
      <c r="BE461" s="1"/>
      <c r="BF461" s="1"/>
      <c r="BG461" s="1"/>
      <c r="BM461" s="1"/>
      <c r="BN461" s="1"/>
      <c r="BO461" s="1"/>
    </row>
    <row r="462" spans="22:67" s="17" customFormat="1" ht="22.5" customHeight="1" x14ac:dyDescent="0.25">
      <c r="V462" s="99"/>
      <c r="W462" s="99"/>
      <c r="AW462" s="1"/>
      <c r="AX462" s="1"/>
      <c r="AY462" s="1"/>
      <c r="BE462" s="1"/>
      <c r="BF462" s="1"/>
      <c r="BG462" s="1"/>
      <c r="BM462" s="1"/>
      <c r="BN462" s="1"/>
      <c r="BO462" s="1"/>
    </row>
    <row r="463" spans="22:67" s="17" customFormat="1" ht="22.5" customHeight="1" x14ac:dyDescent="0.25">
      <c r="V463" s="99"/>
      <c r="W463" s="99"/>
      <c r="AW463" s="1"/>
      <c r="AX463" s="1"/>
      <c r="AY463" s="1"/>
      <c r="BE463" s="1"/>
      <c r="BF463" s="1"/>
      <c r="BG463" s="1"/>
      <c r="BM463" s="1"/>
      <c r="BN463" s="1"/>
      <c r="BO463" s="1"/>
    </row>
    <row r="464" spans="22:67" s="17" customFormat="1" ht="22.5" customHeight="1" x14ac:dyDescent="0.25">
      <c r="V464" s="99"/>
      <c r="W464" s="99"/>
      <c r="AW464" s="1"/>
      <c r="AX464" s="1"/>
      <c r="AY464" s="1"/>
      <c r="BE464" s="1"/>
      <c r="BF464" s="1"/>
      <c r="BG464" s="1"/>
      <c r="BM464" s="1"/>
      <c r="BN464" s="1"/>
      <c r="BO464" s="1"/>
    </row>
    <row r="465" spans="22:67" s="17" customFormat="1" ht="22.5" customHeight="1" x14ac:dyDescent="0.25">
      <c r="V465" s="99"/>
      <c r="W465" s="99"/>
      <c r="AW465" s="1"/>
      <c r="AX465" s="1"/>
      <c r="AY465" s="1"/>
      <c r="BE465" s="1"/>
      <c r="BF465" s="1"/>
      <c r="BG465" s="1"/>
      <c r="BM465" s="1"/>
      <c r="BN465" s="1"/>
      <c r="BO465" s="1"/>
    </row>
    <row r="466" spans="22:67" s="17" customFormat="1" ht="22.5" customHeight="1" x14ac:dyDescent="0.25">
      <c r="V466" s="99"/>
      <c r="W466" s="99"/>
      <c r="AW466" s="1"/>
      <c r="AX466" s="1"/>
      <c r="AY466" s="1"/>
      <c r="BE466" s="1"/>
      <c r="BF466" s="1"/>
      <c r="BG466" s="1"/>
      <c r="BM466" s="1"/>
      <c r="BN466" s="1"/>
      <c r="BO466" s="1"/>
    </row>
    <row r="467" spans="22:67" s="17" customFormat="1" ht="22.5" customHeight="1" x14ac:dyDescent="0.25">
      <c r="V467" s="99"/>
      <c r="W467" s="99"/>
      <c r="AW467" s="1"/>
      <c r="AX467" s="1"/>
      <c r="AY467" s="1"/>
      <c r="BE467" s="1"/>
      <c r="BF467" s="1"/>
      <c r="BG467" s="1"/>
      <c r="BM467" s="1"/>
      <c r="BN467" s="1"/>
      <c r="BO467" s="1"/>
    </row>
    <row r="468" spans="22:67" s="17" customFormat="1" ht="22.5" customHeight="1" x14ac:dyDescent="0.25">
      <c r="V468" s="99"/>
      <c r="W468" s="99"/>
      <c r="AW468" s="1"/>
      <c r="AX468" s="1"/>
      <c r="AY468" s="1"/>
      <c r="BE468" s="1"/>
      <c r="BF468" s="1"/>
      <c r="BG468" s="1"/>
      <c r="BM468" s="1"/>
      <c r="BN468" s="1"/>
      <c r="BO468" s="1"/>
    </row>
    <row r="469" spans="22:67" s="17" customFormat="1" ht="22.5" customHeight="1" x14ac:dyDescent="0.25">
      <c r="V469" s="99"/>
      <c r="W469" s="99"/>
      <c r="AW469" s="1"/>
      <c r="AX469" s="1"/>
      <c r="AY469" s="1"/>
      <c r="BE469" s="1"/>
      <c r="BF469" s="1"/>
      <c r="BG469" s="1"/>
      <c r="BM469" s="1"/>
      <c r="BN469" s="1"/>
      <c r="BO469" s="1"/>
    </row>
    <row r="470" spans="22:67" s="17" customFormat="1" ht="22.5" customHeight="1" x14ac:dyDescent="0.25">
      <c r="V470" s="99"/>
      <c r="W470" s="99"/>
      <c r="AW470" s="1"/>
      <c r="AX470" s="1"/>
      <c r="AY470" s="1"/>
      <c r="BE470" s="1"/>
      <c r="BF470" s="1"/>
      <c r="BG470" s="1"/>
      <c r="BM470" s="1"/>
      <c r="BN470" s="1"/>
      <c r="BO470" s="1"/>
    </row>
    <row r="471" spans="22:67" s="17" customFormat="1" ht="22.5" customHeight="1" x14ac:dyDescent="0.25">
      <c r="V471" s="99"/>
      <c r="W471" s="99"/>
      <c r="AW471" s="1"/>
      <c r="AX471" s="1"/>
      <c r="AY471" s="1"/>
      <c r="BE471" s="1"/>
      <c r="BF471" s="1"/>
      <c r="BG471" s="1"/>
      <c r="BM471" s="1"/>
      <c r="BN471" s="1"/>
      <c r="BO471" s="1"/>
    </row>
    <row r="472" spans="22:67" s="17" customFormat="1" ht="22.5" customHeight="1" x14ac:dyDescent="0.25">
      <c r="V472" s="99"/>
      <c r="W472" s="99"/>
      <c r="AW472" s="1"/>
      <c r="AX472" s="1"/>
      <c r="AY472" s="1"/>
      <c r="BE472" s="1"/>
      <c r="BF472" s="1"/>
      <c r="BG472" s="1"/>
      <c r="BM472" s="1"/>
      <c r="BN472" s="1"/>
      <c r="BO472" s="1"/>
    </row>
    <row r="473" spans="22:67" s="17" customFormat="1" ht="22.5" customHeight="1" x14ac:dyDescent="0.25">
      <c r="V473" s="99"/>
      <c r="W473" s="99"/>
      <c r="AW473" s="1"/>
      <c r="AX473" s="1"/>
      <c r="AY473" s="1"/>
      <c r="BE473" s="1"/>
      <c r="BF473" s="1"/>
      <c r="BG473" s="1"/>
      <c r="BM473" s="1"/>
      <c r="BN473" s="1"/>
      <c r="BO473" s="1"/>
    </row>
    <row r="474" spans="22:67" s="17" customFormat="1" ht="22.5" customHeight="1" x14ac:dyDescent="0.25">
      <c r="V474" s="99"/>
      <c r="W474" s="99"/>
      <c r="AW474" s="1"/>
      <c r="AX474" s="1"/>
      <c r="AY474" s="1"/>
      <c r="BE474" s="1"/>
      <c r="BF474" s="1"/>
      <c r="BG474" s="1"/>
      <c r="BM474" s="1"/>
      <c r="BN474" s="1"/>
      <c r="BO474" s="1"/>
    </row>
    <row r="475" spans="22:67" s="17" customFormat="1" ht="22.5" customHeight="1" x14ac:dyDescent="0.25">
      <c r="V475" s="99"/>
      <c r="W475" s="99"/>
      <c r="AW475" s="1"/>
      <c r="AX475" s="1"/>
      <c r="AY475" s="1"/>
      <c r="BE475" s="1"/>
      <c r="BF475" s="1"/>
      <c r="BG475" s="1"/>
      <c r="BM475" s="1"/>
      <c r="BN475" s="1"/>
      <c r="BO475" s="1"/>
    </row>
    <row r="476" spans="22:67" s="17" customFormat="1" ht="22.5" customHeight="1" x14ac:dyDescent="0.25">
      <c r="V476" s="99"/>
      <c r="W476" s="99"/>
      <c r="AW476" s="1"/>
      <c r="AX476" s="1"/>
      <c r="AY476" s="1"/>
      <c r="BE476" s="1"/>
      <c r="BF476" s="1"/>
      <c r="BG476" s="1"/>
      <c r="BM476" s="1"/>
      <c r="BN476" s="1"/>
      <c r="BO476" s="1"/>
    </row>
    <row r="477" spans="22:67" s="17" customFormat="1" ht="22.5" customHeight="1" x14ac:dyDescent="0.25">
      <c r="V477" s="99"/>
      <c r="W477" s="99"/>
      <c r="AW477" s="1"/>
      <c r="AX477" s="1"/>
      <c r="AY477" s="1"/>
      <c r="BE477" s="1"/>
      <c r="BF477" s="1"/>
      <c r="BG477" s="1"/>
      <c r="BM477" s="1"/>
      <c r="BN477" s="1"/>
      <c r="BO477" s="1"/>
    </row>
    <row r="478" spans="22:67" s="17" customFormat="1" ht="22.5" customHeight="1" x14ac:dyDescent="0.25">
      <c r="V478" s="99"/>
      <c r="W478" s="99"/>
      <c r="AW478" s="1"/>
      <c r="AX478" s="1"/>
      <c r="AY478" s="1"/>
      <c r="BE478" s="1"/>
      <c r="BF478" s="1"/>
      <c r="BG478" s="1"/>
      <c r="BM478" s="1"/>
      <c r="BN478" s="1"/>
      <c r="BO478" s="1"/>
    </row>
    <row r="479" spans="22:67" s="17" customFormat="1" ht="22.5" customHeight="1" x14ac:dyDescent="0.25">
      <c r="V479" s="99"/>
      <c r="W479" s="99"/>
      <c r="AW479" s="1"/>
      <c r="AX479" s="1"/>
      <c r="AY479" s="1"/>
      <c r="BE479" s="1"/>
      <c r="BF479" s="1"/>
      <c r="BG479" s="1"/>
      <c r="BM479" s="1"/>
      <c r="BN479" s="1"/>
      <c r="BO479" s="1"/>
    </row>
    <row r="480" spans="22:67" s="17" customFormat="1" ht="22.5" customHeight="1" x14ac:dyDescent="0.25">
      <c r="V480" s="99"/>
      <c r="W480" s="99"/>
      <c r="AW480" s="1"/>
      <c r="AX480" s="1"/>
      <c r="AY480" s="1"/>
      <c r="BE480" s="1"/>
      <c r="BF480" s="1"/>
      <c r="BG480" s="1"/>
      <c r="BM480" s="1"/>
      <c r="BN480" s="1"/>
      <c r="BO480" s="1"/>
    </row>
    <row r="481" spans="22:67" s="17" customFormat="1" ht="22.5" customHeight="1" x14ac:dyDescent="0.25">
      <c r="V481" s="99"/>
      <c r="W481" s="99"/>
      <c r="AW481" s="1"/>
      <c r="AX481" s="1"/>
      <c r="AY481" s="1"/>
      <c r="BE481" s="1"/>
      <c r="BF481" s="1"/>
      <c r="BG481" s="1"/>
      <c r="BM481" s="1"/>
      <c r="BN481" s="1"/>
      <c r="BO481" s="1"/>
    </row>
    <row r="482" spans="22:67" s="17" customFormat="1" ht="22.5" customHeight="1" x14ac:dyDescent="0.25">
      <c r="V482" s="99"/>
      <c r="W482" s="99"/>
      <c r="AW482" s="1"/>
      <c r="AX482" s="1"/>
      <c r="AY482" s="1"/>
      <c r="BE482" s="1"/>
      <c r="BF482" s="1"/>
      <c r="BG482" s="1"/>
      <c r="BM482" s="1"/>
      <c r="BN482" s="1"/>
      <c r="BO482" s="1"/>
    </row>
    <row r="483" spans="22:67" s="17" customFormat="1" ht="22.5" customHeight="1" x14ac:dyDescent="0.25">
      <c r="V483" s="99"/>
      <c r="W483" s="99"/>
      <c r="AW483" s="1"/>
      <c r="AX483" s="1"/>
      <c r="AY483" s="1"/>
      <c r="BE483" s="1"/>
      <c r="BF483" s="1"/>
      <c r="BG483" s="1"/>
      <c r="BM483" s="1"/>
      <c r="BN483" s="1"/>
      <c r="BO483" s="1"/>
    </row>
    <row r="484" spans="22:67" s="17" customFormat="1" ht="22.5" customHeight="1" x14ac:dyDescent="0.25">
      <c r="V484" s="99"/>
      <c r="W484" s="99"/>
      <c r="AW484" s="1"/>
      <c r="AX484" s="1"/>
      <c r="AY484" s="1"/>
      <c r="BE484" s="1"/>
      <c r="BF484" s="1"/>
      <c r="BG484" s="1"/>
      <c r="BM484" s="1"/>
      <c r="BN484" s="1"/>
      <c r="BO484" s="1"/>
    </row>
    <row r="485" spans="22:67" s="17" customFormat="1" ht="22.5" customHeight="1" x14ac:dyDescent="0.25">
      <c r="V485" s="99"/>
      <c r="W485" s="99"/>
      <c r="AW485" s="1"/>
      <c r="AX485" s="1"/>
      <c r="AY485" s="1"/>
      <c r="BE485" s="1"/>
      <c r="BF485" s="1"/>
      <c r="BG485" s="1"/>
      <c r="BM485" s="1"/>
      <c r="BN485" s="1"/>
      <c r="BO485" s="1"/>
    </row>
    <row r="486" spans="22:67" s="17" customFormat="1" ht="22.5" customHeight="1" x14ac:dyDescent="0.25">
      <c r="V486" s="99"/>
      <c r="W486" s="99"/>
      <c r="AW486" s="1"/>
      <c r="AX486" s="1"/>
      <c r="AY486" s="1"/>
      <c r="BE486" s="1"/>
      <c r="BF486" s="1"/>
      <c r="BG486" s="1"/>
      <c r="BM486" s="1"/>
      <c r="BN486" s="1"/>
      <c r="BO486" s="1"/>
    </row>
    <row r="487" spans="22:67" s="17" customFormat="1" ht="22.5" customHeight="1" x14ac:dyDescent="0.25">
      <c r="V487" s="99"/>
      <c r="W487" s="99"/>
      <c r="AW487" s="1"/>
      <c r="AX487" s="1"/>
      <c r="AY487" s="1"/>
      <c r="BE487" s="1"/>
      <c r="BF487" s="1"/>
      <c r="BG487" s="1"/>
      <c r="BM487" s="1"/>
      <c r="BN487" s="1"/>
      <c r="BO487" s="1"/>
    </row>
    <row r="488" spans="22:67" s="17" customFormat="1" ht="22.5" customHeight="1" x14ac:dyDescent="0.25">
      <c r="V488" s="99"/>
      <c r="W488" s="99"/>
      <c r="AW488" s="1"/>
      <c r="AX488" s="1"/>
      <c r="AY488" s="1"/>
      <c r="BE488" s="1"/>
      <c r="BF488" s="1"/>
      <c r="BG488" s="1"/>
      <c r="BM488" s="1"/>
      <c r="BN488" s="1"/>
      <c r="BO488" s="1"/>
    </row>
    <row r="489" spans="22:67" s="17" customFormat="1" ht="22.5" customHeight="1" x14ac:dyDescent="0.25">
      <c r="V489" s="99"/>
      <c r="W489" s="99"/>
      <c r="AW489" s="1"/>
      <c r="AX489" s="1"/>
      <c r="AY489" s="1"/>
      <c r="BE489" s="1"/>
      <c r="BF489" s="1"/>
      <c r="BG489" s="1"/>
      <c r="BM489" s="1"/>
      <c r="BN489" s="1"/>
      <c r="BO489" s="1"/>
    </row>
    <row r="490" spans="22:67" s="17" customFormat="1" ht="22.5" customHeight="1" x14ac:dyDescent="0.25">
      <c r="V490" s="99"/>
      <c r="W490" s="99"/>
      <c r="AW490" s="1"/>
      <c r="AX490" s="1"/>
      <c r="AY490" s="1"/>
      <c r="BE490" s="1"/>
      <c r="BF490" s="1"/>
      <c r="BG490" s="1"/>
      <c r="BM490" s="1"/>
      <c r="BN490" s="1"/>
      <c r="BO490" s="1"/>
    </row>
    <row r="491" spans="22:67" s="17" customFormat="1" ht="22.5" customHeight="1" x14ac:dyDescent="0.25">
      <c r="V491" s="99"/>
      <c r="W491" s="99"/>
      <c r="AW491" s="1"/>
      <c r="AX491" s="1"/>
      <c r="AY491" s="1"/>
      <c r="BE491" s="1"/>
      <c r="BF491" s="1"/>
      <c r="BG491" s="1"/>
      <c r="BM491" s="1"/>
      <c r="BN491" s="1"/>
      <c r="BO491" s="1"/>
    </row>
    <row r="492" spans="22:67" s="17" customFormat="1" ht="22.5" customHeight="1" x14ac:dyDescent="0.25">
      <c r="V492" s="99"/>
      <c r="W492" s="99"/>
      <c r="AW492" s="1"/>
      <c r="AX492" s="1"/>
      <c r="AY492" s="1"/>
      <c r="BE492" s="1"/>
      <c r="BF492" s="1"/>
      <c r="BG492" s="1"/>
      <c r="BM492" s="1"/>
      <c r="BN492" s="1"/>
      <c r="BO492" s="1"/>
    </row>
    <row r="493" spans="22:67" s="17" customFormat="1" ht="22.5" customHeight="1" x14ac:dyDescent="0.25">
      <c r="V493" s="99"/>
      <c r="W493" s="99"/>
      <c r="AW493" s="1"/>
      <c r="AX493" s="1"/>
      <c r="AY493" s="1"/>
      <c r="BE493" s="1"/>
      <c r="BF493" s="1"/>
      <c r="BG493" s="1"/>
      <c r="BM493" s="1"/>
      <c r="BN493" s="1"/>
      <c r="BO493" s="1"/>
    </row>
    <row r="494" spans="22:67" s="17" customFormat="1" ht="22.5" customHeight="1" x14ac:dyDescent="0.25">
      <c r="V494" s="99"/>
      <c r="W494" s="99"/>
      <c r="AW494" s="1"/>
      <c r="AX494" s="1"/>
      <c r="AY494" s="1"/>
      <c r="BE494" s="1"/>
      <c r="BF494" s="1"/>
      <c r="BG494" s="1"/>
      <c r="BM494" s="1"/>
      <c r="BN494" s="1"/>
      <c r="BO494" s="1"/>
    </row>
    <row r="495" spans="22:67" s="17" customFormat="1" ht="22.5" customHeight="1" x14ac:dyDescent="0.25">
      <c r="V495" s="99"/>
      <c r="W495" s="99"/>
      <c r="AW495" s="1"/>
      <c r="AX495" s="1"/>
      <c r="AY495" s="1"/>
      <c r="BE495" s="1"/>
      <c r="BF495" s="1"/>
      <c r="BG495" s="1"/>
      <c r="BM495" s="1"/>
      <c r="BN495" s="1"/>
      <c r="BO495" s="1"/>
    </row>
    <row r="496" spans="22:67" s="17" customFormat="1" ht="22.5" customHeight="1" x14ac:dyDescent="0.25">
      <c r="V496" s="99"/>
      <c r="W496" s="99"/>
      <c r="AW496" s="1"/>
      <c r="AX496" s="1"/>
      <c r="AY496" s="1"/>
      <c r="BE496" s="1"/>
      <c r="BF496" s="1"/>
      <c r="BG496" s="1"/>
      <c r="BM496" s="1"/>
      <c r="BN496" s="1"/>
      <c r="BO496" s="1"/>
    </row>
    <row r="497" spans="22:67" s="17" customFormat="1" ht="22.5" customHeight="1" x14ac:dyDescent="0.25">
      <c r="V497" s="99"/>
      <c r="W497" s="99"/>
      <c r="AW497" s="1"/>
      <c r="AX497" s="1"/>
      <c r="AY497" s="1"/>
      <c r="BE497" s="1"/>
      <c r="BF497" s="1"/>
      <c r="BG497" s="1"/>
      <c r="BM497" s="1"/>
      <c r="BN497" s="1"/>
      <c r="BO497" s="1"/>
    </row>
    <row r="498" spans="22:67" s="17" customFormat="1" ht="22.5" customHeight="1" x14ac:dyDescent="0.25">
      <c r="V498" s="99"/>
      <c r="W498" s="99"/>
      <c r="AW498" s="1"/>
      <c r="AX498" s="1"/>
      <c r="AY498" s="1"/>
      <c r="BE498" s="1"/>
      <c r="BF498" s="1"/>
      <c r="BG498" s="1"/>
      <c r="BM498" s="1"/>
      <c r="BN498" s="1"/>
      <c r="BO498" s="1"/>
    </row>
    <row r="499" spans="22:67" s="17" customFormat="1" ht="22.5" customHeight="1" x14ac:dyDescent="0.25">
      <c r="V499" s="99"/>
      <c r="W499" s="99"/>
      <c r="AW499" s="1"/>
      <c r="AX499" s="1"/>
      <c r="AY499" s="1"/>
      <c r="BE499" s="1"/>
      <c r="BF499" s="1"/>
      <c r="BG499" s="1"/>
      <c r="BM499" s="1"/>
      <c r="BN499" s="1"/>
      <c r="BO499" s="1"/>
    </row>
    <row r="500" spans="22:67" s="17" customFormat="1" ht="22.5" customHeight="1" x14ac:dyDescent="0.25">
      <c r="V500" s="99"/>
      <c r="W500" s="99"/>
      <c r="AW500" s="1"/>
      <c r="AX500" s="1"/>
      <c r="AY500" s="1"/>
      <c r="BE500" s="1"/>
      <c r="BF500" s="1"/>
      <c r="BG500" s="1"/>
      <c r="BM500" s="1"/>
      <c r="BN500" s="1"/>
      <c r="BO500" s="1"/>
    </row>
    <row r="501" spans="22:67" s="17" customFormat="1" ht="22.5" customHeight="1" x14ac:dyDescent="0.25">
      <c r="V501" s="99"/>
      <c r="W501" s="99"/>
      <c r="AW501" s="1"/>
      <c r="AX501" s="1"/>
      <c r="AY501" s="1"/>
      <c r="BE501" s="1"/>
      <c r="BF501" s="1"/>
      <c r="BG501" s="1"/>
      <c r="BM501" s="1"/>
      <c r="BN501" s="1"/>
      <c r="BO501" s="1"/>
    </row>
    <row r="502" spans="22:67" s="17" customFormat="1" ht="22.5" customHeight="1" x14ac:dyDescent="0.25">
      <c r="V502" s="99"/>
      <c r="W502" s="99"/>
      <c r="AW502" s="1"/>
      <c r="AX502" s="1"/>
      <c r="AY502" s="1"/>
      <c r="BE502" s="1"/>
      <c r="BF502" s="1"/>
      <c r="BG502" s="1"/>
      <c r="BM502" s="1"/>
      <c r="BN502" s="1"/>
      <c r="BO502" s="1"/>
    </row>
    <row r="503" spans="22:67" s="17" customFormat="1" ht="22.5" customHeight="1" x14ac:dyDescent="0.25">
      <c r="V503" s="99"/>
      <c r="W503" s="99"/>
      <c r="AW503" s="1"/>
      <c r="AX503" s="1"/>
      <c r="AY503" s="1"/>
      <c r="BE503" s="1"/>
      <c r="BF503" s="1"/>
      <c r="BG503" s="1"/>
      <c r="BM503" s="1"/>
      <c r="BN503" s="1"/>
      <c r="BO503" s="1"/>
    </row>
    <row r="504" spans="22:67" s="17" customFormat="1" ht="22.5" customHeight="1" x14ac:dyDescent="0.25">
      <c r="V504" s="99"/>
      <c r="W504" s="99"/>
      <c r="AW504" s="1"/>
      <c r="AX504" s="1"/>
      <c r="AY504" s="1"/>
      <c r="BE504" s="1"/>
      <c r="BF504" s="1"/>
      <c r="BG504" s="1"/>
      <c r="BM504" s="1"/>
      <c r="BN504" s="1"/>
      <c r="BO504" s="1"/>
    </row>
    <row r="505" spans="22:67" s="17" customFormat="1" ht="22.5" customHeight="1" x14ac:dyDescent="0.25">
      <c r="V505" s="99"/>
      <c r="W505" s="99"/>
      <c r="AW505" s="1"/>
      <c r="AX505" s="1"/>
      <c r="AY505" s="1"/>
      <c r="BE505" s="1"/>
      <c r="BF505" s="1"/>
      <c r="BG505" s="1"/>
      <c r="BM505" s="1"/>
      <c r="BN505" s="1"/>
      <c r="BO505" s="1"/>
    </row>
    <row r="506" spans="22:67" s="17" customFormat="1" ht="22.5" customHeight="1" x14ac:dyDescent="0.25">
      <c r="V506" s="99"/>
      <c r="W506" s="99"/>
      <c r="AW506" s="1"/>
      <c r="AX506" s="1"/>
      <c r="AY506" s="1"/>
      <c r="BE506" s="1"/>
      <c r="BF506" s="1"/>
      <c r="BG506" s="1"/>
      <c r="BM506" s="1"/>
      <c r="BN506" s="1"/>
      <c r="BO506" s="1"/>
    </row>
    <row r="507" spans="22:67" s="17" customFormat="1" ht="22.5" customHeight="1" x14ac:dyDescent="0.25">
      <c r="V507" s="99"/>
      <c r="W507" s="99"/>
      <c r="AW507" s="1"/>
      <c r="AX507" s="1"/>
      <c r="AY507" s="1"/>
      <c r="BE507" s="1"/>
      <c r="BF507" s="1"/>
      <c r="BG507" s="1"/>
      <c r="BM507" s="1"/>
      <c r="BN507" s="1"/>
      <c r="BO507" s="1"/>
    </row>
    <row r="508" spans="22:67" s="17" customFormat="1" ht="22.5" customHeight="1" x14ac:dyDescent="0.25">
      <c r="V508" s="99"/>
      <c r="W508" s="99"/>
      <c r="AW508" s="1"/>
      <c r="AX508" s="1"/>
      <c r="AY508" s="1"/>
      <c r="BE508" s="1"/>
      <c r="BF508" s="1"/>
      <c r="BG508" s="1"/>
      <c r="BM508" s="1"/>
      <c r="BN508" s="1"/>
      <c r="BO508" s="1"/>
    </row>
    <row r="509" spans="22:67" s="17" customFormat="1" ht="22.5" customHeight="1" x14ac:dyDescent="0.25">
      <c r="V509" s="99"/>
      <c r="W509" s="99"/>
      <c r="AW509" s="1"/>
      <c r="AX509" s="1"/>
      <c r="AY509" s="1"/>
      <c r="BE509" s="1"/>
      <c r="BF509" s="1"/>
      <c r="BG509" s="1"/>
      <c r="BM509" s="1"/>
      <c r="BN509" s="1"/>
      <c r="BO509" s="1"/>
    </row>
    <row r="510" spans="22:67" s="17" customFormat="1" ht="22.5" customHeight="1" x14ac:dyDescent="0.25">
      <c r="V510" s="99"/>
      <c r="W510" s="99"/>
      <c r="AW510" s="1"/>
      <c r="AX510" s="1"/>
      <c r="AY510" s="1"/>
      <c r="BE510" s="1"/>
      <c r="BF510" s="1"/>
      <c r="BG510" s="1"/>
      <c r="BM510" s="1"/>
      <c r="BN510" s="1"/>
      <c r="BO510" s="1"/>
    </row>
    <row r="511" spans="22:67" s="17" customFormat="1" ht="22.5" customHeight="1" x14ac:dyDescent="0.25">
      <c r="V511" s="99"/>
      <c r="W511" s="99"/>
      <c r="AW511" s="1"/>
      <c r="AX511" s="1"/>
      <c r="AY511" s="1"/>
      <c r="BE511" s="1"/>
      <c r="BF511" s="1"/>
      <c r="BG511" s="1"/>
      <c r="BM511" s="1"/>
      <c r="BN511" s="1"/>
      <c r="BO511" s="1"/>
    </row>
    <row r="512" spans="22:67" s="17" customFormat="1" ht="22.5" customHeight="1" x14ac:dyDescent="0.25">
      <c r="V512" s="99"/>
      <c r="W512" s="99"/>
      <c r="AW512" s="1"/>
      <c r="AX512" s="1"/>
      <c r="AY512" s="1"/>
      <c r="BE512" s="1"/>
      <c r="BF512" s="1"/>
      <c r="BG512" s="1"/>
      <c r="BM512" s="1"/>
      <c r="BN512" s="1"/>
      <c r="BO512" s="1"/>
    </row>
    <row r="513" spans="22:67" s="17" customFormat="1" ht="22.5" customHeight="1" x14ac:dyDescent="0.25">
      <c r="V513" s="99"/>
      <c r="W513" s="99"/>
      <c r="AW513" s="1"/>
      <c r="AX513" s="1"/>
      <c r="AY513" s="1"/>
      <c r="BE513" s="1"/>
      <c r="BF513" s="1"/>
      <c r="BG513" s="1"/>
      <c r="BM513" s="1"/>
      <c r="BN513" s="1"/>
      <c r="BO513" s="1"/>
    </row>
    <row r="514" spans="22:67" s="17" customFormat="1" ht="22.5" customHeight="1" x14ac:dyDescent="0.25">
      <c r="V514" s="99"/>
      <c r="W514" s="99"/>
      <c r="AW514" s="1"/>
      <c r="AX514" s="1"/>
      <c r="AY514" s="1"/>
      <c r="BE514" s="1"/>
      <c r="BF514" s="1"/>
      <c r="BG514" s="1"/>
      <c r="BM514" s="1"/>
      <c r="BN514" s="1"/>
      <c r="BO514" s="1"/>
    </row>
    <row r="515" spans="22:67" s="17" customFormat="1" ht="22.5" customHeight="1" x14ac:dyDescent="0.25">
      <c r="V515" s="99"/>
      <c r="W515" s="99"/>
      <c r="AW515" s="1"/>
      <c r="AX515" s="1"/>
      <c r="AY515" s="1"/>
      <c r="BE515" s="1"/>
      <c r="BF515" s="1"/>
      <c r="BG515" s="1"/>
      <c r="BM515" s="1"/>
      <c r="BN515" s="1"/>
      <c r="BO515" s="1"/>
    </row>
    <row r="516" spans="22:67" s="17" customFormat="1" ht="22.5" customHeight="1" x14ac:dyDescent="0.25">
      <c r="V516" s="99"/>
      <c r="W516" s="99"/>
      <c r="AW516" s="1"/>
      <c r="AX516" s="1"/>
      <c r="AY516" s="1"/>
      <c r="BE516" s="1"/>
      <c r="BF516" s="1"/>
      <c r="BG516" s="1"/>
      <c r="BM516" s="1"/>
      <c r="BN516" s="1"/>
      <c r="BO516" s="1"/>
    </row>
    <row r="517" spans="22:67" s="17" customFormat="1" ht="22.5" customHeight="1" x14ac:dyDescent="0.25">
      <c r="V517" s="99"/>
      <c r="W517" s="99"/>
      <c r="AW517" s="1"/>
      <c r="AX517" s="1"/>
      <c r="AY517" s="1"/>
      <c r="BE517" s="1"/>
      <c r="BF517" s="1"/>
      <c r="BG517" s="1"/>
      <c r="BM517" s="1"/>
      <c r="BN517" s="1"/>
      <c r="BO517" s="1"/>
    </row>
    <row r="518" spans="22:67" s="17" customFormat="1" ht="22.5" customHeight="1" x14ac:dyDescent="0.25">
      <c r="V518" s="99"/>
      <c r="W518" s="99"/>
      <c r="AW518" s="1"/>
      <c r="AX518" s="1"/>
      <c r="AY518" s="1"/>
      <c r="BE518" s="1"/>
      <c r="BF518" s="1"/>
      <c r="BG518" s="1"/>
      <c r="BM518" s="1"/>
      <c r="BN518" s="1"/>
      <c r="BO518" s="1"/>
    </row>
    <row r="519" spans="22:67" s="17" customFormat="1" ht="22.5" customHeight="1" x14ac:dyDescent="0.25">
      <c r="V519" s="99"/>
      <c r="W519" s="99"/>
      <c r="AW519" s="1"/>
      <c r="AX519" s="1"/>
      <c r="AY519" s="1"/>
      <c r="BE519" s="1"/>
      <c r="BF519" s="1"/>
      <c r="BG519" s="1"/>
      <c r="BM519" s="1"/>
      <c r="BN519" s="1"/>
      <c r="BO519" s="1"/>
    </row>
    <row r="520" spans="22:67" s="17" customFormat="1" ht="22.5" customHeight="1" x14ac:dyDescent="0.25">
      <c r="V520" s="99"/>
      <c r="W520" s="99"/>
      <c r="AW520" s="1"/>
      <c r="AX520" s="1"/>
      <c r="AY520" s="1"/>
      <c r="BE520" s="1"/>
      <c r="BF520" s="1"/>
      <c r="BG520" s="1"/>
      <c r="BM520" s="1"/>
      <c r="BN520" s="1"/>
      <c r="BO520" s="1"/>
    </row>
    <row r="521" spans="22:67" s="17" customFormat="1" ht="22.5" customHeight="1" x14ac:dyDescent="0.25">
      <c r="V521" s="99"/>
      <c r="W521" s="99"/>
      <c r="AW521" s="1"/>
      <c r="AX521" s="1"/>
      <c r="AY521" s="1"/>
      <c r="BE521" s="1"/>
      <c r="BF521" s="1"/>
      <c r="BG521" s="1"/>
      <c r="BM521" s="1"/>
      <c r="BN521" s="1"/>
      <c r="BO521" s="1"/>
    </row>
    <row r="522" spans="22:67" s="17" customFormat="1" ht="22.5" customHeight="1" x14ac:dyDescent="0.25">
      <c r="V522" s="99"/>
      <c r="W522" s="99"/>
      <c r="AW522" s="1"/>
      <c r="AX522" s="1"/>
      <c r="AY522" s="1"/>
      <c r="BE522" s="1"/>
      <c r="BF522" s="1"/>
      <c r="BG522" s="1"/>
      <c r="BM522" s="1"/>
      <c r="BN522" s="1"/>
      <c r="BO522" s="1"/>
    </row>
    <row r="523" spans="22:67" s="17" customFormat="1" ht="22.5" customHeight="1" x14ac:dyDescent="0.25">
      <c r="V523" s="99"/>
      <c r="W523" s="99"/>
      <c r="AW523" s="1"/>
      <c r="AX523" s="1"/>
      <c r="AY523" s="1"/>
      <c r="BE523" s="1"/>
      <c r="BF523" s="1"/>
      <c r="BG523" s="1"/>
      <c r="BM523" s="1"/>
      <c r="BN523" s="1"/>
      <c r="BO523" s="1"/>
    </row>
    <row r="524" spans="22:67" s="17" customFormat="1" ht="22.5" customHeight="1" x14ac:dyDescent="0.25">
      <c r="V524" s="99"/>
      <c r="W524" s="99"/>
      <c r="AW524" s="1"/>
      <c r="AX524" s="1"/>
      <c r="AY524" s="1"/>
      <c r="BE524" s="1"/>
      <c r="BF524" s="1"/>
      <c r="BG524" s="1"/>
      <c r="BM524" s="1"/>
      <c r="BN524" s="1"/>
      <c r="BO524" s="1"/>
    </row>
    <row r="525" spans="22:67" s="17" customFormat="1" ht="22.5" customHeight="1" x14ac:dyDescent="0.25">
      <c r="V525" s="99"/>
      <c r="W525" s="99"/>
      <c r="AW525" s="1"/>
      <c r="AX525" s="1"/>
      <c r="AY525" s="1"/>
      <c r="BE525" s="1"/>
      <c r="BF525" s="1"/>
      <c r="BG525" s="1"/>
      <c r="BM525" s="1"/>
      <c r="BN525" s="1"/>
      <c r="BO525" s="1"/>
    </row>
    <row r="526" spans="22:67" s="17" customFormat="1" ht="22.5" customHeight="1" x14ac:dyDescent="0.25">
      <c r="V526" s="99"/>
      <c r="W526" s="99"/>
      <c r="AW526" s="1"/>
      <c r="AX526" s="1"/>
      <c r="AY526" s="1"/>
      <c r="BE526" s="1"/>
      <c r="BF526" s="1"/>
      <c r="BG526" s="1"/>
      <c r="BM526" s="1"/>
      <c r="BN526" s="1"/>
      <c r="BO526" s="1"/>
    </row>
    <row r="527" spans="22:67" s="17" customFormat="1" ht="22.5" customHeight="1" x14ac:dyDescent="0.25">
      <c r="V527" s="99"/>
      <c r="W527" s="99"/>
      <c r="AW527" s="1"/>
      <c r="AX527" s="1"/>
      <c r="AY527" s="1"/>
      <c r="BE527" s="1"/>
      <c r="BF527" s="1"/>
      <c r="BG527" s="1"/>
      <c r="BM527" s="1"/>
      <c r="BN527" s="1"/>
      <c r="BO527" s="1"/>
    </row>
    <row r="528" spans="22:67" s="17" customFormat="1" ht="22.5" customHeight="1" x14ac:dyDescent="0.25">
      <c r="V528" s="99"/>
      <c r="W528" s="99"/>
      <c r="AW528" s="1"/>
      <c r="AX528" s="1"/>
      <c r="AY528" s="1"/>
      <c r="BE528" s="1"/>
      <c r="BF528" s="1"/>
      <c r="BG528" s="1"/>
      <c r="BM528" s="1"/>
      <c r="BN528" s="1"/>
      <c r="BO528" s="1"/>
    </row>
    <row r="529" spans="22:67" s="17" customFormat="1" ht="22.5" customHeight="1" x14ac:dyDescent="0.25">
      <c r="V529" s="99"/>
      <c r="W529" s="99"/>
      <c r="AW529" s="1"/>
      <c r="AX529" s="1"/>
      <c r="AY529" s="1"/>
      <c r="BE529" s="1"/>
      <c r="BF529" s="1"/>
      <c r="BG529" s="1"/>
      <c r="BM529" s="1"/>
      <c r="BN529" s="1"/>
      <c r="BO529" s="1"/>
    </row>
    <row r="530" spans="22:67" s="17" customFormat="1" ht="22.5" customHeight="1" x14ac:dyDescent="0.25">
      <c r="V530" s="99"/>
      <c r="W530" s="99"/>
      <c r="AW530" s="1"/>
      <c r="AX530" s="1"/>
      <c r="AY530" s="1"/>
      <c r="BE530" s="1"/>
      <c r="BF530" s="1"/>
      <c r="BG530" s="1"/>
      <c r="BM530" s="1"/>
      <c r="BN530" s="1"/>
      <c r="BO530" s="1"/>
    </row>
    <row r="531" spans="22:67" s="17" customFormat="1" ht="22.5" customHeight="1" x14ac:dyDescent="0.25">
      <c r="V531" s="99"/>
      <c r="W531" s="99"/>
      <c r="AW531" s="1"/>
      <c r="AX531" s="1"/>
      <c r="AY531" s="1"/>
      <c r="BE531" s="1"/>
      <c r="BF531" s="1"/>
      <c r="BG531" s="1"/>
      <c r="BM531" s="1"/>
      <c r="BN531" s="1"/>
      <c r="BO531" s="1"/>
    </row>
    <row r="532" spans="22:67" s="17" customFormat="1" ht="22.5" customHeight="1" x14ac:dyDescent="0.25">
      <c r="V532" s="99"/>
      <c r="W532" s="99"/>
      <c r="AW532" s="1"/>
      <c r="AX532" s="1"/>
      <c r="AY532" s="1"/>
      <c r="BE532" s="1"/>
      <c r="BF532" s="1"/>
      <c r="BG532" s="1"/>
      <c r="BM532" s="1"/>
      <c r="BN532" s="1"/>
      <c r="BO532" s="1"/>
    </row>
    <row r="533" spans="22:67" s="17" customFormat="1" ht="22.5" customHeight="1" x14ac:dyDescent="0.25">
      <c r="V533" s="99"/>
      <c r="W533" s="99"/>
      <c r="AW533" s="1"/>
      <c r="AX533" s="1"/>
      <c r="AY533" s="1"/>
      <c r="BE533" s="1"/>
      <c r="BF533" s="1"/>
      <c r="BG533" s="1"/>
      <c r="BM533" s="1"/>
      <c r="BN533" s="1"/>
      <c r="BO533" s="1"/>
    </row>
    <row r="534" spans="22:67" s="17" customFormat="1" ht="22.5" customHeight="1" x14ac:dyDescent="0.25">
      <c r="V534" s="99"/>
      <c r="W534" s="99"/>
      <c r="AW534" s="1"/>
      <c r="AX534" s="1"/>
      <c r="AY534" s="1"/>
      <c r="BE534" s="1"/>
      <c r="BF534" s="1"/>
      <c r="BG534" s="1"/>
      <c r="BM534" s="1"/>
      <c r="BN534" s="1"/>
      <c r="BO534" s="1"/>
    </row>
    <row r="535" spans="22:67" s="17" customFormat="1" ht="22.5" customHeight="1" x14ac:dyDescent="0.25">
      <c r="V535" s="99"/>
      <c r="W535" s="99"/>
      <c r="AW535" s="1"/>
      <c r="AX535" s="1"/>
      <c r="AY535" s="1"/>
      <c r="BE535" s="1"/>
      <c r="BF535" s="1"/>
      <c r="BG535" s="1"/>
      <c r="BM535" s="1"/>
      <c r="BN535" s="1"/>
      <c r="BO535" s="1"/>
    </row>
    <row r="536" spans="22:67" s="17" customFormat="1" ht="22.5" customHeight="1" x14ac:dyDescent="0.25">
      <c r="V536" s="99"/>
      <c r="W536" s="99"/>
      <c r="AW536" s="1"/>
      <c r="AX536" s="1"/>
      <c r="AY536" s="1"/>
      <c r="BE536" s="1"/>
      <c r="BF536" s="1"/>
      <c r="BG536" s="1"/>
      <c r="BM536" s="1"/>
      <c r="BN536" s="1"/>
      <c r="BO536" s="1"/>
    </row>
    <row r="537" spans="22:67" s="17" customFormat="1" ht="22.5" customHeight="1" x14ac:dyDescent="0.25">
      <c r="V537" s="99"/>
      <c r="W537" s="99"/>
      <c r="AW537" s="1"/>
      <c r="AX537" s="1"/>
      <c r="AY537" s="1"/>
      <c r="BE537" s="1"/>
      <c r="BF537" s="1"/>
      <c r="BG537" s="1"/>
      <c r="BM537" s="1"/>
      <c r="BN537" s="1"/>
      <c r="BO537" s="1"/>
    </row>
    <row r="538" spans="22:67" s="17" customFormat="1" ht="22.5" customHeight="1" x14ac:dyDescent="0.25">
      <c r="V538" s="99"/>
      <c r="W538" s="99"/>
      <c r="AW538" s="1"/>
      <c r="AX538" s="1"/>
      <c r="AY538" s="1"/>
      <c r="BE538" s="1"/>
      <c r="BF538" s="1"/>
      <c r="BG538" s="1"/>
      <c r="BM538" s="1"/>
      <c r="BN538" s="1"/>
      <c r="BO538" s="1"/>
    </row>
    <row r="539" spans="22:67" s="17" customFormat="1" ht="22.5" customHeight="1" x14ac:dyDescent="0.25">
      <c r="V539" s="99"/>
      <c r="W539" s="99"/>
      <c r="AW539" s="1"/>
      <c r="AX539" s="1"/>
      <c r="AY539" s="1"/>
      <c r="BE539" s="1"/>
      <c r="BF539" s="1"/>
      <c r="BG539" s="1"/>
      <c r="BM539" s="1"/>
      <c r="BN539" s="1"/>
      <c r="BO539" s="1"/>
    </row>
    <row r="540" spans="22:67" s="17" customFormat="1" ht="22.5" customHeight="1" x14ac:dyDescent="0.25">
      <c r="V540" s="99"/>
      <c r="W540" s="99"/>
      <c r="AW540" s="1"/>
      <c r="AX540" s="1"/>
      <c r="AY540" s="1"/>
      <c r="BE540" s="1"/>
      <c r="BF540" s="1"/>
      <c r="BG540" s="1"/>
      <c r="BM540" s="1"/>
      <c r="BN540" s="1"/>
      <c r="BO540" s="1"/>
    </row>
    <row r="541" spans="22:67" s="17" customFormat="1" ht="22.5" customHeight="1" x14ac:dyDescent="0.25">
      <c r="V541" s="99"/>
      <c r="W541" s="99"/>
      <c r="AW541" s="1"/>
      <c r="AX541" s="1"/>
      <c r="AY541" s="1"/>
      <c r="BE541" s="1"/>
      <c r="BF541" s="1"/>
      <c r="BG541" s="1"/>
      <c r="BM541" s="1"/>
      <c r="BN541" s="1"/>
      <c r="BO541" s="1"/>
    </row>
    <row r="542" spans="22:67" s="17" customFormat="1" ht="22.5" customHeight="1" x14ac:dyDescent="0.25">
      <c r="V542" s="99"/>
      <c r="W542" s="99"/>
      <c r="AW542" s="1"/>
      <c r="AX542" s="1"/>
      <c r="AY542" s="1"/>
      <c r="BE542" s="1"/>
      <c r="BF542" s="1"/>
      <c r="BG542" s="1"/>
      <c r="BM542" s="1"/>
      <c r="BN542" s="1"/>
      <c r="BO542" s="1"/>
    </row>
    <row r="543" spans="22:67" s="17" customFormat="1" ht="22.5" customHeight="1" x14ac:dyDescent="0.25">
      <c r="V543" s="99"/>
      <c r="W543" s="99"/>
      <c r="AW543" s="1"/>
      <c r="AX543" s="1"/>
      <c r="AY543" s="1"/>
      <c r="BE543" s="1"/>
      <c r="BF543" s="1"/>
      <c r="BG543" s="1"/>
      <c r="BM543" s="1"/>
      <c r="BN543" s="1"/>
      <c r="BO543" s="1"/>
    </row>
    <row r="544" spans="22:67" s="17" customFormat="1" ht="22.5" customHeight="1" x14ac:dyDescent="0.25">
      <c r="V544" s="99"/>
      <c r="W544" s="99"/>
      <c r="AW544" s="1"/>
      <c r="AX544" s="1"/>
      <c r="AY544" s="1"/>
      <c r="BE544" s="1"/>
      <c r="BF544" s="1"/>
      <c r="BG544" s="1"/>
      <c r="BM544" s="1"/>
      <c r="BN544" s="1"/>
      <c r="BO544" s="1"/>
    </row>
    <row r="545" spans="22:67" s="17" customFormat="1" ht="22.5" customHeight="1" x14ac:dyDescent="0.25">
      <c r="V545" s="99"/>
      <c r="W545" s="99"/>
      <c r="AW545" s="1"/>
      <c r="AX545" s="1"/>
      <c r="AY545" s="1"/>
      <c r="BE545" s="1"/>
      <c r="BF545" s="1"/>
      <c r="BG545" s="1"/>
      <c r="BM545" s="1"/>
      <c r="BN545" s="1"/>
      <c r="BO545" s="1"/>
    </row>
    <row r="546" spans="22:67" s="17" customFormat="1" ht="22.5" customHeight="1" x14ac:dyDescent="0.25">
      <c r="V546" s="99"/>
      <c r="W546" s="99"/>
      <c r="AW546" s="1"/>
      <c r="AX546" s="1"/>
      <c r="AY546" s="1"/>
      <c r="BE546" s="1"/>
      <c r="BF546" s="1"/>
      <c r="BG546" s="1"/>
      <c r="BM546" s="1"/>
      <c r="BN546" s="1"/>
      <c r="BO546" s="1"/>
    </row>
    <row r="547" spans="22:67" s="17" customFormat="1" ht="22.5" customHeight="1" x14ac:dyDescent="0.25">
      <c r="V547" s="99"/>
      <c r="W547" s="99"/>
      <c r="AW547" s="1"/>
      <c r="AX547" s="1"/>
      <c r="AY547" s="1"/>
      <c r="BE547" s="1"/>
      <c r="BF547" s="1"/>
      <c r="BG547" s="1"/>
      <c r="BM547" s="1"/>
      <c r="BN547" s="1"/>
      <c r="BO547" s="1"/>
    </row>
    <row r="548" spans="22:67" s="17" customFormat="1" ht="22.5" customHeight="1" x14ac:dyDescent="0.25">
      <c r="V548" s="99"/>
      <c r="W548" s="99"/>
      <c r="AW548" s="1"/>
      <c r="AX548" s="1"/>
      <c r="AY548" s="1"/>
      <c r="BE548" s="1"/>
      <c r="BF548" s="1"/>
      <c r="BG548" s="1"/>
      <c r="BM548" s="1"/>
      <c r="BN548" s="1"/>
      <c r="BO548" s="1"/>
    </row>
    <row r="549" spans="22:67" s="17" customFormat="1" ht="22.5" customHeight="1" x14ac:dyDescent="0.25">
      <c r="V549" s="99"/>
      <c r="W549" s="99"/>
      <c r="AW549" s="1"/>
      <c r="AX549" s="1"/>
      <c r="AY549" s="1"/>
      <c r="BE549" s="1"/>
      <c r="BF549" s="1"/>
      <c r="BG549" s="1"/>
      <c r="BM549" s="1"/>
      <c r="BN549" s="1"/>
      <c r="BO549" s="1"/>
    </row>
    <row r="550" spans="22:67" s="17" customFormat="1" ht="22.5" customHeight="1" x14ac:dyDescent="0.25">
      <c r="V550" s="99"/>
      <c r="W550" s="99"/>
      <c r="AW550" s="1"/>
      <c r="AX550" s="1"/>
      <c r="AY550" s="1"/>
      <c r="BE550" s="1"/>
      <c r="BF550" s="1"/>
      <c r="BG550" s="1"/>
      <c r="BM550" s="1"/>
      <c r="BN550" s="1"/>
      <c r="BO550" s="1"/>
    </row>
    <row r="551" spans="22:67" s="17" customFormat="1" ht="22.5" customHeight="1" x14ac:dyDescent="0.25">
      <c r="V551" s="99"/>
      <c r="W551" s="99"/>
      <c r="AW551" s="1"/>
      <c r="AX551" s="1"/>
      <c r="AY551" s="1"/>
      <c r="BE551" s="1"/>
      <c r="BF551" s="1"/>
      <c r="BG551" s="1"/>
      <c r="BM551" s="1"/>
      <c r="BN551" s="1"/>
      <c r="BO551" s="1"/>
    </row>
    <row r="552" spans="22:67" s="17" customFormat="1" ht="22.5" customHeight="1" x14ac:dyDescent="0.25">
      <c r="V552" s="99"/>
      <c r="W552" s="99"/>
      <c r="AW552" s="1"/>
      <c r="AX552" s="1"/>
      <c r="AY552" s="1"/>
      <c r="BE552" s="1"/>
      <c r="BF552" s="1"/>
      <c r="BG552" s="1"/>
      <c r="BM552" s="1"/>
      <c r="BN552" s="1"/>
      <c r="BO552" s="1"/>
    </row>
    <row r="553" spans="22:67" s="17" customFormat="1" ht="22.5" customHeight="1" x14ac:dyDescent="0.25">
      <c r="V553" s="99"/>
      <c r="W553" s="99"/>
      <c r="AW553" s="1"/>
      <c r="AX553" s="1"/>
      <c r="AY553" s="1"/>
      <c r="BE553" s="1"/>
      <c r="BF553" s="1"/>
      <c r="BG553" s="1"/>
      <c r="BM553" s="1"/>
      <c r="BN553" s="1"/>
      <c r="BO553" s="1"/>
    </row>
    <row r="554" spans="22:67" s="17" customFormat="1" ht="22.5" customHeight="1" x14ac:dyDescent="0.25">
      <c r="V554" s="99"/>
      <c r="W554" s="99"/>
      <c r="AW554" s="1"/>
      <c r="AX554" s="1"/>
      <c r="AY554" s="1"/>
      <c r="BE554" s="1"/>
      <c r="BF554" s="1"/>
      <c r="BG554" s="1"/>
      <c r="BM554" s="1"/>
      <c r="BN554" s="1"/>
      <c r="BO554" s="1"/>
    </row>
    <row r="555" spans="22:67" s="17" customFormat="1" ht="22.5" customHeight="1" x14ac:dyDescent="0.25">
      <c r="V555" s="99"/>
      <c r="W555" s="99"/>
      <c r="AW555" s="1"/>
      <c r="AX555" s="1"/>
      <c r="AY555" s="1"/>
      <c r="BE555" s="1"/>
      <c r="BF555" s="1"/>
      <c r="BG555" s="1"/>
      <c r="BM555" s="1"/>
      <c r="BN555" s="1"/>
      <c r="BO555" s="1"/>
    </row>
    <row r="556" spans="22:67" s="17" customFormat="1" ht="22.5" customHeight="1" x14ac:dyDescent="0.25">
      <c r="V556" s="99"/>
      <c r="W556" s="99"/>
      <c r="AW556" s="1"/>
      <c r="AX556" s="1"/>
      <c r="AY556" s="1"/>
      <c r="BE556" s="1"/>
      <c r="BF556" s="1"/>
      <c r="BG556" s="1"/>
      <c r="BM556" s="1"/>
      <c r="BN556" s="1"/>
      <c r="BO556" s="1"/>
    </row>
  </sheetData>
  <sheetProtection algorithmName="SHA-512" hashValue="8UnpSnl184I+U6lYGl1SKENRCpgBuZGl8eZVr3gH9+hXdNCyTrvo3ChbxsPiAXuMW672Qr+6r9CXvuLWRIcAWg==" saltValue="Nxdo8XcL4SyDt2YDsqgoyg==" spinCount="100000" sheet="1" objects="1" scenarios="1" selectLockedCells="1"/>
  <mergeCells count="57">
    <mergeCell ref="CO15:CP15"/>
    <mergeCell ref="C1:CP3"/>
    <mergeCell ref="BQ15:BR15"/>
    <mergeCell ref="BU15:BV15"/>
    <mergeCell ref="BY15:BZ15"/>
    <mergeCell ref="CC15:CD15"/>
    <mergeCell ref="CG15:CH15"/>
    <mergeCell ref="CK15:CL15"/>
    <mergeCell ref="AS15:AT15"/>
    <mergeCell ref="AW15:AX15"/>
    <mergeCell ref="BA15:BB15"/>
    <mergeCell ref="BE15:BF15"/>
    <mergeCell ref="BI15:BJ15"/>
    <mergeCell ref="BM15:BN15"/>
    <mergeCell ref="CC5:CF5"/>
    <mergeCell ref="CG5:CJ5"/>
    <mergeCell ref="CK5:CN5"/>
    <mergeCell ref="CO5:CR5"/>
    <mergeCell ref="W7:W14"/>
    <mergeCell ref="Y15:Z15"/>
    <mergeCell ref="AC15:AD15"/>
    <mergeCell ref="AG15:AH15"/>
    <mergeCell ref="AK15:AL15"/>
    <mergeCell ref="AO15:AP15"/>
    <mergeCell ref="BE5:BH5"/>
    <mergeCell ref="BI5:BL5"/>
    <mergeCell ref="BM5:BP5"/>
    <mergeCell ref="BQ5:BT5"/>
    <mergeCell ref="BU5:BX5"/>
    <mergeCell ref="BY5:CB5"/>
    <mergeCell ref="AG5:AJ5"/>
    <mergeCell ref="AK5:AN5"/>
    <mergeCell ref="AO5:AR5"/>
    <mergeCell ref="AS5:AV5"/>
    <mergeCell ref="AW5:AZ5"/>
    <mergeCell ref="BA5:BD5"/>
    <mergeCell ref="BU4:CB4"/>
    <mergeCell ref="CC4:CJ4"/>
    <mergeCell ref="CK4:CR4"/>
    <mergeCell ref="A5:C5"/>
    <mergeCell ref="E5:F5"/>
    <mergeCell ref="G5:I5"/>
    <mergeCell ref="J5:J6"/>
    <mergeCell ref="K5:K6"/>
    <mergeCell ref="Y5:AB5"/>
    <mergeCell ref="AC5:AF5"/>
    <mergeCell ref="Y4:AF4"/>
    <mergeCell ref="AG4:AN4"/>
    <mergeCell ref="AO4:AV4"/>
    <mergeCell ref="AW4:BD4"/>
    <mergeCell ref="BE4:BL4"/>
    <mergeCell ref="BM4:BT4"/>
    <mergeCell ref="A4:K4"/>
    <mergeCell ref="L4:P5"/>
    <mergeCell ref="Q4:U5"/>
    <mergeCell ref="V4:W5"/>
    <mergeCell ref="X4:X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786AD-CD5F-448D-9EF1-0C43BD98306D}">
  <sheetPr>
    <tabColor rgb="FF002060"/>
  </sheetPr>
  <dimension ref="A1:N52"/>
  <sheetViews>
    <sheetView tabSelected="1" workbookViewId="0">
      <selection activeCell="Q16" sqref="Q16"/>
    </sheetView>
  </sheetViews>
  <sheetFormatPr baseColWidth="10" defaultColWidth="11.42578125" defaultRowHeight="15" x14ac:dyDescent="0.25"/>
  <cols>
    <col min="1" max="1" width="19.140625" style="707" bestFit="1" customWidth="1"/>
    <col min="2" max="2" width="32.7109375" style="707" customWidth="1"/>
    <col min="3" max="10" width="11.42578125" style="707" hidden="1" customWidth="1"/>
    <col min="11" max="11" width="15.7109375" style="707" customWidth="1"/>
    <col min="12" max="12" width="11.42578125" style="707"/>
    <col min="13" max="13" width="15.7109375" style="707" customWidth="1"/>
    <col min="14" max="16384" width="11.42578125" style="707"/>
  </cols>
  <sheetData>
    <row r="1" spans="1:14" s="830" customFormat="1" x14ac:dyDescent="0.25">
      <c r="A1" s="827" t="s">
        <v>21</v>
      </c>
      <c r="B1" s="827" t="s">
        <v>22</v>
      </c>
      <c r="C1" s="870" t="s">
        <v>1955</v>
      </c>
      <c r="D1" s="871"/>
      <c r="E1" s="870" t="s">
        <v>1956</v>
      </c>
      <c r="F1" s="871"/>
      <c r="G1" s="870" t="s">
        <v>1957</v>
      </c>
      <c r="H1" s="871"/>
      <c r="I1" s="870" t="s">
        <v>1958</v>
      </c>
      <c r="J1" s="871"/>
      <c r="K1" s="870" t="s">
        <v>1959</v>
      </c>
      <c r="L1" s="871"/>
      <c r="M1" s="870" t="s">
        <v>1960</v>
      </c>
      <c r="N1" s="871"/>
    </row>
    <row r="2" spans="1:14" s="834" customFormat="1" ht="30" x14ac:dyDescent="0.25">
      <c r="A2" s="831"/>
      <c r="B2" s="831"/>
      <c r="C2" s="832" t="s">
        <v>1821</v>
      </c>
      <c r="D2" s="833" t="s">
        <v>1822</v>
      </c>
      <c r="E2" s="832" t="s">
        <v>1821</v>
      </c>
      <c r="F2" s="833" t="s">
        <v>1822</v>
      </c>
      <c r="G2" s="832" t="s">
        <v>1821</v>
      </c>
      <c r="H2" s="833" t="s">
        <v>1822</v>
      </c>
      <c r="I2" s="832" t="s">
        <v>1821</v>
      </c>
      <c r="J2" s="833" t="s">
        <v>1822</v>
      </c>
      <c r="K2" s="832" t="s">
        <v>1821</v>
      </c>
      <c r="L2" s="833" t="s">
        <v>1822</v>
      </c>
      <c r="M2" s="832" t="s">
        <v>1821</v>
      </c>
      <c r="N2" s="833" t="s">
        <v>1822</v>
      </c>
    </row>
    <row r="3" spans="1:14" x14ac:dyDescent="0.25">
      <c r="A3" s="835" t="s">
        <v>1823</v>
      </c>
      <c r="B3" s="836"/>
      <c r="C3" s="872">
        <v>0.36</v>
      </c>
      <c r="D3" s="873">
        <v>0.43</v>
      </c>
      <c r="E3" s="872">
        <v>0.51</v>
      </c>
      <c r="F3" s="873">
        <v>0.62</v>
      </c>
      <c r="G3" s="872">
        <v>0.7</v>
      </c>
      <c r="H3" s="874">
        <v>0.65</v>
      </c>
      <c r="I3" s="872">
        <v>0.75</v>
      </c>
      <c r="J3" s="874">
        <v>0.71</v>
      </c>
      <c r="K3" s="872">
        <v>0.83</v>
      </c>
      <c r="L3" s="874">
        <v>0.75</v>
      </c>
      <c r="M3" s="875">
        <v>0.95</v>
      </c>
      <c r="N3" s="874">
        <v>0.89</v>
      </c>
    </row>
    <row r="4" spans="1:14" x14ac:dyDescent="0.25">
      <c r="A4" s="835" t="s">
        <v>1830</v>
      </c>
      <c r="B4" s="836"/>
      <c r="C4" s="872">
        <v>0.35499999999999998</v>
      </c>
      <c r="D4" s="873">
        <v>0.33800000000000002</v>
      </c>
      <c r="E4" s="872">
        <v>0.42899999999999999</v>
      </c>
      <c r="F4" s="873">
        <v>0.42</v>
      </c>
      <c r="G4" s="872">
        <v>0.51</v>
      </c>
      <c r="H4" s="873">
        <v>0.57399999999999995</v>
      </c>
      <c r="I4" s="872">
        <v>0.54800000000000004</v>
      </c>
      <c r="J4" s="873">
        <v>0.56100000000000005</v>
      </c>
      <c r="K4" s="872">
        <v>0.60399999999999998</v>
      </c>
      <c r="L4" s="873">
        <v>0.65300000000000002</v>
      </c>
      <c r="M4" s="872">
        <v>0.81699999999999995</v>
      </c>
      <c r="N4" s="873">
        <v>0.78300000000000003</v>
      </c>
    </row>
    <row r="5" spans="1:14" x14ac:dyDescent="0.25">
      <c r="A5" s="835" t="s">
        <v>1837</v>
      </c>
      <c r="B5" s="836"/>
      <c r="C5" s="872">
        <v>0.34499999999999997</v>
      </c>
      <c r="D5" s="873">
        <v>0.35199999999999998</v>
      </c>
      <c r="E5" s="872">
        <v>0.38700000000000001</v>
      </c>
      <c r="F5" s="873">
        <v>0.47599999999999998</v>
      </c>
      <c r="G5" s="872">
        <v>0.53200000000000003</v>
      </c>
      <c r="H5" s="873">
        <v>0.53600000000000003</v>
      </c>
      <c r="I5" s="872">
        <v>0.56110000000000004</v>
      </c>
      <c r="J5" s="873">
        <v>0.61609999999999998</v>
      </c>
      <c r="K5" s="872">
        <v>0.60699999999999998</v>
      </c>
      <c r="L5" s="873">
        <v>0.65400000000000003</v>
      </c>
      <c r="M5" s="872">
        <v>0.69399999999999995</v>
      </c>
      <c r="N5" s="873">
        <v>0.67500000000000004</v>
      </c>
    </row>
    <row r="6" spans="1:14" x14ac:dyDescent="0.25">
      <c r="A6" s="839" t="s">
        <v>1844</v>
      </c>
      <c r="B6" s="836"/>
      <c r="C6" s="872">
        <v>0.35</v>
      </c>
      <c r="D6" s="838" t="s">
        <v>353</v>
      </c>
      <c r="E6" s="872">
        <v>0.40100000000000002</v>
      </c>
      <c r="F6" s="873" t="s">
        <v>353</v>
      </c>
      <c r="G6" s="872">
        <v>0.45700000000000002</v>
      </c>
      <c r="H6" s="873" t="s">
        <v>353</v>
      </c>
      <c r="I6" s="872">
        <v>0.51219999999999999</v>
      </c>
      <c r="J6" s="873" t="s">
        <v>353</v>
      </c>
      <c r="K6" s="872">
        <v>0.56999999999999995</v>
      </c>
      <c r="L6" s="873" t="s">
        <v>353</v>
      </c>
      <c r="M6" s="872">
        <v>0.67700000000000005</v>
      </c>
      <c r="N6" s="873" t="s">
        <v>353</v>
      </c>
    </row>
    <row r="7" spans="1:14" x14ac:dyDescent="0.25">
      <c r="A7" s="840" t="s">
        <v>943</v>
      </c>
      <c r="B7" s="841"/>
      <c r="C7" s="876">
        <v>0.6079</v>
      </c>
      <c r="D7" s="877">
        <v>0.4587</v>
      </c>
      <c r="E7" s="876">
        <v>0.68089999999999995</v>
      </c>
      <c r="F7" s="877">
        <v>0.5383</v>
      </c>
      <c r="G7" s="876">
        <v>0.75280000000000002</v>
      </c>
      <c r="H7" s="877">
        <v>0.63880000000000003</v>
      </c>
      <c r="I7" s="876">
        <v>0.78210000000000002</v>
      </c>
      <c r="J7" s="877">
        <v>0.71809999999999996</v>
      </c>
      <c r="K7" s="876">
        <v>0.9103</v>
      </c>
      <c r="L7" s="877">
        <v>0.89839999999999998</v>
      </c>
      <c r="M7" s="876">
        <v>0.94110000000000005</v>
      </c>
      <c r="N7" s="877">
        <v>0.98199999999999998</v>
      </c>
    </row>
    <row r="8" spans="1:14" x14ac:dyDescent="0.25">
      <c r="A8" s="840" t="s">
        <v>1854</v>
      </c>
      <c r="B8" s="841"/>
      <c r="C8" s="876">
        <v>0.42</v>
      </c>
      <c r="D8" s="877">
        <v>0.38</v>
      </c>
      <c r="E8" s="872">
        <v>0.57999999999999996</v>
      </c>
      <c r="F8" s="873">
        <v>0.56599999999999995</v>
      </c>
      <c r="G8" s="872">
        <v>0.57999999999999996</v>
      </c>
      <c r="H8" s="873">
        <v>0.56499999999999995</v>
      </c>
      <c r="I8" s="872">
        <v>0.61299999999999999</v>
      </c>
      <c r="J8" s="873">
        <v>0.61099999999999999</v>
      </c>
      <c r="K8" s="872">
        <v>0.70099999999999996</v>
      </c>
      <c r="L8" s="873">
        <v>0.70099999999999996</v>
      </c>
      <c r="M8" s="872">
        <v>0.79</v>
      </c>
      <c r="N8" s="873">
        <v>0.78500000000000003</v>
      </c>
    </row>
    <row r="9" spans="1:14" x14ac:dyDescent="0.25">
      <c r="A9" s="844" t="s">
        <v>793</v>
      </c>
      <c r="B9" s="845" t="s">
        <v>1056</v>
      </c>
      <c r="C9" s="878">
        <v>0.33300000000000002</v>
      </c>
      <c r="D9" s="847" t="s">
        <v>353</v>
      </c>
      <c r="E9" s="878">
        <v>0.41699999999999998</v>
      </c>
      <c r="F9" s="847" t="s">
        <v>353</v>
      </c>
      <c r="G9" s="878">
        <v>0.46100000000000002</v>
      </c>
      <c r="H9" s="847" t="s">
        <v>353</v>
      </c>
      <c r="I9" s="878">
        <v>0.58330000000000004</v>
      </c>
      <c r="J9" s="847" t="s">
        <v>353</v>
      </c>
      <c r="K9" s="878">
        <v>0.66600000000000004</v>
      </c>
      <c r="L9" s="847" t="s">
        <v>353</v>
      </c>
      <c r="M9" s="878">
        <v>0.78</v>
      </c>
      <c r="N9" s="847" t="s">
        <v>353</v>
      </c>
    </row>
    <row r="10" spans="1:14" x14ac:dyDescent="0.25">
      <c r="A10" s="848"/>
      <c r="B10" s="845" t="s">
        <v>1085</v>
      </c>
      <c r="C10" s="878">
        <v>0.432</v>
      </c>
      <c r="D10" s="879">
        <v>0.27100000000000002</v>
      </c>
      <c r="E10" s="878">
        <v>0.433</v>
      </c>
      <c r="F10" s="879">
        <v>0.32590000000000002</v>
      </c>
      <c r="G10" s="878">
        <v>0.53400000000000003</v>
      </c>
      <c r="H10" s="879">
        <v>0.56999999999999995</v>
      </c>
      <c r="I10" s="878">
        <v>0.58320000000000005</v>
      </c>
      <c r="J10" s="879">
        <v>0.63870000000000005</v>
      </c>
      <c r="K10" s="878">
        <v>0.71350000000000002</v>
      </c>
      <c r="L10" s="879">
        <v>0.70920000000000005</v>
      </c>
      <c r="M10" s="878">
        <v>0.76910000000000001</v>
      </c>
      <c r="N10" s="879">
        <v>0.83389999999999997</v>
      </c>
    </row>
    <row r="11" spans="1:14" x14ac:dyDescent="0.25">
      <c r="A11" s="848"/>
      <c r="B11" s="845" t="s">
        <v>899</v>
      </c>
      <c r="C11" s="878">
        <v>0.18099999999999999</v>
      </c>
      <c r="D11" s="879">
        <v>0.24299999999999999</v>
      </c>
      <c r="E11" s="878">
        <v>0.28799999999999998</v>
      </c>
      <c r="F11" s="879">
        <v>0.38300000000000001</v>
      </c>
      <c r="G11" s="878">
        <v>0.36899999999999999</v>
      </c>
      <c r="H11" s="879">
        <v>0.49299999999999999</v>
      </c>
      <c r="I11" s="878">
        <v>0.46039999999999998</v>
      </c>
      <c r="J11" s="879">
        <v>0.6139</v>
      </c>
      <c r="K11" s="878">
        <v>0.6</v>
      </c>
      <c r="L11" s="879">
        <v>0.79390000000000005</v>
      </c>
      <c r="M11" s="878">
        <v>0.68</v>
      </c>
      <c r="N11" s="879">
        <v>0.85829999999999995</v>
      </c>
    </row>
    <row r="12" spans="1:14" x14ac:dyDescent="0.25">
      <c r="A12" s="848"/>
      <c r="B12" s="845" t="s">
        <v>1189</v>
      </c>
      <c r="C12" s="878">
        <v>0.33300000000000002</v>
      </c>
      <c r="D12" s="880">
        <v>0.52900000000000003</v>
      </c>
      <c r="E12" s="878">
        <v>0.69799999999999995</v>
      </c>
      <c r="F12" s="880">
        <v>0.46200000000000002</v>
      </c>
      <c r="G12" s="878">
        <v>0.73199999999999998</v>
      </c>
      <c r="H12" s="880">
        <v>0.54700000000000004</v>
      </c>
      <c r="I12" s="878">
        <v>0.84670000000000001</v>
      </c>
      <c r="J12" s="880">
        <v>0.59030000000000005</v>
      </c>
      <c r="K12" s="878">
        <v>0.87829999999999997</v>
      </c>
      <c r="L12" s="880">
        <v>0.68300000000000005</v>
      </c>
      <c r="M12" s="878">
        <v>0.93079999999999996</v>
      </c>
      <c r="N12" s="880">
        <v>0.77470000000000006</v>
      </c>
    </row>
    <row r="13" spans="1:14" x14ac:dyDescent="0.25">
      <c r="A13" s="848"/>
      <c r="B13" s="845" t="s">
        <v>1223</v>
      </c>
      <c r="C13" s="878">
        <v>0.35799999999999998</v>
      </c>
      <c r="D13" s="879">
        <v>0.34200000000000003</v>
      </c>
      <c r="E13" s="878">
        <v>0.435</v>
      </c>
      <c r="F13" s="879">
        <v>0.4</v>
      </c>
      <c r="G13" s="878">
        <v>0.52300000000000002</v>
      </c>
      <c r="H13" s="879">
        <v>0.46300000000000002</v>
      </c>
      <c r="I13" s="878">
        <v>0.60750000000000004</v>
      </c>
      <c r="J13" s="879">
        <v>0.63619999999999999</v>
      </c>
      <c r="K13" s="878">
        <v>0.69550000000000001</v>
      </c>
      <c r="L13" s="879">
        <v>0.73780000000000001</v>
      </c>
      <c r="M13" s="878">
        <v>0.78239999999999998</v>
      </c>
      <c r="N13" s="879">
        <v>0.88580000000000003</v>
      </c>
    </row>
    <row r="14" spans="1:14" s="830" customFormat="1" x14ac:dyDescent="0.25">
      <c r="A14" s="850"/>
      <c r="B14" s="851" t="s">
        <v>1877</v>
      </c>
      <c r="C14" s="881">
        <v>0.32700000000000001</v>
      </c>
      <c r="D14" s="881">
        <v>0.34599999999999997</v>
      </c>
      <c r="E14" s="881">
        <v>0.45400000000000001</v>
      </c>
      <c r="F14" s="881">
        <v>0.39300000000000002</v>
      </c>
      <c r="G14" s="881">
        <v>0.52400000000000002</v>
      </c>
      <c r="H14" s="881">
        <v>0.51900000000000002</v>
      </c>
      <c r="I14" s="881">
        <v>0.61619999999999997</v>
      </c>
      <c r="J14" s="881">
        <v>0.61980000000000002</v>
      </c>
      <c r="K14" s="881">
        <v>0.7107</v>
      </c>
      <c r="L14" s="881">
        <v>0.73099999999999998</v>
      </c>
      <c r="M14" s="881">
        <v>0.78839999999999999</v>
      </c>
      <c r="N14" s="881">
        <v>0.83819999999999995</v>
      </c>
    </row>
    <row r="15" spans="1:14" x14ac:dyDescent="0.25">
      <c r="A15" s="853" t="s">
        <v>1882</v>
      </c>
      <c r="B15" s="845" t="s">
        <v>792</v>
      </c>
      <c r="C15" s="878">
        <v>0.41499999999999998</v>
      </c>
      <c r="D15" s="879">
        <v>0.45800000000000002</v>
      </c>
      <c r="E15" s="878">
        <v>0.45600000000000002</v>
      </c>
      <c r="F15" s="879">
        <v>0.45800000000000002</v>
      </c>
      <c r="G15" s="878">
        <v>0.69199999999999995</v>
      </c>
      <c r="H15" s="879">
        <v>0.7</v>
      </c>
      <c r="I15" s="878">
        <v>0.66900000000000004</v>
      </c>
      <c r="J15" s="879">
        <v>0.7</v>
      </c>
      <c r="K15" s="882">
        <v>0.86199999999999999</v>
      </c>
      <c r="L15" s="883">
        <v>0.7</v>
      </c>
      <c r="M15" s="882">
        <v>0.90800000000000003</v>
      </c>
      <c r="N15" s="883">
        <v>0.875</v>
      </c>
    </row>
    <row r="16" spans="1:14" x14ac:dyDescent="0.25">
      <c r="A16" s="854"/>
      <c r="B16" s="855" t="s">
        <v>853</v>
      </c>
      <c r="C16" s="878">
        <v>0.40300000000000002</v>
      </c>
      <c r="D16" s="849" t="s">
        <v>353</v>
      </c>
      <c r="E16" s="878">
        <v>0.48099999999999998</v>
      </c>
      <c r="F16" s="849" t="s">
        <v>353</v>
      </c>
      <c r="G16" s="878">
        <v>0.59599999999999997</v>
      </c>
      <c r="H16" s="849" t="s">
        <v>353</v>
      </c>
      <c r="I16" s="878">
        <v>0.70050000000000001</v>
      </c>
      <c r="J16" s="849" t="s">
        <v>353</v>
      </c>
      <c r="K16" s="884">
        <v>0.7732</v>
      </c>
      <c r="L16" s="885" t="s">
        <v>353</v>
      </c>
      <c r="M16" s="884">
        <v>0.85650000000000004</v>
      </c>
      <c r="N16" s="885" t="s">
        <v>353</v>
      </c>
    </row>
    <row r="17" spans="1:14" s="830" customFormat="1" x14ac:dyDescent="0.25">
      <c r="A17" s="856"/>
      <c r="B17" s="851" t="s">
        <v>1889</v>
      </c>
      <c r="C17" s="881">
        <v>0.40899999999999997</v>
      </c>
      <c r="D17" s="881">
        <v>0.45800000000000002</v>
      </c>
      <c r="E17" s="881">
        <v>0.46800000000000003</v>
      </c>
      <c r="F17" s="881">
        <v>0.45800000000000002</v>
      </c>
      <c r="G17" s="881">
        <f>AVERAGE(G15,G16)</f>
        <v>0.64399999999999991</v>
      </c>
      <c r="H17" s="881">
        <v>0.7</v>
      </c>
      <c r="I17" s="881">
        <f>AVERAGE(I15,I16)</f>
        <v>0.68474999999999997</v>
      </c>
      <c r="J17" s="881">
        <f>AVERAGE(J15,J16)</f>
        <v>0.7</v>
      </c>
      <c r="K17" s="886">
        <f>AVERAGE(K15:K16)</f>
        <v>0.81759999999999999</v>
      </c>
      <c r="L17" s="886">
        <v>0.7</v>
      </c>
      <c r="M17" s="886">
        <f>AVERAGE(M15:M16)</f>
        <v>0.88224999999999998</v>
      </c>
      <c r="N17" s="886">
        <f>AVERAGE(N15:N16)</f>
        <v>0.875</v>
      </c>
    </row>
    <row r="18" spans="1:14" x14ac:dyDescent="0.25">
      <c r="A18" s="844" t="s">
        <v>1961</v>
      </c>
      <c r="B18" s="707" t="s">
        <v>1961</v>
      </c>
      <c r="C18" s="887">
        <v>0.32090000000000002</v>
      </c>
      <c r="D18" s="880">
        <v>0.17860000000000001</v>
      </c>
      <c r="E18" s="887">
        <v>0.38729999999999998</v>
      </c>
      <c r="F18" s="880">
        <v>0.20499999999999999</v>
      </c>
      <c r="G18" s="887">
        <v>0.47770000000000001</v>
      </c>
      <c r="H18" s="880">
        <v>0.24740000000000001</v>
      </c>
      <c r="I18" s="887">
        <v>0.56077949438202257</v>
      </c>
      <c r="J18" s="880">
        <v>0.29880040921391327</v>
      </c>
      <c r="K18" s="887">
        <v>0.63349999999999995</v>
      </c>
      <c r="L18" s="880">
        <v>0.35039999999999999</v>
      </c>
      <c r="M18" s="887">
        <v>0.69989999999999997</v>
      </c>
      <c r="N18" s="880">
        <v>0.38900000000000001</v>
      </c>
    </row>
    <row r="19" spans="1:14" x14ac:dyDescent="0.25">
      <c r="A19" s="848"/>
      <c r="B19" s="855" t="s">
        <v>104</v>
      </c>
      <c r="C19" s="888">
        <v>0.27400000000000002</v>
      </c>
      <c r="D19" s="880">
        <v>0.15579999999999999</v>
      </c>
      <c r="E19" s="888">
        <v>0.33310000000000001</v>
      </c>
      <c r="F19" s="880">
        <v>0.17910000000000001</v>
      </c>
      <c r="G19" s="888">
        <v>0.37980000000000003</v>
      </c>
      <c r="H19" s="880">
        <v>0.26989999999999997</v>
      </c>
      <c r="I19" s="888">
        <v>0.42640449438202255</v>
      </c>
      <c r="J19" s="880">
        <v>0.30834373699542245</v>
      </c>
      <c r="K19" s="888">
        <v>0.47299999999999998</v>
      </c>
      <c r="L19" s="880">
        <v>0.33939999999999998</v>
      </c>
      <c r="M19" s="888">
        <v>0.51970000000000005</v>
      </c>
      <c r="N19" s="880">
        <v>0.37790000000000001</v>
      </c>
    </row>
    <row r="20" spans="1:14" x14ac:dyDescent="0.25">
      <c r="A20" s="848"/>
      <c r="B20" s="855" t="s">
        <v>156</v>
      </c>
      <c r="C20" s="888">
        <v>0.25669999999999998</v>
      </c>
      <c r="D20" s="880">
        <v>0.1797</v>
      </c>
      <c r="E20" s="888">
        <v>0.32090000000000002</v>
      </c>
      <c r="F20" s="880">
        <v>0.21410000000000001</v>
      </c>
      <c r="G20" s="888">
        <v>0.38500000000000001</v>
      </c>
      <c r="H20" s="880">
        <v>0.30099999999999999</v>
      </c>
      <c r="I20" s="888">
        <v>0.43166765227675935</v>
      </c>
      <c r="J20" s="880">
        <v>0.35381031632346088</v>
      </c>
      <c r="K20" s="888">
        <v>0.4783</v>
      </c>
      <c r="L20" s="880">
        <v>0.42109999999999997</v>
      </c>
      <c r="M20" s="888">
        <v>0.54249999999999998</v>
      </c>
      <c r="N20" s="880">
        <v>0.47960000000000003</v>
      </c>
    </row>
    <row r="21" spans="1:14" x14ac:dyDescent="0.25">
      <c r="A21" s="848"/>
      <c r="B21" s="855" t="s">
        <v>1907</v>
      </c>
      <c r="C21" s="888">
        <v>0.2823</v>
      </c>
      <c r="D21" s="880">
        <v>0.17510000000000001</v>
      </c>
      <c r="E21" s="888">
        <v>0.33950000000000002</v>
      </c>
      <c r="F21" s="880">
        <v>0.20519999999999999</v>
      </c>
      <c r="G21" s="888">
        <v>0.39679999999999999</v>
      </c>
      <c r="H21" s="880">
        <v>0.33169999999999999</v>
      </c>
      <c r="I21" s="888">
        <v>0.47534066459478846</v>
      </c>
      <c r="J21" s="880">
        <v>0.37175715040883589</v>
      </c>
      <c r="K21" s="888">
        <v>0.53259999999999996</v>
      </c>
      <c r="L21" s="880">
        <v>0.4365</v>
      </c>
      <c r="M21" s="888">
        <v>0.57920000000000005</v>
      </c>
      <c r="N21" s="880">
        <v>0.48</v>
      </c>
    </row>
    <row r="22" spans="1:14" x14ac:dyDescent="0.25">
      <c r="A22" s="848"/>
      <c r="B22" s="855" t="s">
        <v>250</v>
      </c>
      <c r="C22" s="888">
        <v>0.33650000000000002</v>
      </c>
      <c r="D22" s="880">
        <v>0.1991</v>
      </c>
      <c r="E22" s="888">
        <v>0.3831</v>
      </c>
      <c r="F22" s="880">
        <v>0.21659999999999999</v>
      </c>
      <c r="G22" s="888">
        <v>0.42980000000000002</v>
      </c>
      <c r="H22" s="880">
        <v>0.31209999999999999</v>
      </c>
      <c r="I22" s="888">
        <v>0.5014044943820225</v>
      </c>
      <c r="J22" s="880">
        <v>0.35764669163545565</v>
      </c>
      <c r="K22" s="888">
        <v>0.54800000000000004</v>
      </c>
      <c r="L22" s="880">
        <v>0.38100000000000001</v>
      </c>
      <c r="M22" s="888">
        <v>0.59470000000000001</v>
      </c>
      <c r="N22" s="880">
        <v>0.4209</v>
      </c>
    </row>
    <row r="23" spans="1:14" x14ac:dyDescent="0.25">
      <c r="A23" s="848"/>
      <c r="B23" s="855" t="s">
        <v>294</v>
      </c>
      <c r="C23" s="888">
        <v>0.35320000000000001</v>
      </c>
      <c r="D23" s="880">
        <v>0.31909999999999999</v>
      </c>
      <c r="E23" s="888">
        <v>0.42520000000000002</v>
      </c>
      <c r="F23" s="880">
        <v>0.371</v>
      </c>
      <c r="G23" s="888">
        <v>0.54249999999999998</v>
      </c>
      <c r="H23" s="880">
        <v>0.4451</v>
      </c>
      <c r="I23" s="888">
        <v>0.64524507409216736</v>
      </c>
      <c r="J23" s="880">
        <v>0.56375684240852786</v>
      </c>
      <c r="K23" s="888">
        <v>0.73540000000000005</v>
      </c>
      <c r="L23" s="880">
        <v>0.623</v>
      </c>
      <c r="M23" s="888">
        <v>0.81279999999999997</v>
      </c>
      <c r="N23" s="880">
        <v>0.67459999999999998</v>
      </c>
    </row>
    <row r="24" spans="1:14" x14ac:dyDescent="0.25">
      <c r="A24" s="848"/>
      <c r="B24" s="855" t="s">
        <v>341</v>
      </c>
      <c r="C24" s="888">
        <v>0.2213</v>
      </c>
      <c r="D24" s="847" t="s">
        <v>353</v>
      </c>
      <c r="E24" s="888">
        <v>0.27300000000000002</v>
      </c>
      <c r="F24" s="847" t="s">
        <v>353</v>
      </c>
      <c r="G24" s="888">
        <v>0.31269999999999998</v>
      </c>
      <c r="H24" s="847" t="s">
        <v>353</v>
      </c>
      <c r="I24" s="888">
        <v>0.5335714285714287</v>
      </c>
      <c r="J24" s="847" t="s">
        <v>353</v>
      </c>
      <c r="K24" s="888">
        <v>0.6512</v>
      </c>
      <c r="L24" s="847" t="s">
        <v>353</v>
      </c>
      <c r="M24" s="888">
        <v>0.7329</v>
      </c>
      <c r="N24" s="847" t="s">
        <v>353</v>
      </c>
    </row>
    <row r="25" spans="1:14" x14ac:dyDescent="0.25">
      <c r="A25" s="848"/>
      <c r="B25" s="855" t="s">
        <v>1926</v>
      </c>
      <c r="C25" s="878">
        <v>0.24229999999999999</v>
      </c>
      <c r="D25" s="849" t="s">
        <v>353</v>
      </c>
      <c r="E25" s="878">
        <v>0.28460000000000002</v>
      </c>
      <c r="F25" s="849" t="s">
        <v>353</v>
      </c>
      <c r="G25" s="878">
        <v>0.33460000000000001</v>
      </c>
      <c r="H25" s="849" t="s">
        <v>353</v>
      </c>
      <c r="I25" s="878">
        <v>0.40384615384615385</v>
      </c>
      <c r="J25" s="849" t="s">
        <v>353</v>
      </c>
      <c r="K25" s="878">
        <v>0.5615</v>
      </c>
      <c r="L25" s="849" t="s">
        <v>353</v>
      </c>
      <c r="M25" s="878">
        <v>0.66539999999999999</v>
      </c>
      <c r="N25" s="849" t="s">
        <v>353</v>
      </c>
    </row>
    <row r="26" spans="1:14" x14ac:dyDescent="0.25">
      <c r="A26" s="848"/>
      <c r="B26" s="855" t="s">
        <v>366</v>
      </c>
      <c r="C26" s="878">
        <v>0.29880000000000001</v>
      </c>
      <c r="D26" s="849" t="s">
        <v>353</v>
      </c>
      <c r="E26" s="878">
        <v>0.39700000000000002</v>
      </c>
      <c r="F26" s="849" t="s">
        <v>353</v>
      </c>
      <c r="G26" s="878">
        <v>0.48020000000000002</v>
      </c>
      <c r="H26" s="849" t="s">
        <v>353</v>
      </c>
      <c r="I26" s="878">
        <v>0.53120000000000001</v>
      </c>
      <c r="J26" s="849" t="s">
        <v>353</v>
      </c>
      <c r="K26" s="878">
        <v>0.61019999999999996</v>
      </c>
      <c r="L26" s="849" t="s">
        <v>353</v>
      </c>
      <c r="M26" s="878">
        <v>0.65159999999999996</v>
      </c>
      <c r="N26" s="849" t="s">
        <v>353</v>
      </c>
    </row>
    <row r="27" spans="1:14" s="830" customFormat="1" x14ac:dyDescent="0.25">
      <c r="A27" s="850"/>
      <c r="B27" s="851" t="s">
        <v>1962</v>
      </c>
      <c r="C27" s="881">
        <v>0.28699999999999998</v>
      </c>
      <c r="D27" s="881">
        <v>0.20100000000000001</v>
      </c>
      <c r="E27" s="881">
        <v>0.3493</v>
      </c>
      <c r="F27" s="881">
        <v>0.23180000000000001</v>
      </c>
      <c r="G27" s="881">
        <v>0.41549999999999998</v>
      </c>
      <c r="H27" s="881">
        <v>0.31780000000000003</v>
      </c>
      <c r="I27" s="881">
        <f>+AVERAGE(I18:I26)</f>
        <v>0.5010510507252629</v>
      </c>
      <c r="J27" s="881">
        <f>+AVERAGE(J18:J26)</f>
        <v>0.37568585783093605</v>
      </c>
      <c r="K27" s="881">
        <v>0.58040000000000003</v>
      </c>
      <c r="L27" s="881">
        <v>0.42520000000000002</v>
      </c>
      <c r="M27" s="881">
        <v>0.64429999999999998</v>
      </c>
      <c r="N27" s="881">
        <v>0.4703</v>
      </c>
    </row>
    <row r="28" spans="1:14" x14ac:dyDescent="0.25">
      <c r="A28" s="844" t="s">
        <v>1963</v>
      </c>
      <c r="B28" s="707" t="s">
        <v>1963</v>
      </c>
      <c r="C28" s="887">
        <v>0.2235</v>
      </c>
      <c r="D28" s="880">
        <v>0.2215</v>
      </c>
      <c r="E28" s="887">
        <v>0.3175</v>
      </c>
      <c r="F28" s="880">
        <v>0.27389999999999998</v>
      </c>
      <c r="G28" s="887">
        <v>0.45419999999999999</v>
      </c>
      <c r="H28" s="880">
        <v>0.37940000000000002</v>
      </c>
      <c r="I28" s="887">
        <v>0.579983922829582</v>
      </c>
      <c r="J28" s="880">
        <v>0.43603147884748256</v>
      </c>
      <c r="K28" s="887">
        <v>0.68730000000000002</v>
      </c>
      <c r="L28" s="880">
        <v>0.50409999999999999</v>
      </c>
      <c r="M28" s="887">
        <v>0.79820000000000002</v>
      </c>
      <c r="N28" s="880">
        <v>0.56859999999999999</v>
      </c>
    </row>
    <row r="29" spans="1:14" x14ac:dyDescent="0.25">
      <c r="A29" s="848"/>
      <c r="B29" s="855" t="s">
        <v>416</v>
      </c>
      <c r="C29" s="888">
        <v>0.20930000000000001</v>
      </c>
      <c r="D29" s="880">
        <v>0.35899999999999999</v>
      </c>
      <c r="E29" s="888">
        <v>0.33019999999999999</v>
      </c>
      <c r="F29" s="880">
        <v>0.51700000000000002</v>
      </c>
      <c r="G29" s="888">
        <v>0.51160000000000005</v>
      </c>
      <c r="H29" s="880">
        <v>0.52270000000000005</v>
      </c>
      <c r="I29" s="888">
        <v>0.65581395348837213</v>
      </c>
      <c r="J29" s="880">
        <v>0.54356060606060608</v>
      </c>
      <c r="K29" s="888">
        <v>0.7349</v>
      </c>
      <c r="L29" s="880">
        <v>0.57010000000000005</v>
      </c>
      <c r="M29" s="888">
        <v>0.84189999999999998</v>
      </c>
      <c r="N29" s="880">
        <v>0.61170000000000002</v>
      </c>
    </row>
    <row r="30" spans="1:14" x14ac:dyDescent="0.25">
      <c r="A30" s="848"/>
      <c r="B30" s="855" t="s">
        <v>442</v>
      </c>
      <c r="C30" s="888">
        <v>8.9899999999999994E-2</v>
      </c>
      <c r="D30" s="880">
        <v>0.30520000000000003</v>
      </c>
      <c r="E30" s="888">
        <v>0.15670000000000001</v>
      </c>
      <c r="F30" s="880">
        <v>0.47560000000000002</v>
      </c>
      <c r="G30" s="888">
        <v>0.36180000000000001</v>
      </c>
      <c r="H30" s="880">
        <v>0.49280000000000002</v>
      </c>
      <c r="I30" s="888">
        <v>0.52304147465437789</v>
      </c>
      <c r="J30" s="880">
        <v>0.50205761316872433</v>
      </c>
      <c r="K30" s="888">
        <v>0.64749999999999996</v>
      </c>
      <c r="L30" s="880">
        <v>0.53090000000000004</v>
      </c>
      <c r="M30" s="888">
        <v>0.7581</v>
      </c>
      <c r="N30" s="880">
        <v>0.56999999999999995</v>
      </c>
    </row>
    <row r="31" spans="1:14" x14ac:dyDescent="0.25">
      <c r="A31" s="848"/>
      <c r="B31" s="855" t="s">
        <v>465</v>
      </c>
      <c r="C31" s="888">
        <v>0.23130000000000001</v>
      </c>
      <c r="D31" s="880">
        <v>0.3861</v>
      </c>
      <c r="E31" s="888">
        <v>0.30969999999999998</v>
      </c>
      <c r="F31" s="880">
        <v>0.54190000000000005</v>
      </c>
      <c r="G31" s="888">
        <v>0.47010000000000002</v>
      </c>
      <c r="H31" s="880">
        <v>0.54790000000000005</v>
      </c>
      <c r="I31" s="888">
        <v>0.60074626865671643</v>
      </c>
      <c r="J31" s="880">
        <v>0.57077625570776258</v>
      </c>
      <c r="K31" s="888">
        <v>0.69030000000000002</v>
      </c>
      <c r="L31" s="880">
        <v>0.59970000000000001</v>
      </c>
      <c r="M31" s="888">
        <v>0.82089999999999996</v>
      </c>
      <c r="N31" s="880">
        <v>0.65749999999999997</v>
      </c>
    </row>
    <row r="32" spans="1:14" x14ac:dyDescent="0.25">
      <c r="A32" s="848"/>
      <c r="B32" s="855" t="s">
        <v>487</v>
      </c>
      <c r="C32" s="888">
        <v>0.18920000000000001</v>
      </c>
      <c r="D32" s="880">
        <v>0.49790000000000001</v>
      </c>
      <c r="E32" s="888">
        <v>0.25140000000000001</v>
      </c>
      <c r="F32" s="880">
        <v>0.52470000000000006</v>
      </c>
      <c r="G32" s="888">
        <v>0.32700000000000001</v>
      </c>
      <c r="H32" s="880">
        <v>0.52590000000000003</v>
      </c>
      <c r="I32" s="888">
        <v>0.42162162162162165</v>
      </c>
      <c r="J32" s="880">
        <v>0.53827160493827153</v>
      </c>
      <c r="K32" s="888">
        <v>0.58919999999999995</v>
      </c>
      <c r="L32" s="880">
        <v>0.54200000000000004</v>
      </c>
      <c r="M32" s="888">
        <v>0.74860000000000004</v>
      </c>
      <c r="N32" s="880">
        <v>0.55310000000000004</v>
      </c>
    </row>
    <row r="33" spans="1:14" x14ac:dyDescent="0.25">
      <c r="A33" s="848"/>
      <c r="B33" s="855" t="s">
        <v>1964</v>
      </c>
      <c r="C33" s="888">
        <v>0.28220000000000001</v>
      </c>
      <c r="D33" s="880">
        <v>0.33529999999999999</v>
      </c>
      <c r="E33" s="888">
        <v>0.39419999999999999</v>
      </c>
      <c r="F33" s="880">
        <v>0.44650000000000001</v>
      </c>
      <c r="G33" s="888">
        <v>0.51119999999999999</v>
      </c>
      <c r="H33" s="880">
        <v>0.56020000000000003</v>
      </c>
      <c r="I33" s="888">
        <v>0.62904564315352696</v>
      </c>
      <c r="J33" s="880">
        <v>0.65394190871369295</v>
      </c>
      <c r="K33" s="888">
        <v>0.72030000000000005</v>
      </c>
      <c r="L33" s="880">
        <v>0.75439999999999996</v>
      </c>
      <c r="M33" s="888">
        <v>0.81240000000000001</v>
      </c>
      <c r="N33" s="880">
        <v>0.8357</v>
      </c>
    </row>
    <row r="34" spans="1:14" x14ac:dyDescent="0.25">
      <c r="A34" s="848"/>
      <c r="B34" s="855" t="s">
        <v>521</v>
      </c>
      <c r="C34" s="888">
        <v>0.3372</v>
      </c>
      <c r="D34" s="847" t="s">
        <v>353</v>
      </c>
      <c r="E34" s="888">
        <v>0.42349999999999999</v>
      </c>
      <c r="F34" s="847" t="s">
        <v>353</v>
      </c>
      <c r="G34" s="888">
        <v>0.50109999999999999</v>
      </c>
      <c r="H34" s="847" t="s">
        <v>353</v>
      </c>
      <c r="I34" s="888">
        <v>0.61549472744780287</v>
      </c>
      <c r="J34" s="847" t="s">
        <v>353</v>
      </c>
      <c r="K34" s="888">
        <v>0.70250000000000001</v>
      </c>
      <c r="L34" s="847" t="s">
        <v>353</v>
      </c>
      <c r="M34" s="888">
        <v>0.90939999999999999</v>
      </c>
      <c r="N34" s="847" t="s">
        <v>353</v>
      </c>
    </row>
    <row r="35" spans="1:14" x14ac:dyDescent="0.25">
      <c r="A35" s="848"/>
      <c r="B35" s="855" t="s">
        <v>341</v>
      </c>
      <c r="C35" s="888">
        <v>3.5700000000000003E-2</v>
      </c>
      <c r="D35" s="880">
        <v>0.4123</v>
      </c>
      <c r="E35" s="888">
        <v>3.5700000000000003E-2</v>
      </c>
      <c r="F35" s="880">
        <v>0.57940000000000003</v>
      </c>
      <c r="G35" s="888">
        <v>0.17860000000000001</v>
      </c>
      <c r="H35" s="880">
        <v>0.6825</v>
      </c>
      <c r="I35" s="888">
        <v>0.17857142857142858</v>
      </c>
      <c r="J35" s="880">
        <v>0.85793871866295268</v>
      </c>
      <c r="K35" s="888">
        <v>0.17860000000000001</v>
      </c>
      <c r="L35" s="880">
        <v>1</v>
      </c>
      <c r="M35" s="888">
        <v>0.25</v>
      </c>
      <c r="N35" s="880">
        <v>1</v>
      </c>
    </row>
    <row r="36" spans="1:14" x14ac:dyDescent="0.25">
      <c r="A36" s="848"/>
      <c r="B36" s="855" t="s">
        <v>1926</v>
      </c>
      <c r="C36" s="878">
        <v>0.29980000000000001</v>
      </c>
      <c r="D36" s="849" t="s">
        <v>353</v>
      </c>
      <c r="E36" s="878">
        <v>0.4042</v>
      </c>
      <c r="F36" s="849" t="s">
        <v>353</v>
      </c>
      <c r="G36" s="878" t="s">
        <v>1965</v>
      </c>
      <c r="H36" s="849" t="s">
        <v>353</v>
      </c>
      <c r="I36" s="878">
        <v>0.5326007326007326</v>
      </c>
      <c r="J36" s="849" t="s">
        <v>353</v>
      </c>
      <c r="K36" s="878">
        <v>0.61119999999999997</v>
      </c>
      <c r="L36" s="847" t="s">
        <v>353</v>
      </c>
      <c r="M36" s="878">
        <v>0.65490000000000004</v>
      </c>
      <c r="N36" s="847" t="s">
        <v>353</v>
      </c>
    </row>
    <row r="37" spans="1:14" x14ac:dyDescent="0.25">
      <c r="A37" s="848"/>
      <c r="B37" s="855" t="s">
        <v>366</v>
      </c>
      <c r="C37" s="878">
        <v>0.32190000000000002</v>
      </c>
      <c r="D37" s="849" t="s">
        <v>353</v>
      </c>
      <c r="E37" s="878">
        <v>0.39600000000000002</v>
      </c>
      <c r="F37" s="849" t="s">
        <v>353</v>
      </c>
      <c r="G37" s="878">
        <v>0.48420000000000002</v>
      </c>
      <c r="H37" s="849" t="s">
        <v>353</v>
      </c>
      <c r="I37" s="878">
        <v>0.5415531578947369</v>
      </c>
      <c r="J37" s="849" t="s">
        <v>353</v>
      </c>
      <c r="K37" s="878">
        <v>0.57189999999999996</v>
      </c>
      <c r="L37" s="849" t="s">
        <v>353</v>
      </c>
      <c r="M37" s="878">
        <v>0.74490000000000001</v>
      </c>
      <c r="N37" s="849" t="s">
        <v>353</v>
      </c>
    </row>
    <row r="38" spans="1:14" s="830" customFormat="1" x14ac:dyDescent="0.25">
      <c r="A38" s="850"/>
      <c r="B38" s="851" t="s">
        <v>1966</v>
      </c>
      <c r="C38" s="881">
        <v>0.222</v>
      </c>
      <c r="D38" s="881">
        <v>0.36</v>
      </c>
      <c r="E38" s="881">
        <v>0.3019</v>
      </c>
      <c r="F38" s="881">
        <v>0.47989999999999999</v>
      </c>
      <c r="G38" s="881">
        <v>0.42070000000000002</v>
      </c>
      <c r="H38" s="881">
        <v>0.5302</v>
      </c>
      <c r="I38" s="881">
        <f>+AVERAGE(I28:I37)</f>
        <v>0.52784729309188982</v>
      </c>
      <c r="J38" s="881">
        <f>+AVERAGE(J28:J37)</f>
        <v>0.58608259801421325</v>
      </c>
      <c r="K38" s="881">
        <v>0.61339999999999995</v>
      </c>
      <c r="L38" s="881">
        <v>0.64300000000000002</v>
      </c>
      <c r="M38" s="881">
        <v>0.7339</v>
      </c>
      <c r="N38" s="881">
        <v>0.68520000000000003</v>
      </c>
    </row>
    <row r="39" spans="1:14" x14ac:dyDescent="0.25">
      <c r="A39" s="853" t="s">
        <v>1935</v>
      </c>
      <c r="B39" s="859" t="s">
        <v>1936</v>
      </c>
      <c r="C39" s="889">
        <v>0.25900000000000001</v>
      </c>
      <c r="D39" s="890">
        <v>0.246</v>
      </c>
      <c r="E39" s="889">
        <v>0.33</v>
      </c>
      <c r="F39" s="890">
        <v>0.28000000000000003</v>
      </c>
      <c r="G39" s="889">
        <v>0.55600000000000005</v>
      </c>
      <c r="H39" s="890">
        <v>0.32500000000000001</v>
      </c>
      <c r="I39" s="889">
        <v>0.51300000000000001</v>
      </c>
      <c r="J39" s="890">
        <v>0.376</v>
      </c>
      <c r="K39" s="889">
        <v>0.60199999999999998</v>
      </c>
      <c r="L39" s="890">
        <v>0.43099999999999999</v>
      </c>
      <c r="M39" s="889">
        <v>0.69099999999999995</v>
      </c>
      <c r="N39" s="890">
        <v>0.50900000000000001</v>
      </c>
    </row>
    <row r="40" spans="1:14" ht="15.75" customHeight="1" x14ac:dyDescent="0.25">
      <c r="A40" s="854"/>
      <c r="B40" s="855" t="s">
        <v>1733</v>
      </c>
      <c r="C40" s="888">
        <v>0.28799999999999998</v>
      </c>
      <c r="D40" s="880">
        <v>0.249</v>
      </c>
      <c r="E40" s="888">
        <v>0.39300000000000002</v>
      </c>
      <c r="F40" s="880">
        <v>0.437</v>
      </c>
      <c r="G40" s="888">
        <v>0.51300000000000001</v>
      </c>
      <c r="H40" s="880">
        <v>0.437</v>
      </c>
      <c r="I40" s="888">
        <v>0.54900000000000004</v>
      </c>
      <c r="J40" s="880">
        <v>0.47299999999999998</v>
      </c>
      <c r="K40" s="888">
        <v>0.66300000000000003</v>
      </c>
      <c r="L40" s="880">
        <v>0.61499999999999999</v>
      </c>
      <c r="M40" s="888">
        <v>0.77900000000000003</v>
      </c>
      <c r="N40" s="880">
        <v>0.874</v>
      </c>
    </row>
    <row r="41" spans="1:14" s="830" customFormat="1" x14ac:dyDescent="0.25">
      <c r="A41" s="862"/>
      <c r="B41" s="851" t="s">
        <v>1945</v>
      </c>
      <c r="C41" s="881">
        <v>0.27400000000000002</v>
      </c>
      <c r="D41" s="881">
        <v>0.248</v>
      </c>
      <c r="E41" s="881">
        <f>AVERAGE(E39:E40)</f>
        <v>0.36150000000000004</v>
      </c>
      <c r="F41" s="881">
        <f>AVERAGE(F39:F40)</f>
        <v>0.35850000000000004</v>
      </c>
      <c r="G41" s="881">
        <f>AVERAGE(G39:G40)</f>
        <v>0.53449999999999998</v>
      </c>
      <c r="H41" s="881">
        <f>AVERAGE(H39:H40)</f>
        <v>0.38100000000000001</v>
      </c>
      <c r="I41" s="881">
        <f>AVERAGE(I39,I40)</f>
        <v>0.53100000000000003</v>
      </c>
      <c r="J41" s="881">
        <f>AVERAGE(J39,J40)</f>
        <v>0.42449999999999999</v>
      </c>
      <c r="K41" s="881">
        <f>AVERAGE(K39:K40)</f>
        <v>0.63250000000000006</v>
      </c>
      <c r="L41" s="881">
        <f>AVERAGE(L39:L40)</f>
        <v>0.52300000000000002</v>
      </c>
      <c r="M41" s="881">
        <f>AVERAGE(M39:M40)</f>
        <v>0.73499999999999999</v>
      </c>
      <c r="N41" s="881">
        <f>AVERAGE(N39:N40)</f>
        <v>0.6915</v>
      </c>
    </row>
    <row r="42" spans="1:14" ht="15.75" x14ac:dyDescent="0.25">
      <c r="A42" s="863" t="s">
        <v>1951</v>
      </c>
      <c r="B42" s="863"/>
      <c r="C42" s="891">
        <v>0.35599999999999998</v>
      </c>
      <c r="D42" s="891">
        <v>0.35699999999999998</v>
      </c>
      <c r="E42" s="891">
        <f t="shared" ref="E42:J42" si="0">AVERAGE(E3,E4,E5,E6,E7,E8,E14,E17,E27,E38,E41)</f>
        <v>0.44750909090909102</v>
      </c>
      <c r="F42" s="891">
        <f t="shared" si="0"/>
        <v>0.45415</v>
      </c>
      <c r="G42" s="891">
        <f t="shared" si="0"/>
        <v>0.55186363636363633</v>
      </c>
      <c r="H42" s="891">
        <f t="shared" si="0"/>
        <v>0.54117999999999999</v>
      </c>
      <c r="I42" s="891">
        <f>AVERAGE(I3,I4,I5,I6,I7,I8,I14,I17,I27,I38,I41)</f>
        <v>0.60247712216519567</v>
      </c>
      <c r="J42" s="891">
        <f t="shared" si="0"/>
        <v>0.59222684558451488</v>
      </c>
      <c r="K42" s="891">
        <f>AVERAGE(K3,K4,K5,K6,K7,K8,K14,K17,K27,K38,K41)</f>
        <v>0.68880909090909093</v>
      </c>
      <c r="L42" s="891">
        <f>AVERAGE(L3,L4,L5,L6,L7,L8,L14,L17,L27,L38,L41)</f>
        <v>0.66786000000000001</v>
      </c>
      <c r="M42" s="891">
        <f>AVERAGE(M3,M4,M5,M6,M7,M8,M14,M17,M27,M38,M41)</f>
        <v>0.78663181818181827</v>
      </c>
      <c r="N42" s="891">
        <f>AVERAGE(N3,N4,N5,N6,N7,N8,N14,N17,N27,N38,N41)</f>
        <v>0.76751999999999998</v>
      </c>
    </row>
    <row r="43" spans="1:14" x14ac:dyDescent="0.25">
      <c r="E43" s="892">
        <v>0.48049999999999998</v>
      </c>
      <c r="F43" s="892">
        <v>0.46616666666666667</v>
      </c>
    </row>
    <row r="44" spans="1:14" x14ac:dyDescent="0.25">
      <c r="G44" s="869"/>
    </row>
    <row r="46" spans="1:14" ht="15" customHeight="1" x14ac:dyDescent="0.25">
      <c r="A46" s="893" t="s">
        <v>1967</v>
      </c>
      <c r="B46" s="894"/>
      <c r="C46" s="894"/>
      <c r="D46" s="894"/>
      <c r="E46" s="894"/>
      <c r="F46" s="894"/>
      <c r="G46" s="894"/>
      <c r="H46" s="894"/>
      <c r="I46" s="894"/>
      <c r="J46" s="894"/>
      <c r="K46" s="894"/>
      <c r="L46" s="894"/>
      <c r="M46" s="894"/>
      <c r="N46" s="895"/>
    </row>
    <row r="47" spans="1:14" x14ac:dyDescent="0.25">
      <c r="A47" s="896"/>
      <c r="B47" s="897"/>
      <c r="C47" s="897"/>
      <c r="D47" s="897"/>
      <c r="E47" s="897"/>
      <c r="F47" s="897"/>
      <c r="G47" s="897"/>
      <c r="H47" s="897"/>
      <c r="I47" s="897"/>
      <c r="J47" s="897"/>
      <c r="K47" s="897"/>
      <c r="L47" s="897"/>
      <c r="M47" s="897"/>
      <c r="N47" s="898"/>
    </row>
    <row r="48" spans="1:14" ht="15" customHeight="1" x14ac:dyDescent="0.25">
      <c r="A48" s="896" t="s">
        <v>1968</v>
      </c>
      <c r="B48" s="897"/>
      <c r="C48" s="897"/>
      <c r="D48" s="897"/>
      <c r="E48" s="897"/>
      <c r="F48" s="897"/>
      <c r="G48" s="897"/>
      <c r="H48" s="897"/>
      <c r="I48" s="897"/>
      <c r="J48" s="897"/>
      <c r="K48" s="897"/>
      <c r="L48" s="897"/>
      <c r="M48" s="897"/>
      <c r="N48" s="898"/>
    </row>
    <row r="49" spans="1:14" ht="48" customHeight="1" x14ac:dyDescent="0.25">
      <c r="A49" s="896" t="s">
        <v>1969</v>
      </c>
      <c r="B49" s="897"/>
      <c r="C49" s="897"/>
      <c r="D49" s="897"/>
      <c r="E49" s="897"/>
      <c r="F49" s="897"/>
      <c r="G49" s="897"/>
      <c r="H49" s="897"/>
      <c r="I49" s="897"/>
      <c r="J49" s="897"/>
      <c r="K49" s="897"/>
      <c r="L49" s="897"/>
      <c r="M49" s="897"/>
      <c r="N49" s="898"/>
    </row>
    <row r="50" spans="1:14" ht="15" customHeight="1" x14ac:dyDescent="0.25">
      <c r="A50" s="896" t="s">
        <v>1970</v>
      </c>
      <c r="B50" s="897"/>
      <c r="C50" s="897"/>
      <c r="D50" s="897"/>
      <c r="E50" s="897"/>
      <c r="F50" s="897"/>
      <c r="G50" s="897"/>
      <c r="H50" s="897"/>
      <c r="I50" s="897"/>
      <c r="J50" s="897"/>
      <c r="K50" s="897"/>
      <c r="L50" s="897"/>
      <c r="M50" s="897"/>
      <c r="N50" s="898"/>
    </row>
    <row r="51" spans="1:14" x14ac:dyDescent="0.25">
      <c r="A51" s="896"/>
      <c r="B51" s="897"/>
      <c r="C51" s="897"/>
      <c r="D51" s="897"/>
      <c r="E51" s="897"/>
      <c r="F51" s="897"/>
      <c r="G51" s="897"/>
      <c r="H51" s="897"/>
      <c r="I51" s="897"/>
      <c r="J51" s="897"/>
      <c r="K51" s="897"/>
      <c r="L51" s="897"/>
      <c r="M51" s="897"/>
      <c r="N51" s="898"/>
    </row>
    <row r="52" spans="1:14" ht="2.25" customHeight="1" thickBot="1" x14ac:dyDescent="0.3">
      <c r="A52" s="899"/>
      <c r="B52" s="900"/>
      <c r="C52" s="900"/>
      <c r="D52" s="900"/>
      <c r="E52" s="900"/>
      <c r="F52" s="900"/>
      <c r="G52" s="900"/>
      <c r="H52" s="900"/>
      <c r="I52" s="900"/>
      <c r="J52" s="900"/>
      <c r="K52" s="900"/>
      <c r="L52" s="900"/>
      <c r="M52" s="900"/>
      <c r="N52" s="901"/>
    </row>
  </sheetData>
  <sheetProtection algorithmName="SHA-512" hashValue="gfAtbKRdrsS6UQpSjMOS6wP1BKPIouUHRWmfnRWX46l2Z/TzAV+dANlomXmmWEWt8CAp7IGHzTBv6j0L6hzB4A==" saltValue="1sWRXsHPUFfz10+qIiQtYQ==" spinCount="100000" sheet="1" objects="1" scenarios="1" selectLockedCells="1"/>
  <mergeCells count="17">
    <mergeCell ref="A39:A41"/>
    <mergeCell ref="A46:N47"/>
    <mergeCell ref="A48:N48"/>
    <mergeCell ref="A49:N49"/>
    <mergeCell ref="A50:N52"/>
    <mergeCell ref="K1:L1"/>
    <mergeCell ref="M1:N1"/>
    <mergeCell ref="A9:A14"/>
    <mergeCell ref="A15:A17"/>
    <mergeCell ref="A18:A27"/>
    <mergeCell ref="A28:A38"/>
    <mergeCell ref="A1:A2"/>
    <mergeCell ref="B1:B2"/>
    <mergeCell ref="C1:D1"/>
    <mergeCell ref="E1:F1"/>
    <mergeCell ref="G1:H1"/>
    <mergeCell ref="I1:J1"/>
  </mergeCells>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sheetPr>
  <dimension ref="A1:AAF582"/>
  <sheetViews>
    <sheetView topLeftCell="K1" zoomScaleNormal="100" workbookViewId="0">
      <pane xSplit="1" topLeftCell="CK1" activePane="topRight" state="frozen"/>
      <selection activeCell="CJ37" sqref="CJ37"/>
      <selection pane="topRight" activeCell="CK4" sqref="CK4:CR4"/>
    </sheetView>
  </sheetViews>
  <sheetFormatPr baseColWidth="10" defaultColWidth="11.42578125" defaultRowHeight="22.5" customHeight="1" x14ac:dyDescent="0.25"/>
  <cols>
    <col min="1" max="1" width="22.42578125" style="75" hidden="1" customWidth="1"/>
    <col min="2" max="2" width="26.7109375" style="75" hidden="1" customWidth="1"/>
    <col min="3" max="3" width="23.85546875" style="75" hidden="1" customWidth="1"/>
    <col min="4" max="4" width="33.42578125" style="75" hidden="1" customWidth="1"/>
    <col min="5" max="5" width="43.42578125" style="75" hidden="1" customWidth="1"/>
    <col min="6" max="6" width="17.140625" style="75" hidden="1" customWidth="1"/>
    <col min="7" max="7" width="26.7109375" style="75" hidden="1" customWidth="1"/>
    <col min="8" max="8" width="16.7109375" style="75" hidden="1" customWidth="1"/>
    <col min="9" max="9" width="17.28515625" style="75" customWidth="1"/>
    <col min="10" max="10" width="16.85546875" style="75" customWidth="1"/>
    <col min="11" max="11" width="12.5703125" style="75" customWidth="1"/>
    <col min="12" max="12" width="29.5703125" style="75" customWidth="1"/>
    <col min="13" max="13" width="35.42578125" style="75" customWidth="1"/>
    <col min="14" max="14" width="12.28515625" style="75" customWidth="1"/>
    <col min="15" max="15" width="6.85546875" style="75" customWidth="1"/>
    <col min="16" max="16" width="11.28515625" style="75" customWidth="1"/>
    <col min="17" max="17" width="25.28515625" style="75" customWidth="1"/>
    <col min="18" max="18" width="34" style="75" customWidth="1"/>
    <col min="19" max="19" width="19.28515625" style="100" customWidth="1"/>
    <col min="20" max="20" width="11.7109375" style="75" customWidth="1"/>
    <col min="21" max="21" width="18" style="75" customWidth="1"/>
    <col min="22" max="22" width="17" style="103" customWidth="1"/>
    <col min="23" max="23" width="18.5703125" style="103" customWidth="1"/>
    <col min="24" max="24" width="20.7109375" style="75" customWidth="1"/>
    <col min="25" max="25" width="12.85546875" style="75" customWidth="1"/>
    <col min="26" max="26" width="7.140625" style="75" customWidth="1"/>
    <col min="27" max="27" width="20.7109375" style="75" customWidth="1"/>
    <col min="28" max="28" width="37.7109375" style="75" customWidth="1"/>
    <col min="29" max="29" width="11.5703125" style="75" customWidth="1"/>
    <col min="30" max="30" width="8.140625" style="75" customWidth="1"/>
    <col min="31" max="31" width="20.42578125" style="75" customWidth="1"/>
    <col min="32" max="32" width="43" style="100" customWidth="1"/>
    <col min="33" max="33" width="12.85546875" style="75" customWidth="1"/>
    <col min="34" max="34" width="7.140625" style="75" customWidth="1"/>
    <col min="35" max="35" width="20.7109375" style="75" customWidth="1"/>
    <col min="36" max="36" width="37.7109375" style="75" customWidth="1"/>
    <col min="37" max="37" width="11.5703125" style="75" customWidth="1"/>
    <col min="38" max="38" width="8.140625" style="75" customWidth="1"/>
    <col min="39" max="39" width="20.42578125" style="75" customWidth="1"/>
    <col min="40" max="40" width="43" style="100" customWidth="1"/>
    <col min="41" max="41" width="12.85546875" style="75" customWidth="1"/>
    <col min="42" max="42" width="7.140625" style="75" customWidth="1"/>
    <col min="43" max="43" width="20.7109375" style="75" customWidth="1"/>
    <col min="44" max="44" width="37.7109375" style="75" customWidth="1"/>
    <col min="45" max="45" width="11.5703125" style="75" customWidth="1"/>
    <col min="46" max="46" width="8.140625" style="75" customWidth="1"/>
    <col min="47" max="47" width="20.42578125" style="75" customWidth="1"/>
    <col min="48" max="48" width="43" style="100" customWidth="1"/>
    <col min="49" max="49" width="12.85546875" style="101" customWidth="1"/>
    <col min="50" max="50" width="7.140625" style="101" customWidth="1"/>
    <col min="51" max="51" width="17.28515625" style="101" customWidth="1"/>
    <col min="52" max="52" width="27.28515625" style="101" customWidth="1"/>
    <col min="53" max="53" width="11.5703125" style="101" customWidth="1"/>
    <col min="54" max="54" width="8.140625" style="101" customWidth="1"/>
    <col min="55" max="55" width="20.42578125" style="101" customWidth="1"/>
    <col min="56" max="56" width="36.42578125" style="102" customWidth="1"/>
    <col min="57" max="58" width="11.42578125" style="97" customWidth="1"/>
    <col min="59" max="59" width="16.5703125" style="97" customWidth="1"/>
    <col min="60" max="60" width="28.42578125" style="97" customWidth="1"/>
    <col min="61" max="62" width="11.42578125" style="17" customWidth="1"/>
    <col min="63" max="63" width="17.140625" style="17" customWidth="1"/>
    <col min="64" max="64" width="29" style="17" customWidth="1"/>
    <col min="65" max="67" width="11.42578125" style="17"/>
    <col min="68" max="68" width="26.85546875" style="17" customWidth="1"/>
    <col min="69" max="70" width="11.42578125" style="17"/>
    <col min="71" max="71" width="12.140625" style="17" customWidth="1"/>
    <col min="72" max="72" width="32" style="17" customWidth="1"/>
    <col min="73" max="75" width="11.42578125" style="17"/>
    <col min="76" max="76" width="33.140625" style="17" customWidth="1"/>
    <col min="77" max="79" width="11.42578125" style="17"/>
    <col min="80" max="80" width="28.28515625" style="17" customWidth="1"/>
    <col min="81" max="81" width="12.85546875" style="75" customWidth="1"/>
    <col min="82" max="82" width="7.140625" style="75" customWidth="1"/>
    <col min="83" max="83" width="20.7109375" style="75" customWidth="1"/>
    <col min="84" max="84" width="37.7109375" style="75" customWidth="1"/>
    <col min="85" max="85" width="11.5703125" style="75" customWidth="1"/>
    <col min="86" max="86" width="8.140625" style="75" customWidth="1"/>
    <col min="87" max="87" width="20.42578125" style="75" customWidth="1"/>
    <col min="88" max="88" width="43" style="100" customWidth="1"/>
    <col min="89" max="89" width="11.28515625" style="17" customWidth="1"/>
    <col min="90" max="91" width="11.42578125" style="17"/>
    <col min="92" max="92" width="42.7109375" style="17" customWidth="1"/>
    <col min="93" max="95" width="11.42578125" style="17"/>
    <col min="96" max="96" width="50.140625" style="17" customWidth="1"/>
    <col min="97" max="708" width="11.42578125" style="17"/>
    <col min="709" max="16384" width="11.42578125" style="75"/>
  </cols>
  <sheetData>
    <row r="1" spans="1:708" s="1" customFormat="1" ht="15.75" customHeight="1" x14ac:dyDescent="0.25">
      <c r="C1" s="383" t="s">
        <v>0</v>
      </c>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c r="CA1" s="383"/>
      <c r="CB1" s="383"/>
      <c r="CC1" s="383"/>
      <c r="CD1" s="383"/>
      <c r="CE1" s="383"/>
      <c r="CF1" s="383"/>
      <c r="CG1" s="383"/>
      <c r="CH1" s="383"/>
      <c r="CI1" s="383"/>
      <c r="CJ1" s="384"/>
      <c r="CQ1" s="2" t="s">
        <v>1</v>
      </c>
      <c r="CR1" s="3">
        <v>43458</v>
      </c>
    </row>
    <row r="2" spans="1:708" s="1" customFormat="1" ht="30" customHeight="1" x14ac:dyDescent="0.25">
      <c r="C2" s="383"/>
      <c r="D2" s="383"/>
      <c r="E2" s="383"/>
      <c r="F2" s="383"/>
      <c r="G2" s="383"/>
      <c r="H2" s="383"/>
      <c r="I2" s="383"/>
      <c r="J2" s="383"/>
      <c r="K2" s="383"/>
      <c r="L2" s="383"/>
      <c r="M2" s="383"/>
      <c r="N2" s="383"/>
      <c r="O2" s="383"/>
      <c r="P2" s="383"/>
      <c r="Q2" s="383"/>
      <c r="R2" s="383"/>
      <c r="S2" s="383"/>
      <c r="T2" s="383"/>
      <c r="U2" s="383"/>
      <c r="V2" s="383"/>
      <c r="W2" s="383"/>
      <c r="X2" s="383"/>
      <c r="Y2" s="383"/>
      <c r="Z2" s="383"/>
      <c r="AA2" s="383"/>
      <c r="AB2" s="383"/>
      <c r="AC2" s="383"/>
      <c r="AD2" s="383"/>
      <c r="AE2" s="383"/>
      <c r="AF2" s="383"/>
      <c r="AG2" s="383"/>
      <c r="AH2" s="383"/>
      <c r="AI2" s="383"/>
      <c r="AJ2" s="383"/>
      <c r="AK2" s="383"/>
      <c r="AL2" s="383"/>
      <c r="AM2" s="383"/>
      <c r="AN2" s="383"/>
      <c r="AO2" s="383"/>
      <c r="AP2" s="383"/>
      <c r="AQ2" s="383"/>
      <c r="AR2" s="383"/>
      <c r="AS2" s="383"/>
      <c r="AT2" s="383"/>
      <c r="AU2" s="383"/>
      <c r="AV2" s="383"/>
      <c r="AW2" s="383"/>
      <c r="AX2" s="383"/>
      <c r="AY2" s="383"/>
      <c r="AZ2" s="383"/>
      <c r="BA2" s="383"/>
      <c r="BB2" s="383"/>
      <c r="BC2" s="383"/>
      <c r="BD2" s="383"/>
      <c r="BE2" s="383"/>
      <c r="BF2" s="383"/>
      <c r="BG2" s="383"/>
      <c r="BH2" s="383"/>
      <c r="BI2" s="383"/>
      <c r="BJ2" s="383"/>
      <c r="BK2" s="383"/>
      <c r="BL2" s="383"/>
      <c r="BM2" s="383"/>
      <c r="BN2" s="383"/>
      <c r="BO2" s="383"/>
      <c r="BP2" s="383"/>
      <c r="BQ2" s="383"/>
      <c r="BR2" s="383"/>
      <c r="BS2" s="383"/>
      <c r="BT2" s="383"/>
      <c r="BU2" s="383"/>
      <c r="BV2" s="383"/>
      <c r="BW2" s="383"/>
      <c r="BX2" s="383"/>
      <c r="BY2" s="383"/>
      <c r="BZ2" s="383"/>
      <c r="CA2" s="383"/>
      <c r="CB2" s="383"/>
      <c r="CC2" s="383"/>
      <c r="CD2" s="383"/>
      <c r="CE2" s="383"/>
      <c r="CF2" s="383"/>
      <c r="CG2" s="383"/>
      <c r="CH2" s="383"/>
      <c r="CI2" s="383"/>
      <c r="CJ2" s="384"/>
      <c r="CQ2" s="2" t="s">
        <v>2</v>
      </c>
      <c r="CR2" s="2">
        <v>5</v>
      </c>
    </row>
    <row r="3" spans="1:708" s="1" customFormat="1" ht="29.25" customHeight="1" x14ac:dyDescent="0.25">
      <c r="C3" s="383"/>
      <c r="D3" s="383"/>
      <c r="E3" s="383"/>
      <c r="F3" s="383"/>
      <c r="G3" s="383"/>
      <c r="H3" s="383"/>
      <c r="I3" s="383"/>
      <c r="J3" s="383"/>
      <c r="K3" s="383"/>
      <c r="L3" s="383"/>
      <c r="M3" s="383"/>
      <c r="N3" s="383"/>
      <c r="O3" s="383"/>
      <c r="P3" s="383"/>
      <c r="Q3" s="383"/>
      <c r="R3" s="383"/>
      <c r="S3" s="383"/>
      <c r="T3" s="383"/>
      <c r="U3" s="383"/>
      <c r="V3" s="383"/>
      <c r="W3" s="383"/>
      <c r="X3" s="383"/>
      <c r="Y3" s="383"/>
      <c r="Z3" s="383"/>
      <c r="AA3" s="383"/>
      <c r="AB3" s="383"/>
      <c r="AC3" s="383"/>
      <c r="AD3" s="383"/>
      <c r="AE3" s="383"/>
      <c r="AF3" s="383"/>
      <c r="AG3" s="383"/>
      <c r="AH3" s="383"/>
      <c r="AI3" s="383"/>
      <c r="AJ3" s="383"/>
      <c r="AK3" s="383"/>
      <c r="AL3" s="383"/>
      <c r="AM3" s="383"/>
      <c r="AN3" s="383"/>
      <c r="AO3" s="383"/>
      <c r="AP3" s="383"/>
      <c r="AQ3" s="383"/>
      <c r="AR3" s="383"/>
      <c r="AS3" s="383"/>
      <c r="AT3" s="383"/>
      <c r="AU3" s="383"/>
      <c r="AV3" s="383"/>
      <c r="AW3" s="383"/>
      <c r="AX3" s="383"/>
      <c r="AY3" s="383"/>
      <c r="AZ3" s="383"/>
      <c r="BA3" s="383"/>
      <c r="BB3" s="383"/>
      <c r="BC3" s="383"/>
      <c r="BD3" s="383"/>
      <c r="BE3" s="383"/>
      <c r="BF3" s="383"/>
      <c r="BG3" s="383"/>
      <c r="BH3" s="383"/>
      <c r="BI3" s="383"/>
      <c r="BJ3" s="383"/>
      <c r="BK3" s="383"/>
      <c r="BL3" s="383"/>
      <c r="BM3" s="383"/>
      <c r="BN3" s="383"/>
      <c r="BO3" s="383"/>
      <c r="BP3" s="383"/>
      <c r="BQ3" s="383"/>
      <c r="BR3" s="383"/>
      <c r="BS3" s="383"/>
      <c r="BT3" s="383"/>
      <c r="BU3" s="383"/>
      <c r="BV3" s="383"/>
      <c r="BW3" s="383"/>
      <c r="BX3" s="383"/>
      <c r="BY3" s="383"/>
      <c r="BZ3" s="383"/>
      <c r="CA3" s="383"/>
      <c r="CB3" s="383"/>
      <c r="CC3" s="383"/>
      <c r="CD3" s="383"/>
      <c r="CE3" s="383"/>
      <c r="CF3" s="383"/>
      <c r="CG3" s="383"/>
      <c r="CH3" s="383"/>
      <c r="CI3" s="383"/>
      <c r="CJ3" s="384"/>
      <c r="CQ3" s="2" t="s">
        <v>3</v>
      </c>
      <c r="CR3" s="2" t="s">
        <v>4</v>
      </c>
    </row>
    <row r="4" spans="1:708" s="5" customFormat="1" ht="12.75" customHeight="1" x14ac:dyDescent="0.25">
      <c r="A4" s="419" t="s">
        <v>5</v>
      </c>
      <c r="B4" s="420"/>
      <c r="C4" s="420"/>
      <c r="D4" s="420"/>
      <c r="E4" s="420"/>
      <c r="F4" s="420"/>
      <c r="G4" s="420"/>
      <c r="H4" s="420"/>
      <c r="I4" s="420"/>
      <c r="J4" s="420"/>
      <c r="K4" s="421"/>
      <c r="L4" s="422" t="s">
        <v>6</v>
      </c>
      <c r="M4" s="423"/>
      <c r="N4" s="423"/>
      <c r="O4" s="423"/>
      <c r="P4" s="424"/>
      <c r="Q4" s="422" t="s">
        <v>7</v>
      </c>
      <c r="R4" s="423"/>
      <c r="S4" s="423"/>
      <c r="T4" s="423"/>
      <c r="U4" s="424"/>
      <c r="V4" s="425" t="s">
        <v>8</v>
      </c>
      <c r="W4" s="426"/>
      <c r="X4" s="429" t="s">
        <v>9</v>
      </c>
      <c r="Y4" s="399" t="s">
        <v>10</v>
      </c>
      <c r="Z4" s="400"/>
      <c r="AA4" s="400"/>
      <c r="AB4" s="400"/>
      <c r="AC4" s="400"/>
      <c r="AD4" s="400"/>
      <c r="AE4" s="400"/>
      <c r="AF4" s="401"/>
      <c r="AG4" s="399" t="s">
        <v>11</v>
      </c>
      <c r="AH4" s="400"/>
      <c r="AI4" s="400"/>
      <c r="AJ4" s="400"/>
      <c r="AK4" s="400"/>
      <c r="AL4" s="400"/>
      <c r="AM4" s="400"/>
      <c r="AN4" s="401"/>
      <c r="AO4" s="399" t="s">
        <v>12</v>
      </c>
      <c r="AP4" s="400"/>
      <c r="AQ4" s="400"/>
      <c r="AR4" s="400"/>
      <c r="AS4" s="400"/>
      <c r="AT4" s="400"/>
      <c r="AU4" s="400"/>
      <c r="AV4" s="401"/>
      <c r="AW4" s="399" t="s">
        <v>13</v>
      </c>
      <c r="AX4" s="400"/>
      <c r="AY4" s="400"/>
      <c r="AZ4" s="400"/>
      <c r="BA4" s="400"/>
      <c r="BB4" s="400"/>
      <c r="BC4" s="400"/>
      <c r="BD4" s="401"/>
      <c r="BE4" s="399" t="s">
        <v>14</v>
      </c>
      <c r="BF4" s="400"/>
      <c r="BG4" s="400"/>
      <c r="BH4" s="400"/>
      <c r="BI4" s="400"/>
      <c r="BJ4" s="400"/>
      <c r="BK4" s="400"/>
      <c r="BL4" s="401"/>
      <c r="BM4" s="399" t="s">
        <v>15</v>
      </c>
      <c r="BN4" s="400"/>
      <c r="BO4" s="400"/>
      <c r="BP4" s="400"/>
      <c r="BQ4" s="400"/>
      <c r="BR4" s="400"/>
      <c r="BS4" s="400"/>
      <c r="BT4" s="401"/>
      <c r="BU4" s="399" t="s">
        <v>16</v>
      </c>
      <c r="BV4" s="400"/>
      <c r="BW4" s="400"/>
      <c r="BX4" s="400"/>
      <c r="BY4" s="400"/>
      <c r="BZ4" s="400"/>
      <c r="CA4" s="400"/>
      <c r="CB4" s="401"/>
      <c r="CC4" s="399" t="s">
        <v>382</v>
      </c>
      <c r="CD4" s="400"/>
      <c r="CE4" s="400"/>
      <c r="CF4" s="400"/>
      <c r="CG4" s="400"/>
      <c r="CH4" s="400"/>
      <c r="CI4" s="400"/>
      <c r="CJ4" s="401"/>
      <c r="CK4" s="399" t="s">
        <v>595</v>
      </c>
      <c r="CL4" s="400"/>
      <c r="CM4" s="400"/>
      <c r="CN4" s="400"/>
      <c r="CO4" s="400"/>
      <c r="CP4" s="400"/>
      <c r="CQ4" s="400"/>
      <c r="CR4" s="401"/>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c r="IZ4" s="4"/>
      <c r="JA4" s="4"/>
      <c r="JB4" s="4"/>
      <c r="JC4" s="4"/>
      <c r="JD4" s="4"/>
      <c r="JE4" s="4"/>
      <c r="JF4" s="4"/>
      <c r="JG4" s="4"/>
      <c r="JH4" s="4"/>
      <c r="JI4" s="4"/>
      <c r="JJ4" s="4"/>
      <c r="JK4" s="4"/>
      <c r="JL4" s="4"/>
      <c r="JM4" s="4"/>
      <c r="JN4" s="4"/>
      <c r="JO4" s="4"/>
      <c r="JP4" s="4"/>
      <c r="JQ4" s="4"/>
      <c r="JR4" s="4"/>
      <c r="JS4" s="4"/>
      <c r="JT4" s="4"/>
      <c r="JU4" s="4"/>
      <c r="JV4" s="4"/>
      <c r="JW4" s="4"/>
      <c r="JX4" s="4"/>
      <c r="JY4" s="4"/>
      <c r="JZ4" s="4"/>
      <c r="KA4" s="4"/>
      <c r="KB4" s="4"/>
      <c r="KC4" s="4"/>
      <c r="KD4" s="4"/>
      <c r="KE4" s="4"/>
      <c r="KF4" s="4"/>
      <c r="KG4" s="4"/>
      <c r="KH4" s="4"/>
      <c r="KI4" s="4"/>
      <c r="KJ4" s="4"/>
      <c r="KK4" s="4"/>
      <c r="KL4" s="4"/>
      <c r="KM4" s="4"/>
      <c r="KN4" s="4"/>
      <c r="KO4" s="4"/>
      <c r="KP4" s="4"/>
      <c r="KQ4" s="4"/>
      <c r="KR4" s="4"/>
      <c r="KS4" s="4"/>
      <c r="KT4" s="4"/>
      <c r="KU4" s="4"/>
      <c r="KV4" s="4"/>
      <c r="KW4" s="4"/>
      <c r="KX4" s="4"/>
      <c r="KY4" s="4"/>
      <c r="KZ4" s="4"/>
      <c r="LA4" s="4"/>
      <c r="LB4" s="4"/>
      <c r="LC4" s="4"/>
      <c r="LD4" s="4"/>
      <c r="LE4" s="4"/>
      <c r="LF4" s="4"/>
      <c r="LG4" s="4"/>
      <c r="LH4" s="4"/>
      <c r="LI4" s="4"/>
      <c r="LJ4" s="4"/>
      <c r="LK4" s="4"/>
      <c r="LL4" s="4"/>
      <c r="LM4" s="4"/>
      <c r="LN4" s="4"/>
      <c r="LO4" s="4"/>
      <c r="LP4" s="4"/>
      <c r="LQ4" s="4"/>
      <c r="LR4" s="4"/>
      <c r="LS4" s="4"/>
      <c r="LT4" s="4"/>
      <c r="LU4" s="4"/>
      <c r="LV4" s="4"/>
      <c r="LW4" s="4"/>
      <c r="LX4" s="4"/>
      <c r="LY4" s="4"/>
      <c r="LZ4" s="4"/>
      <c r="MA4" s="4"/>
      <c r="MB4" s="4"/>
      <c r="MC4" s="4"/>
      <c r="MD4" s="4"/>
      <c r="ME4" s="4"/>
      <c r="MF4" s="4"/>
      <c r="MG4" s="4"/>
      <c r="MH4" s="4"/>
      <c r="MI4" s="4"/>
      <c r="MJ4" s="4"/>
      <c r="MK4" s="4"/>
      <c r="ML4" s="4"/>
      <c r="MM4" s="4"/>
      <c r="MN4" s="4"/>
      <c r="MO4" s="4"/>
      <c r="MP4" s="4"/>
      <c r="MQ4" s="4"/>
      <c r="MR4" s="4"/>
      <c r="MS4" s="4"/>
      <c r="MT4" s="4"/>
      <c r="MU4" s="4"/>
      <c r="MV4" s="4"/>
      <c r="MW4" s="4"/>
      <c r="MX4" s="4"/>
      <c r="MY4" s="4"/>
      <c r="MZ4" s="4"/>
      <c r="NA4" s="4"/>
      <c r="NB4" s="4"/>
      <c r="NC4" s="4"/>
      <c r="ND4" s="4"/>
      <c r="NE4" s="4"/>
      <c r="NF4" s="4"/>
      <c r="NG4" s="4"/>
      <c r="NH4" s="4"/>
      <c r="NI4" s="4"/>
      <c r="NJ4" s="4"/>
      <c r="NK4" s="4"/>
      <c r="NL4" s="4"/>
      <c r="NM4" s="4"/>
      <c r="NN4" s="4"/>
      <c r="NO4" s="4"/>
      <c r="NP4" s="4"/>
      <c r="NQ4" s="4"/>
      <c r="NR4" s="4"/>
      <c r="NS4" s="4"/>
      <c r="NT4" s="4"/>
      <c r="NU4" s="4"/>
      <c r="NV4" s="4"/>
      <c r="NW4" s="4"/>
      <c r="NX4" s="4"/>
      <c r="NY4" s="4"/>
      <c r="NZ4" s="4"/>
      <c r="OA4" s="4"/>
      <c r="OB4" s="4"/>
      <c r="OC4" s="4"/>
      <c r="OD4" s="4"/>
      <c r="OE4" s="4"/>
      <c r="OF4" s="4"/>
      <c r="OG4" s="4"/>
      <c r="OH4" s="4"/>
      <c r="OI4" s="4"/>
      <c r="OJ4" s="4"/>
      <c r="OK4" s="4"/>
      <c r="OL4" s="4"/>
      <c r="OM4" s="4"/>
      <c r="ON4" s="4"/>
      <c r="OO4" s="4"/>
      <c r="OP4" s="4"/>
      <c r="OQ4" s="4"/>
      <c r="OR4" s="4"/>
      <c r="OS4" s="4"/>
      <c r="OT4" s="4"/>
      <c r="OU4" s="4"/>
      <c r="OV4" s="4"/>
      <c r="OW4" s="4"/>
      <c r="OX4" s="4"/>
      <c r="OY4" s="4"/>
      <c r="OZ4" s="4"/>
      <c r="PA4" s="4"/>
      <c r="PB4" s="4"/>
      <c r="PC4" s="4"/>
      <c r="PD4" s="4"/>
      <c r="PE4" s="4"/>
      <c r="PF4" s="4"/>
      <c r="PG4" s="4"/>
      <c r="PH4" s="4"/>
      <c r="PI4" s="4"/>
      <c r="PJ4" s="4"/>
      <c r="PK4" s="4"/>
      <c r="PL4" s="4"/>
      <c r="PM4" s="4"/>
      <c r="PN4" s="4"/>
      <c r="PO4" s="4"/>
      <c r="PP4" s="4"/>
      <c r="PQ4" s="4"/>
      <c r="PR4" s="4"/>
      <c r="PS4" s="4"/>
      <c r="PT4" s="4"/>
      <c r="PU4" s="4"/>
      <c r="PV4" s="4"/>
      <c r="PW4" s="4"/>
      <c r="PX4" s="4"/>
      <c r="PY4" s="4"/>
      <c r="PZ4" s="4"/>
      <c r="QA4" s="4"/>
      <c r="QB4" s="4"/>
      <c r="QC4" s="4"/>
      <c r="QD4" s="4"/>
      <c r="QE4" s="4"/>
      <c r="QF4" s="4"/>
      <c r="QG4" s="4"/>
      <c r="QH4" s="4"/>
      <c r="QI4" s="4"/>
      <c r="QJ4" s="4"/>
      <c r="QK4" s="4"/>
      <c r="QL4" s="4"/>
      <c r="QM4" s="4"/>
      <c r="QN4" s="4"/>
      <c r="QO4" s="4"/>
      <c r="QP4" s="4"/>
      <c r="QQ4" s="4"/>
      <c r="QR4" s="4"/>
      <c r="QS4" s="4"/>
      <c r="QT4" s="4"/>
      <c r="QU4" s="4"/>
      <c r="QV4" s="4"/>
      <c r="QW4" s="4"/>
      <c r="QX4" s="4"/>
      <c r="QY4" s="4"/>
      <c r="QZ4" s="4"/>
      <c r="RA4" s="4"/>
      <c r="RB4" s="4"/>
      <c r="RC4" s="4"/>
      <c r="RD4" s="4"/>
      <c r="RE4" s="4"/>
      <c r="RF4" s="4"/>
      <c r="RG4" s="4"/>
      <c r="RH4" s="4"/>
      <c r="RI4" s="4"/>
      <c r="RJ4" s="4"/>
      <c r="RK4" s="4"/>
      <c r="RL4" s="4"/>
      <c r="RM4" s="4"/>
      <c r="RN4" s="4"/>
      <c r="RO4" s="4"/>
      <c r="RP4" s="4"/>
      <c r="RQ4" s="4"/>
      <c r="RR4" s="4"/>
      <c r="RS4" s="4"/>
      <c r="RT4" s="4"/>
      <c r="RU4" s="4"/>
      <c r="RV4" s="4"/>
      <c r="RW4" s="4"/>
      <c r="RX4" s="4"/>
      <c r="RY4" s="4"/>
      <c r="RZ4" s="4"/>
      <c r="SA4" s="4"/>
      <c r="SB4" s="4"/>
      <c r="SC4" s="4"/>
      <c r="SD4" s="4"/>
      <c r="SE4" s="4"/>
      <c r="SF4" s="4"/>
      <c r="SG4" s="4"/>
      <c r="SH4" s="4"/>
      <c r="SI4" s="4"/>
      <c r="SJ4" s="4"/>
      <c r="SK4" s="4"/>
      <c r="SL4" s="4"/>
      <c r="SM4" s="4"/>
      <c r="SN4" s="4"/>
      <c r="SO4" s="4"/>
      <c r="SP4" s="4"/>
      <c r="SQ4" s="4"/>
      <c r="SR4" s="4"/>
      <c r="SS4" s="4"/>
      <c r="ST4" s="4"/>
      <c r="SU4" s="4"/>
      <c r="SV4" s="4"/>
      <c r="SW4" s="4"/>
      <c r="SX4" s="4"/>
      <c r="SY4" s="4"/>
      <c r="SZ4" s="4"/>
      <c r="TA4" s="4"/>
      <c r="TB4" s="4"/>
      <c r="TC4" s="4"/>
      <c r="TD4" s="4"/>
      <c r="TE4" s="4"/>
      <c r="TF4" s="4"/>
      <c r="TG4" s="4"/>
      <c r="TH4" s="4"/>
      <c r="TI4" s="4"/>
      <c r="TJ4" s="4"/>
      <c r="TK4" s="4"/>
      <c r="TL4" s="4"/>
      <c r="TM4" s="4"/>
      <c r="TN4" s="4"/>
      <c r="TO4" s="4"/>
      <c r="TP4" s="4"/>
      <c r="TQ4" s="4"/>
      <c r="TR4" s="4"/>
      <c r="TS4" s="4"/>
      <c r="TT4" s="4"/>
      <c r="TU4" s="4"/>
      <c r="TV4" s="4"/>
      <c r="TW4" s="4"/>
      <c r="TX4" s="4"/>
      <c r="TY4" s="4"/>
      <c r="TZ4" s="4"/>
      <c r="UA4" s="4"/>
      <c r="UB4" s="4"/>
      <c r="UC4" s="4"/>
      <c r="UD4" s="4"/>
      <c r="UE4" s="4"/>
      <c r="UF4" s="4"/>
      <c r="UG4" s="4"/>
      <c r="UH4" s="4"/>
      <c r="UI4" s="4"/>
      <c r="UJ4" s="4"/>
      <c r="UK4" s="4"/>
      <c r="UL4" s="4"/>
      <c r="UM4" s="4"/>
      <c r="UN4" s="4"/>
      <c r="UO4" s="4"/>
      <c r="UP4" s="4"/>
      <c r="UQ4" s="4"/>
      <c r="UR4" s="4"/>
      <c r="US4" s="4"/>
      <c r="UT4" s="4"/>
      <c r="UU4" s="4"/>
      <c r="UV4" s="4"/>
      <c r="UW4" s="4"/>
      <c r="UX4" s="4"/>
      <c r="UY4" s="4"/>
      <c r="UZ4" s="4"/>
      <c r="VA4" s="4"/>
      <c r="VB4" s="4"/>
      <c r="VC4" s="4"/>
      <c r="VD4" s="4"/>
      <c r="VE4" s="4"/>
      <c r="VF4" s="4"/>
      <c r="VG4" s="4"/>
      <c r="VH4" s="4"/>
      <c r="VI4" s="4"/>
      <c r="VJ4" s="4"/>
      <c r="VK4" s="4"/>
      <c r="VL4" s="4"/>
      <c r="VM4" s="4"/>
      <c r="VN4" s="4"/>
      <c r="VO4" s="4"/>
      <c r="VP4" s="4"/>
      <c r="VQ4" s="4"/>
      <c r="VR4" s="4"/>
      <c r="VS4" s="4"/>
      <c r="VT4" s="4"/>
      <c r="VU4" s="4"/>
      <c r="VV4" s="4"/>
      <c r="VW4" s="4"/>
      <c r="VX4" s="4"/>
      <c r="VY4" s="4"/>
      <c r="VZ4" s="4"/>
      <c r="WA4" s="4"/>
      <c r="WB4" s="4"/>
      <c r="WC4" s="4"/>
      <c r="WD4" s="4"/>
      <c r="WE4" s="4"/>
      <c r="WF4" s="4"/>
      <c r="WG4" s="4"/>
      <c r="WH4" s="4"/>
      <c r="WI4" s="4"/>
      <c r="WJ4" s="4"/>
      <c r="WK4" s="4"/>
      <c r="WL4" s="4"/>
      <c r="WM4" s="4"/>
      <c r="WN4" s="4"/>
      <c r="WO4" s="4"/>
      <c r="WP4" s="4"/>
      <c r="WQ4" s="4"/>
      <c r="WR4" s="4"/>
      <c r="WS4" s="4"/>
      <c r="WT4" s="4"/>
      <c r="WU4" s="4"/>
      <c r="WV4" s="4"/>
      <c r="WW4" s="4"/>
      <c r="WX4" s="4"/>
      <c r="WY4" s="4"/>
      <c r="WZ4" s="4"/>
      <c r="XA4" s="4"/>
      <c r="XB4" s="4"/>
      <c r="XC4" s="4"/>
      <c r="XD4" s="4"/>
      <c r="XE4" s="4"/>
      <c r="XF4" s="4"/>
      <c r="XG4" s="4"/>
      <c r="XH4" s="4"/>
      <c r="XI4" s="4"/>
      <c r="XJ4" s="4"/>
      <c r="XK4" s="4"/>
      <c r="XL4" s="4"/>
      <c r="XM4" s="4"/>
      <c r="XN4" s="4"/>
      <c r="XO4" s="4"/>
      <c r="XP4" s="4"/>
      <c r="XQ4" s="4"/>
      <c r="XR4" s="4"/>
      <c r="XS4" s="4"/>
      <c r="XT4" s="4"/>
      <c r="XU4" s="4"/>
      <c r="XV4" s="4"/>
      <c r="XW4" s="4"/>
      <c r="XX4" s="4"/>
      <c r="XY4" s="4"/>
      <c r="XZ4" s="4"/>
      <c r="YA4" s="4"/>
      <c r="YB4" s="4"/>
      <c r="YC4" s="4"/>
      <c r="YD4" s="4"/>
      <c r="YE4" s="4"/>
      <c r="YF4" s="4"/>
      <c r="YG4" s="4"/>
      <c r="YH4" s="4"/>
      <c r="YI4" s="4"/>
      <c r="YJ4" s="4"/>
      <c r="YK4" s="4"/>
      <c r="YL4" s="4"/>
      <c r="YM4" s="4"/>
      <c r="YN4" s="4"/>
      <c r="YO4" s="4"/>
      <c r="YP4" s="4"/>
      <c r="YQ4" s="4"/>
      <c r="YR4" s="4"/>
      <c r="YS4" s="4"/>
      <c r="YT4" s="4"/>
      <c r="YU4" s="4"/>
      <c r="YV4" s="4"/>
      <c r="YW4" s="4"/>
      <c r="YX4" s="4"/>
      <c r="YY4" s="4"/>
      <c r="YZ4" s="4"/>
      <c r="ZA4" s="4"/>
      <c r="ZB4" s="4"/>
      <c r="ZC4" s="4"/>
      <c r="ZD4" s="4"/>
      <c r="ZE4" s="4"/>
      <c r="ZF4" s="4"/>
      <c r="ZG4" s="4"/>
      <c r="ZH4" s="4"/>
      <c r="ZI4" s="4"/>
      <c r="ZJ4" s="4"/>
      <c r="ZK4" s="4"/>
      <c r="ZL4" s="4"/>
      <c r="ZM4" s="4"/>
      <c r="ZN4" s="4"/>
      <c r="ZO4" s="4"/>
      <c r="ZP4" s="4"/>
      <c r="ZQ4" s="4"/>
      <c r="ZR4" s="4"/>
      <c r="ZS4" s="4"/>
      <c r="ZT4" s="4"/>
      <c r="ZU4" s="4"/>
      <c r="ZV4" s="4"/>
      <c r="ZW4" s="4"/>
      <c r="ZX4" s="4"/>
      <c r="ZY4" s="4"/>
      <c r="ZZ4" s="4"/>
      <c r="AAA4" s="4"/>
      <c r="AAB4" s="4"/>
      <c r="AAC4" s="4"/>
      <c r="AAD4" s="4"/>
      <c r="AAE4" s="4"/>
      <c r="AAF4" s="4"/>
    </row>
    <row r="5" spans="1:708" s="7" customFormat="1" ht="15" x14ac:dyDescent="0.25">
      <c r="A5" s="402" t="s">
        <v>17</v>
      </c>
      <c r="B5" s="403"/>
      <c r="C5" s="406"/>
      <c r="D5" s="6" t="s">
        <v>18</v>
      </c>
      <c r="E5" s="402" t="s">
        <v>19</v>
      </c>
      <c r="F5" s="406"/>
      <c r="G5" s="402" t="s">
        <v>20</v>
      </c>
      <c r="H5" s="403"/>
      <c r="I5" s="406"/>
      <c r="J5" s="417" t="s">
        <v>21</v>
      </c>
      <c r="K5" s="417" t="s">
        <v>22</v>
      </c>
      <c r="L5" s="399"/>
      <c r="M5" s="400"/>
      <c r="N5" s="400"/>
      <c r="O5" s="400"/>
      <c r="P5" s="401"/>
      <c r="Q5" s="399"/>
      <c r="R5" s="400"/>
      <c r="S5" s="400"/>
      <c r="T5" s="400"/>
      <c r="U5" s="401"/>
      <c r="V5" s="427"/>
      <c r="W5" s="428"/>
      <c r="X5" s="430"/>
      <c r="Y5" s="402" t="s">
        <v>23</v>
      </c>
      <c r="Z5" s="403"/>
      <c r="AA5" s="403"/>
      <c r="AB5" s="404"/>
      <c r="AC5" s="405" t="s">
        <v>24</v>
      </c>
      <c r="AD5" s="403"/>
      <c r="AE5" s="403"/>
      <c r="AF5" s="406"/>
      <c r="AG5" s="402" t="s">
        <v>23</v>
      </c>
      <c r="AH5" s="403"/>
      <c r="AI5" s="403"/>
      <c r="AJ5" s="404"/>
      <c r="AK5" s="405" t="s">
        <v>24</v>
      </c>
      <c r="AL5" s="403"/>
      <c r="AM5" s="403"/>
      <c r="AN5" s="406"/>
      <c r="AO5" s="402" t="s">
        <v>23</v>
      </c>
      <c r="AP5" s="403"/>
      <c r="AQ5" s="403"/>
      <c r="AR5" s="404"/>
      <c r="AS5" s="405" t="s">
        <v>24</v>
      </c>
      <c r="AT5" s="403"/>
      <c r="AU5" s="403"/>
      <c r="AV5" s="406"/>
      <c r="AW5" s="402" t="s">
        <v>23</v>
      </c>
      <c r="AX5" s="403"/>
      <c r="AY5" s="403"/>
      <c r="AZ5" s="404"/>
      <c r="BA5" s="405" t="s">
        <v>24</v>
      </c>
      <c r="BB5" s="403"/>
      <c r="BC5" s="403"/>
      <c r="BD5" s="406"/>
      <c r="BE5" s="402" t="s">
        <v>23</v>
      </c>
      <c r="BF5" s="403"/>
      <c r="BG5" s="403"/>
      <c r="BH5" s="404"/>
      <c r="BI5" s="405" t="s">
        <v>24</v>
      </c>
      <c r="BJ5" s="403"/>
      <c r="BK5" s="403"/>
      <c r="BL5" s="406"/>
      <c r="BM5" s="402" t="s">
        <v>23</v>
      </c>
      <c r="BN5" s="403"/>
      <c r="BO5" s="403"/>
      <c r="BP5" s="404"/>
      <c r="BQ5" s="405" t="s">
        <v>24</v>
      </c>
      <c r="BR5" s="403"/>
      <c r="BS5" s="403"/>
      <c r="BT5" s="406"/>
      <c r="BU5" s="402" t="s">
        <v>23</v>
      </c>
      <c r="BV5" s="403"/>
      <c r="BW5" s="403"/>
      <c r="BX5" s="404"/>
      <c r="BY5" s="405" t="s">
        <v>24</v>
      </c>
      <c r="BZ5" s="403"/>
      <c r="CA5" s="403"/>
      <c r="CB5" s="406"/>
      <c r="CC5" s="402" t="s">
        <v>23</v>
      </c>
      <c r="CD5" s="403"/>
      <c r="CE5" s="403"/>
      <c r="CF5" s="404"/>
      <c r="CG5" s="405" t="s">
        <v>24</v>
      </c>
      <c r="CH5" s="403"/>
      <c r="CI5" s="403"/>
      <c r="CJ5" s="406"/>
      <c r="CK5" s="402" t="s">
        <v>23</v>
      </c>
      <c r="CL5" s="403"/>
      <c r="CM5" s="403"/>
      <c r="CN5" s="404"/>
      <c r="CO5" s="405" t="s">
        <v>24</v>
      </c>
      <c r="CP5" s="403"/>
      <c r="CQ5" s="403"/>
      <c r="CR5" s="406"/>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c r="IX5" s="4"/>
      <c r="IY5" s="4"/>
      <c r="IZ5" s="4"/>
      <c r="JA5" s="4"/>
      <c r="JB5" s="4"/>
      <c r="JC5" s="4"/>
      <c r="JD5" s="4"/>
      <c r="JE5" s="4"/>
      <c r="JF5" s="4"/>
      <c r="JG5" s="4"/>
      <c r="JH5" s="4"/>
      <c r="JI5" s="4"/>
      <c r="JJ5" s="4"/>
      <c r="JK5" s="4"/>
      <c r="JL5" s="4"/>
      <c r="JM5" s="4"/>
      <c r="JN5" s="4"/>
      <c r="JO5" s="4"/>
      <c r="JP5" s="4"/>
      <c r="JQ5" s="4"/>
      <c r="JR5" s="4"/>
      <c r="JS5" s="4"/>
      <c r="JT5" s="4"/>
      <c r="JU5" s="4"/>
      <c r="JV5" s="4"/>
      <c r="JW5" s="4"/>
      <c r="JX5" s="4"/>
      <c r="JY5" s="4"/>
      <c r="JZ5" s="4"/>
      <c r="KA5" s="4"/>
      <c r="KB5" s="4"/>
      <c r="KC5" s="4"/>
      <c r="KD5" s="4"/>
      <c r="KE5" s="4"/>
      <c r="KF5" s="4"/>
      <c r="KG5" s="4"/>
      <c r="KH5" s="4"/>
      <c r="KI5" s="4"/>
      <c r="KJ5" s="4"/>
      <c r="KK5" s="4"/>
      <c r="KL5" s="4"/>
      <c r="KM5" s="4"/>
      <c r="KN5" s="4"/>
      <c r="KO5" s="4"/>
      <c r="KP5" s="4"/>
      <c r="KQ5" s="4"/>
      <c r="KR5" s="4"/>
      <c r="KS5" s="4"/>
      <c r="KT5" s="4"/>
      <c r="KU5" s="4"/>
      <c r="KV5" s="4"/>
      <c r="KW5" s="4"/>
      <c r="KX5" s="4"/>
      <c r="KY5" s="4"/>
      <c r="KZ5" s="4"/>
      <c r="LA5" s="4"/>
      <c r="LB5" s="4"/>
      <c r="LC5" s="4"/>
      <c r="LD5" s="4"/>
      <c r="LE5" s="4"/>
      <c r="LF5" s="4"/>
      <c r="LG5" s="4"/>
      <c r="LH5" s="4"/>
      <c r="LI5" s="4"/>
      <c r="LJ5" s="4"/>
      <c r="LK5" s="4"/>
      <c r="LL5" s="4"/>
      <c r="LM5" s="4"/>
      <c r="LN5" s="4"/>
      <c r="LO5" s="4"/>
      <c r="LP5" s="4"/>
      <c r="LQ5" s="4"/>
      <c r="LR5" s="4"/>
      <c r="LS5" s="4"/>
      <c r="LT5" s="4"/>
      <c r="LU5" s="4"/>
      <c r="LV5" s="4"/>
      <c r="LW5" s="4"/>
      <c r="LX5" s="4"/>
      <c r="LY5" s="4"/>
      <c r="LZ5" s="4"/>
      <c r="MA5" s="4"/>
      <c r="MB5" s="4"/>
      <c r="MC5" s="4"/>
      <c r="MD5" s="4"/>
      <c r="ME5" s="4"/>
      <c r="MF5" s="4"/>
      <c r="MG5" s="4"/>
      <c r="MH5" s="4"/>
      <c r="MI5" s="4"/>
      <c r="MJ5" s="4"/>
      <c r="MK5" s="4"/>
      <c r="ML5" s="4"/>
      <c r="MM5" s="4"/>
      <c r="MN5" s="4"/>
      <c r="MO5" s="4"/>
      <c r="MP5" s="4"/>
      <c r="MQ5" s="4"/>
      <c r="MR5" s="4"/>
      <c r="MS5" s="4"/>
      <c r="MT5" s="4"/>
      <c r="MU5" s="4"/>
      <c r="MV5" s="4"/>
      <c r="MW5" s="4"/>
      <c r="MX5" s="4"/>
      <c r="MY5" s="4"/>
      <c r="MZ5" s="4"/>
      <c r="NA5" s="4"/>
      <c r="NB5" s="4"/>
      <c r="NC5" s="4"/>
      <c r="ND5" s="4"/>
      <c r="NE5" s="4"/>
      <c r="NF5" s="4"/>
      <c r="NG5" s="4"/>
      <c r="NH5" s="4"/>
      <c r="NI5" s="4"/>
      <c r="NJ5" s="4"/>
      <c r="NK5" s="4"/>
      <c r="NL5" s="4"/>
      <c r="NM5" s="4"/>
      <c r="NN5" s="4"/>
      <c r="NO5" s="4"/>
      <c r="NP5" s="4"/>
      <c r="NQ5" s="4"/>
      <c r="NR5" s="4"/>
      <c r="NS5" s="4"/>
      <c r="NT5" s="4"/>
      <c r="NU5" s="4"/>
      <c r="NV5" s="4"/>
      <c r="NW5" s="4"/>
      <c r="NX5" s="4"/>
      <c r="NY5" s="4"/>
      <c r="NZ5" s="4"/>
      <c r="OA5" s="4"/>
      <c r="OB5" s="4"/>
      <c r="OC5" s="4"/>
      <c r="OD5" s="4"/>
      <c r="OE5" s="4"/>
      <c r="OF5" s="4"/>
      <c r="OG5" s="4"/>
      <c r="OH5" s="4"/>
      <c r="OI5" s="4"/>
      <c r="OJ5" s="4"/>
      <c r="OK5" s="4"/>
      <c r="OL5" s="4"/>
      <c r="OM5" s="4"/>
      <c r="ON5" s="4"/>
      <c r="OO5" s="4"/>
      <c r="OP5" s="4"/>
      <c r="OQ5" s="4"/>
      <c r="OR5" s="4"/>
      <c r="OS5" s="4"/>
      <c r="OT5" s="4"/>
      <c r="OU5" s="4"/>
      <c r="OV5" s="4"/>
      <c r="OW5" s="4"/>
      <c r="OX5" s="4"/>
      <c r="OY5" s="4"/>
      <c r="OZ5" s="4"/>
      <c r="PA5" s="4"/>
      <c r="PB5" s="4"/>
      <c r="PC5" s="4"/>
      <c r="PD5" s="4"/>
      <c r="PE5" s="4"/>
      <c r="PF5" s="4"/>
      <c r="PG5" s="4"/>
      <c r="PH5" s="4"/>
      <c r="PI5" s="4"/>
      <c r="PJ5" s="4"/>
      <c r="PK5" s="4"/>
      <c r="PL5" s="4"/>
      <c r="PM5" s="4"/>
      <c r="PN5" s="4"/>
      <c r="PO5" s="4"/>
      <c r="PP5" s="4"/>
      <c r="PQ5" s="4"/>
      <c r="PR5" s="4"/>
      <c r="PS5" s="4"/>
      <c r="PT5" s="4"/>
      <c r="PU5" s="4"/>
      <c r="PV5" s="4"/>
      <c r="PW5" s="4"/>
      <c r="PX5" s="4"/>
      <c r="PY5" s="4"/>
      <c r="PZ5" s="4"/>
      <c r="QA5" s="4"/>
      <c r="QB5" s="4"/>
      <c r="QC5" s="4"/>
      <c r="QD5" s="4"/>
      <c r="QE5" s="4"/>
      <c r="QF5" s="4"/>
      <c r="QG5" s="4"/>
      <c r="QH5" s="4"/>
      <c r="QI5" s="4"/>
      <c r="QJ5" s="4"/>
      <c r="QK5" s="4"/>
      <c r="QL5" s="4"/>
      <c r="QM5" s="4"/>
      <c r="QN5" s="4"/>
      <c r="QO5" s="4"/>
      <c r="QP5" s="4"/>
      <c r="QQ5" s="4"/>
      <c r="QR5" s="4"/>
      <c r="QS5" s="4"/>
      <c r="QT5" s="4"/>
      <c r="QU5" s="4"/>
      <c r="QV5" s="4"/>
      <c r="QW5" s="4"/>
      <c r="QX5" s="4"/>
      <c r="QY5" s="4"/>
      <c r="QZ5" s="4"/>
      <c r="RA5" s="4"/>
      <c r="RB5" s="4"/>
      <c r="RC5" s="4"/>
      <c r="RD5" s="4"/>
      <c r="RE5" s="4"/>
      <c r="RF5" s="4"/>
      <c r="RG5" s="4"/>
      <c r="RH5" s="4"/>
      <c r="RI5" s="4"/>
      <c r="RJ5" s="4"/>
      <c r="RK5" s="4"/>
      <c r="RL5" s="4"/>
      <c r="RM5" s="4"/>
      <c r="RN5" s="4"/>
      <c r="RO5" s="4"/>
      <c r="RP5" s="4"/>
      <c r="RQ5" s="4"/>
      <c r="RR5" s="4"/>
      <c r="RS5" s="4"/>
      <c r="RT5" s="4"/>
      <c r="RU5" s="4"/>
      <c r="RV5" s="4"/>
      <c r="RW5" s="4"/>
      <c r="RX5" s="4"/>
      <c r="RY5" s="4"/>
      <c r="RZ5" s="4"/>
      <c r="SA5" s="4"/>
      <c r="SB5" s="4"/>
      <c r="SC5" s="4"/>
      <c r="SD5" s="4"/>
      <c r="SE5" s="4"/>
      <c r="SF5" s="4"/>
      <c r="SG5" s="4"/>
      <c r="SH5" s="4"/>
      <c r="SI5" s="4"/>
      <c r="SJ5" s="4"/>
      <c r="SK5" s="4"/>
      <c r="SL5" s="4"/>
      <c r="SM5" s="4"/>
      <c r="SN5" s="4"/>
      <c r="SO5" s="4"/>
      <c r="SP5" s="4"/>
      <c r="SQ5" s="4"/>
      <c r="SR5" s="4"/>
      <c r="SS5" s="4"/>
      <c r="ST5" s="4"/>
      <c r="SU5" s="4"/>
      <c r="SV5" s="4"/>
      <c r="SW5" s="4"/>
      <c r="SX5" s="4"/>
      <c r="SY5" s="4"/>
      <c r="SZ5" s="4"/>
      <c r="TA5" s="4"/>
      <c r="TB5" s="4"/>
      <c r="TC5" s="4"/>
      <c r="TD5" s="4"/>
      <c r="TE5" s="4"/>
      <c r="TF5" s="4"/>
      <c r="TG5" s="4"/>
      <c r="TH5" s="4"/>
      <c r="TI5" s="4"/>
      <c r="TJ5" s="4"/>
      <c r="TK5" s="4"/>
      <c r="TL5" s="4"/>
      <c r="TM5" s="4"/>
      <c r="TN5" s="4"/>
      <c r="TO5" s="4"/>
      <c r="TP5" s="4"/>
      <c r="TQ5" s="4"/>
      <c r="TR5" s="4"/>
      <c r="TS5" s="4"/>
      <c r="TT5" s="4"/>
      <c r="TU5" s="4"/>
      <c r="TV5" s="4"/>
      <c r="TW5" s="4"/>
      <c r="TX5" s="4"/>
      <c r="TY5" s="4"/>
      <c r="TZ5" s="4"/>
      <c r="UA5" s="4"/>
      <c r="UB5" s="4"/>
      <c r="UC5" s="4"/>
      <c r="UD5" s="4"/>
      <c r="UE5" s="4"/>
      <c r="UF5" s="4"/>
      <c r="UG5" s="4"/>
      <c r="UH5" s="4"/>
      <c r="UI5" s="4"/>
      <c r="UJ5" s="4"/>
      <c r="UK5" s="4"/>
      <c r="UL5" s="4"/>
      <c r="UM5" s="4"/>
      <c r="UN5" s="4"/>
      <c r="UO5" s="4"/>
      <c r="UP5" s="4"/>
      <c r="UQ5" s="4"/>
      <c r="UR5" s="4"/>
      <c r="US5" s="4"/>
      <c r="UT5" s="4"/>
      <c r="UU5" s="4"/>
      <c r="UV5" s="4"/>
      <c r="UW5" s="4"/>
      <c r="UX5" s="4"/>
      <c r="UY5" s="4"/>
      <c r="UZ5" s="4"/>
      <c r="VA5" s="4"/>
      <c r="VB5" s="4"/>
      <c r="VC5" s="4"/>
      <c r="VD5" s="4"/>
      <c r="VE5" s="4"/>
      <c r="VF5" s="4"/>
      <c r="VG5" s="4"/>
      <c r="VH5" s="4"/>
      <c r="VI5" s="4"/>
      <c r="VJ5" s="4"/>
      <c r="VK5" s="4"/>
      <c r="VL5" s="4"/>
      <c r="VM5" s="4"/>
      <c r="VN5" s="4"/>
      <c r="VO5" s="4"/>
      <c r="VP5" s="4"/>
      <c r="VQ5" s="4"/>
      <c r="VR5" s="4"/>
      <c r="VS5" s="4"/>
      <c r="VT5" s="4"/>
      <c r="VU5" s="4"/>
      <c r="VV5" s="4"/>
      <c r="VW5" s="4"/>
      <c r="VX5" s="4"/>
      <c r="VY5" s="4"/>
      <c r="VZ5" s="4"/>
      <c r="WA5" s="4"/>
      <c r="WB5" s="4"/>
      <c r="WC5" s="4"/>
      <c r="WD5" s="4"/>
      <c r="WE5" s="4"/>
      <c r="WF5" s="4"/>
      <c r="WG5" s="4"/>
      <c r="WH5" s="4"/>
      <c r="WI5" s="4"/>
      <c r="WJ5" s="4"/>
      <c r="WK5" s="4"/>
      <c r="WL5" s="4"/>
      <c r="WM5" s="4"/>
      <c r="WN5" s="4"/>
      <c r="WO5" s="4"/>
      <c r="WP5" s="4"/>
      <c r="WQ5" s="4"/>
      <c r="WR5" s="4"/>
      <c r="WS5" s="4"/>
      <c r="WT5" s="4"/>
      <c r="WU5" s="4"/>
      <c r="WV5" s="4"/>
      <c r="WW5" s="4"/>
      <c r="WX5" s="4"/>
      <c r="WY5" s="4"/>
      <c r="WZ5" s="4"/>
      <c r="XA5" s="4"/>
      <c r="XB5" s="4"/>
      <c r="XC5" s="4"/>
      <c r="XD5" s="4"/>
      <c r="XE5" s="4"/>
      <c r="XF5" s="4"/>
      <c r="XG5" s="4"/>
      <c r="XH5" s="4"/>
      <c r="XI5" s="4"/>
      <c r="XJ5" s="4"/>
      <c r="XK5" s="4"/>
      <c r="XL5" s="4"/>
      <c r="XM5" s="4"/>
      <c r="XN5" s="4"/>
      <c r="XO5" s="4"/>
      <c r="XP5" s="4"/>
      <c r="XQ5" s="4"/>
      <c r="XR5" s="4"/>
      <c r="XS5" s="4"/>
      <c r="XT5" s="4"/>
      <c r="XU5" s="4"/>
      <c r="XV5" s="4"/>
      <c r="XW5" s="4"/>
      <c r="XX5" s="4"/>
      <c r="XY5" s="4"/>
      <c r="XZ5" s="4"/>
      <c r="YA5" s="4"/>
      <c r="YB5" s="4"/>
      <c r="YC5" s="4"/>
      <c r="YD5" s="4"/>
      <c r="YE5" s="4"/>
      <c r="YF5" s="4"/>
      <c r="YG5" s="4"/>
      <c r="YH5" s="4"/>
      <c r="YI5" s="4"/>
      <c r="YJ5" s="4"/>
      <c r="YK5" s="4"/>
      <c r="YL5" s="4"/>
      <c r="YM5" s="4"/>
      <c r="YN5" s="4"/>
      <c r="YO5" s="4"/>
      <c r="YP5" s="4"/>
      <c r="YQ5" s="4"/>
      <c r="YR5" s="4"/>
      <c r="YS5" s="4"/>
      <c r="YT5" s="4"/>
      <c r="YU5" s="4"/>
      <c r="YV5" s="4"/>
      <c r="YW5" s="4"/>
      <c r="YX5" s="4"/>
      <c r="YY5" s="4"/>
      <c r="YZ5" s="4"/>
      <c r="ZA5" s="4"/>
      <c r="ZB5" s="4"/>
      <c r="ZC5" s="4"/>
      <c r="ZD5" s="4"/>
      <c r="ZE5" s="4"/>
      <c r="ZF5" s="4"/>
      <c r="ZG5" s="4"/>
      <c r="ZH5" s="4"/>
      <c r="ZI5" s="4"/>
      <c r="ZJ5" s="4"/>
      <c r="ZK5" s="4"/>
      <c r="ZL5" s="4"/>
      <c r="ZM5" s="4"/>
      <c r="ZN5" s="4"/>
      <c r="ZO5" s="4"/>
      <c r="ZP5" s="4"/>
      <c r="ZQ5" s="4"/>
      <c r="ZR5" s="4"/>
      <c r="ZS5" s="4"/>
      <c r="ZT5" s="4"/>
      <c r="ZU5" s="4"/>
      <c r="ZV5" s="4"/>
      <c r="ZW5" s="4"/>
      <c r="ZX5" s="4"/>
      <c r="ZY5" s="4"/>
      <c r="ZZ5" s="4"/>
      <c r="AAA5" s="4"/>
      <c r="AAB5" s="4"/>
      <c r="AAC5" s="4"/>
      <c r="AAD5" s="4"/>
      <c r="AAE5" s="4"/>
      <c r="AAF5" s="4"/>
    </row>
    <row r="6" spans="1:708" s="5" customFormat="1" ht="28.5" customHeight="1" x14ac:dyDescent="0.25">
      <c r="A6" s="8" t="s">
        <v>25</v>
      </c>
      <c r="B6" s="8" t="s">
        <v>26</v>
      </c>
      <c r="C6" s="9" t="s">
        <v>27</v>
      </c>
      <c r="D6" s="9" t="s">
        <v>28</v>
      </c>
      <c r="E6" s="9" t="s">
        <v>29</v>
      </c>
      <c r="F6" s="9" t="s">
        <v>30</v>
      </c>
      <c r="G6" s="9" t="s">
        <v>31</v>
      </c>
      <c r="H6" s="9" t="s">
        <v>32</v>
      </c>
      <c r="I6" s="9" t="s">
        <v>33</v>
      </c>
      <c r="J6" s="418"/>
      <c r="K6" s="418"/>
      <c r="L6" s="9" t="s">
        <v>6</v>
      </c>
      <c r="M6" s="9" t="s">
        <v>34</v>
      </c>
      <c r="N6" s="10" t="s">
        <v>35</v>
      </c>
      <c r="O6" s="10" t="s">
        <v>36</v>
      </c>
      <c r="P6" s="10" t="s">
        <v>37</v>
      </c>
      <c r="Q6" s="9" t="s">
        <v>7</v>
      </c>
      <c r="R6" s="9" t="s">
        <v>38</v>
      </c>
      <c r="S6" s="9" t="s">
        <v>35</v>
      </c>
      <c r="T6" s="9" t="s">
        <v>36</v>
      </c>
      <c r="U6" s="9" t="s">
        <v>39</v>
      </c>
      <c r="V6" s="11" t="s">
        <v>40</v>
      </c>
      <c r="W6" s="11" t="s">
        <v>41</v>
      </c>
      <c r="X6" s="9" t="s">
        <v>42</v>
      </c>
      <c r="Y6" s="9" t="s">
        <v>43</v>
      </c>
      <c r="Z6" s="9" t="s">
        <v>44</v>
      </c>
      <c r="AA6" s="9" t="s">
        <v>45</v>
      </c>
      <c r="AB6" s="9" t="s">
        <v>46</v>
      </c>
      <c r="AC6" s="9" t="s">
        <v>43</v>
      </c>
      <c r="AD6" s="9" t="s">
        <v>44</v>
      </c>
      <c r="AE6" s="9" t="s">
        <v>45</v>
      </c>
      <c r="AF6" s="9" t="s">
        <v>46</v>
      </c>
      <c r="AG6" s="10" t="s">
        <v>43</v>
      </c>
      <c r="AH6" s="10" t="s">
        <v>44</v>
      </c>
      <c r="AI6" s="10" t="s">
        <v>45</v>
      </c>
      <c r="AJ6" s="10" t="s">
        <v>46</v>
      </c>
      <c r="AK6" s="10" t="s">
        <v>43</v>
      </c>
      <c r="AL6" s="10" t="s">
        <v>44</v>
      </c>
      <c r="AM6" s="10" t="s">
        <v>45</v>
      </c>
      <c r="AN6" s="10" t="s">
        <v>46</v>
      </c>
      <c r="AO6" s="9" t="s">
        <v>43</v>
      </c>
      <c r="AP6" s="9" t="s">
        <v>44</v>
      </c>
      <c r="AQ6" s="9" t="s">
        <v>45</v>
      </c>
      <c r="AR6" s="9" t="s">
        <v>46</v>
      </c>
      <c r="AS6" s="9" t="s">
        <v>43</v>
      </c>
      <c r="AT6" s="9" t="s">
        <v>44</v>
      </c>
      <c r="AU6" s="9" t="s">
        <v>45</v>
      </c>
      <c r="AV6" s="9" t="s">
        <v>46</v>
      </c>
      <c r="AW6" s="9" t="s">
        <v>43</v>
      </c>
      <c r="AX6" s="9" t="s">
        <v>44</v>
      </c>
      <c r="AY6" s="9" t="s">
        <v>45</v>
      </c>
      <c r="AZ6" s="9" t="s">
        <v>46</v>
      </c>
      <c r="BA6" s="9" t="s">
        <v>43</v>
      </c>
      <c r="BB6" s="9" t="s">
        <v>44</v>
      </c>
      <c r="BC6" s="9" t="s">
        <v>45</v>
      </c>
      <c r="BD6" s="9" t="s">
        <v>46</v>
      </c>
      <c r="BE6" s="9" t="s">
        <v>43</v>
      </c>
      <c r="BF6" s="9" t="s">
        <v>44</v>
      </c>
      <c r="BG6" s="10" t="s">
        <v>45</v>
      </c>
      <c r="BH6" s="9" t="s">
        <v>46</v>
      </c>
      <c r="BI6" s="9" t="s">
        <v>43</v>
      </c>
      <c r="BJ6" s="9" t="s">
        <v>44</v>
      </c>
      <c r="BK6" s="10" t="s">
        <v>45</v>
      </c>
      <c r="BL6" s="9" t="s">
        <v>46</v>
      </c>
      <c r="BM6" s="9" t="s">
        <v>43</v>
      </c>
      <c r="BN6" s="9" t="s">
        <v>44</v>
      </c>
      <c r="BO6" s="10" t="s">
        <v>45</v>
      </c>
      <c r="BP6" s="9" t="s">
        <v>46</v>
      </c>
      <c r="BQ6" s="9" t="s">
        <v>43</v>
      </c>
      <c r="BR6" s="9" t="s">
        <v>44</v>
      </c>
      <c r="BS6" s="10" t="s">
        <v>45</v>
      </c>
      <c r="BT6" s="9" t="s">
        <v>46</v>
      </c>
      <c r="BU6" s="10" t="s">
        <v>43</v>
      </c>
      <c r="BV6" s="9" t="s">
        <v>44</v>
      </c>
      <c r="BW6" s="10" t="s">
        <v>45</v>
      </c>
      <c r="BX6" s="9" t="s">
        <v>46</v>
      </c>
      <c r="BY6" s="10" t="s">
        <v>43</v>
      </c>
      <c r="BZ6" s="9" t="s">
        <v>44</v>
      </c>
      <c r="CA6" s="10" t="s">
        <v>45</v>
      </c>
      <c r="CB6" s="9" t="s">
        <v>46</v>
      </c>
      <c r="CC6" s="9" t="s">
        <v>43</v>
      </c>
      <c r="CD6" s="9" t="s">
        <v>44</v>
      </c>
      <c r="CE6" s="9" t="s">
        <v>45</v>
      </c>
      <c r="CF6" s="9" t="s">
        <v>46</v>
      </c>
      <c r="CG6" s="9" t="s">
        <v>43</v>
      </c>
      <c r="CH6" s="9" t="s">
        <v>44</v>
      </c>
      <c r="CI6" s="9" t="s">
        <v>45</v>
      </c>
      <c r="CJ6" s="9" t="s">
        <v>46</v>
      </c>
      <c r="CK6" s="104" t="s">
        <v>43</v>
      </c>
      <c r="CL6" s="9" t="s">
        <v>44</v>
      </c>
      <c r="CM6" s="104" t="s">
        <v>45</v>
      </c>
      <c r="CN6" s="9" t="s">
        <v>46</v>
      </c>
      <c r="CO6" s="104" t="s">
        <v>43</v>
      </c>
      <c r="CP6" s="9" t="s">
        <v>44</v>
      </c>
      <c r="CQ6" s="104" t="s">
        <v>45</v>
      </c>
      <c r="CR6" s="9" t="s">
        <v>46</v>
      </c>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c r="IX6" s="4"/>
      <c r="IY6" s="4"/>
      <c r="IZ6" s="4"/>
      <c r="JA6" s="4"/>
      <c r="JB6" s="4"/>
      <c r="JC6" s="4"/>
      <c r="JD6" s="4"/>
      <c r="JE6" s="4"/>
      <c r="JF6" s="4"/>
      <c r="JG6" s="4"/>
      <c r="JH6" s="4"/>
      <c r="JI6" s="4"/>
      <c r="JJ6" s="4"/>
      <c r="JK6" s="4"/>
      <c r="JL6" s="4"/>
      <c r="JM6" s="4"/>
      <c r="JN6" s="4"/>
      <c r="JO6" s="4"/>
      <c r="JP6" s="4"/>
      <c r="JQ6" s="4"/>
      <c r="JR6" s="4"/>
      <c r="JS6" s="4"/>
      <c r="JT6" s="4"/>
      <c r="JU6" s="4"/>
      <c r="JV6" s="4"/>
      <c r="JW6" s="4"/>
      <c r="JX6" s="4"/>
      <c r="JY6" s="4"/>
      <c r="JZ6" s="4"/>
      <c r="KA6" s="4"/>
      <c r="KB6" s="4"/>
      <c r="KC6" s="4"/>
      <c r="KD6" s="4"/>
      <c r="KE6" s="4"/>
      <c r="KF6" s="4"/>
      <c r="KG6" s="4"/>
      <c r="KH6" s="4"/>
      <c r="KI6" s="4"/>
      <c r="KJ6" s="4"/>
      <c r="KK6" s="4"/>
      <c r="KL6" s="4"/>
      <c r="KM6" s="4"/>
      <c r="KN6" s="4"/>
      <c r="KO6" s="4"/>
      <c r="KP6" s="4"/>
      <c r="KQ6" s="4"/>
      <c r="KR6" s="4"/>
      <c r="KS6" s="4"/>
      <c r="KT6" s="4"/>
      <c r="KU6" s="4"/>
      <c r="KV6" s="4"/>
      <c r="KW6" s="4"/>
      <c r="KX6" s="4"/>
      <c r="KY6" s="4"/>
      <c r="KZ6" s="4"/>
      <c r="LA6" s="4"/>
      <c r="LB6" s="4"/>
      <c r="LC6" s="4"/>
      <c r="LD6" s="4"/>
      <c r="LE6" s="4"/>
      <c r="LF6" s="4"/>
      <c r="LG6" s="4"/>
      <c r="LH6" s="4"/>
      <c r="LI6" s="4"/>
      <c r="LJ6" s="4"/>
      <c r="LK6" s="4"/>
      <c r="LL6" s="4"/>
      <c r="LM6" s="4"/>
      <c r="LN6" s="4"/>
      <c r="LO6" s="4"/>
      <c r="LP6" s="4"/>
      <c r="LQ6" s="4"/>
      <c r="LR6" s="4"/>
      <c r="LS6" s="4"/>
      <c r="LT6" s="4"/>
      <c r="LU6" s="4"/>
      <c r="LV6" s="4"/>
      <c r="LW6" s="4"/>
      <c r="LX6" s="4"/>
      <c r="LY6" s="4"/>
      <c r="LZ6" s="4"/>
      <c r="MA6" s="4"/>
      <c r="MB6" s="4"/>
      <c r="MC6" s="4"/>
      <c r="MD6" s="4"/>
      <c r="ME6" s="4"/>
      <c r="MF6" s="4"/>
      <c r="MG6" s="4"/>
      <c r="MH6" s="4"/>
      <c r="MI6" s="4"/>
      <c r="MJ6" s="4"/>
      <c r="MK6" s="4"/>
      <c r="ML6" s="4"/>
      <c r="MM6" s="4"/>
      <c r="MN6" s="4"/>
      <c r="MO6" s="4"/>
      <c r="MP6" s="4"/>
      <c r="MQ6" s="4"/>
      <c r="MR6" s="4"/>
      <c r="MS6" s="4"/>
      <c r="MT6" s="4"/>
      <c r="MU6" s="4"/>
      <c r="MV6" s="4"/>
      <c r="MW6" s="4"/>
      <c r="MX6" s="4"/>
      <c r="MY6" s="4"/>
      <c r="MZ6" s="4"/>
      <c r="NA6" s="4"/>
      <c r="NB6" s="4"/>
      <c r="NC6" s="4"/>
      <c r="ND6" s="4"/>
      <c r="NE6" s="4"/>
      <c r="NF6" s="4"/>
      <c r="NG6" s="4"/>
      <c r="NH6" s="4"/>
      <c r="NI6" s="4"/>
      <c r="NJ6" s="4"/>
      <c r="NK6" s="4"/>
      <c r="NL6" s="4"/>
      <c r="NM6" s="4"/>
      <c r="NN6" s="4"/>
      <c r="NO6" s="4"/>
      <c r="NP6" s="4"/>
      <c r="NQ6" s="4"/>
      <c r="NR6" s="4"/>
      <c r="NS6" s="4"/>
      <c r="NT6" s="4"/>
      <c r="NU6" s="4"/>
      <c r="NV6" s="4"/>
      <c r="NW6" s="4"/>
      <c r="NX6" s="4"/>
      <c r="NY6" s="4"/>
      <c r="NZ6" s="4"/>
      <c r="OA6" s="4"/>
      <c r="OB6" s="4"/>
      <c r="OC6" s="4"/>
      <c r="OD6" s="4"/>
      <c r="OE6" s="4"/>
      <c r="OF6" s="4"/>
      <c r="OG6" s="4"/>
      <c r="OH6" s="4"/>
      <c r="OI6" s="4"/>
      <c r="OJ6" s="4"/>
      <c r="OK6" s="4"/>
      <c r="OL6" s="4"/>
      <c r="OM6" s="4"/>
      <c r="ON6" s="4"/>
      <c r="OO6" s="4"/>
      <c r="OP6" s="4"/>
      <c r="OQ6" s="4"/>
      <c r="OR6" s="4"/>
      <c r="OS6" s="4"/>
      <c r="OT6" s="4"/>
      <c r="OU6" s="4"/>
      <c r="OV6" s="4"/>
      <c r="OW6" s="4"/>
      <c r="OX6" s="4"/>
      <c r="OY6" s="4"/>
      <c r="OZ6" s="4"/>
      <c r="PA6" s="4"/>
      <c r="PB6" s="4"/>
      <c r="PC6" s="4"/>
      <c r="PD6" s="4"/>
      <c r="PE6" s="4"/>
      <c r="PF6" s="4"/>
      <c r="PG6" s="4"/>
      <c r="PH6" s="4"/>
      <c r="PI6" s="4"/>
      <c r="PJ6" s="4"/>
      <c r="PK6" s="4"/>
      <c r="PL6" s="4"/>
      <c r="PM6" s="4"/>
      <c r="PN6" s="4"/>
      <c r="PO6" s="4"/>
      <c r="PP6" s="4"/>
      <c r="PQ6" s="4"/>
      <c r="PR6" s="4"/>
      <c r="PS6" s="4"/>
      <c r="PT6" s="4"/>
      <c r="PU6" s="4"/>
      <c r="PV6" s="4"/>
      <c r="PW6" s="4"/>
      <c r="PX6" s="4"/>
      <c r="PY6" s="4"/>
      <c r="PZ6" s="4"/>
      <c r="QA6" s="4"/>
      <c r="QB6" s="4"/>
      <c r="QC6" s="4"/>
      <c r="QD6" s="4"/>
      <c r="QE6" s="4"/>
      <c r="QF6" s="4"/>
      <c r="QG6" s="4"/>
      <c r="QH6" s="4"/>
      <c r="QI6" s="4"/>
      <c r="QJ6" s="4"/>
      <c r="QK6" s="4"/>
      <c r="QL6" s="4"/>
      <c r="QM6" s="4"/>
      <c r="QN6" s="4"/>
      <c r="QO6" s="4"/>
      <c r="QP6" s="4"/>
      <c r="QQ6" s="4"/>
      <c r="QR6" s="4"/>
      <c r="QS6" s="4"/>
      <c r="QT6" s="4"/>
      <c r="QU6" s="4"/>
      <c r="QV6" s="4"/>
      <c r="QW6" s="4"/>
      <c r="QX6" s="4"/>
      <c r="QY6" s="4"/>
      <c r="QZ6" s="4"/>
      <c r="RA6" s="4"/>
      <c r="RB6" s="4"/>
      <c r="RC6" s="4"/>
      <c r="RD6" s="4"/>
      <c r="RE6" s="4"/>
      <c r="RF6" s="4"/>
      <c r="RG6" s="4"/>
      <c r="RH6" s="4"/>
      <c r="RI6" s="4"/>
      <c r="RJ6" s="4"/>
      <c r="RK6" s="4"/>
      <c r="RL6" s="4"/>
      <c r="RM6" s="4"/>
      <c r="RN6" s="4"/>
      <c r="RO6" s="4"/>
      <c r="RP6" s="4"/>
      <c r="RQ6" s="4"/>
      <c r="RR6" s="4"/>
      <c r="RS6" s="4"/>
      <c r="RT6" s="4"/>
      <c r="RU6" s="4"/>
      <c r="RV6" s="4"/>
      <c r="RW6" s="4"/>
      <c r="RX6" s="4"/>
      <c r="RY6" s="4"/>
      <c r="RZ6" s="4"/>
      <c r="SA6" s="4"/>
      <c r="SB6" s="4"/>
      <c r="SC6" s="4"/>
      <c r="SD6" s="4"/>
      <c r="SE6" s="4"/>
      <c r="SF6" s="4"/>
      <c r="SG6" s="4"/>
      <c r="SH6" s="4"/>
      <c r="SI6" s="4"/>
      <c r="SJ6" s="4"/>
      <c r="SK6" s="4"/>
      <c r="SL6" s="4"/>
      <c r="SM6" s="4"/>
      <c r="SN6" s="4"/>
      <c r="SO6" s="4"/>
      <c r="SP6" s="4"/>
      <c r="SQ6" s="4"/>
      <c r="SR6" s="4"/>
      <c r="SS6" s="4"/>
      <c r="ST6" s="4"/>
      <c r="SU6" s="4"/>
      <c r="SV6" s="4"/>
      <c r="SW6" s="4"/>
      <c r="SX6" s="4"/>
      <c r="SY6" s="4"/>
      <c r="SZ6" s="4"/>
      <c r="TA6" s="4"/>
      <c r="TB6" s="4"/>
      <c r="TC6" s="4"/>
      <c r="TD6" s="4"/>
      <c r="TE6" s="4"/>
      <c r="TF6" s="4"/>
      <c r="TG6" s="4"/>
      <c r="TH6" s="4"/>
      <c r="TI6" s="4"/>
      <c r="TJ6" s="4"/>
      <c r="TK6" s="4"/>
      <c r="TL6" s="4"/>
      <c r="TM6" s="4"/>
      <c r="TN6" s="4"/>
      <c r="TO6" s="4"/>
      <c r="TP6" s="4"/>
      <c r="TQ6" s="4"/>
      <c r="TR6" s="4"/>
      <c r="TS6" s="4"/>
      <c r="TT6" s="4"/>
      <c r="TU6" s="4"/>
      <c r="TV6" s="4"/>
      <c r="TW6" s="4"/>
      <c r="TX6" s="4"/>
      <c r="TY6" s="4"/>
      <c r="TZ6" s="4"/>
      <c r="UA6" s="4"/>
      <c r="UB6" s="4"/>
      <c r="UC6" s="4"/>
      <c r="UD6" s="4"/>
      <c r="UE6" s="4"/>
      <c r="UF6" s="4"/>
      <c r="UG6" s="4"/>
      <c r="UH6" s="4"/>
      <c r="UI6" s="4"/>
      <c r="UJ6" s="4"/>
      <c r="UK6" s="4"/>
      <c r="UL6" s="4"/>
      <c r="UM6" s="4"/>
      <c r="UN6" s="4"/>
      <c r="UO6" s="4"/>
      <c r="UP6" s="4"/>
      <c r="UQ6" s="4"/>
      <c r="UR6" s="4"/>
      <c r="US6" s="4"/>
      <c r="UT6" s="4"/>
      <c r="UU6" s="4"/>
      <c r="UV6" s="4"/>
      <c r="UW6" s="4"/>
      <c r="UX6" s="4"/>
      <c r="UY6" s="4"/>
      <c r="UZ6" s="4"/>
      <c r="VA6" s="4"/>
      <c r="VB6" s="4"/>
      <c r="VC6" s="4"/>
      <c r="VD6" s="4"/>
      <c r="VE6" s="4"/>
      <c r="VF6" s="4"/>
      <c r="VG6" s="4"/>
      <c r="VH6" s="4"/>
      <c r="VI6" s="4"/>
      <c r="VJ6" s="4"/>
      <c r="VK6" s="4"/>
      <c r="VL6" s="4"/>
      <c r="VM6" s="4"/>
      <c r="VN6" s="4"/>
      <c r="VO6" s="4"/>
      <c r="VP6" s="4"/>
      <c r="VQ6" s="4"/>
      <c r="VR6" s="4"/>
      <c r="VS6" s="4"/>
      <c r="VT6" s="4"/>
      <c r="VU6" s="4"/>
      <c r="VV6" s="4"/>
      <c r="VW6" s="4"/>
      <c r="VX6" s="4"/>
      <c r="VY6" s="4"/>
      <c r="VZ6" s="4"/>
      <c r="WA6" s="4"/>
      <c r="WB6" s="4"/>
      <c r="WC6" s="4"/>
      <c r="WD6" s="4"/>
      <c r="WE6" s="4"/>
      <c r="WF6" s="4"/>
      <c r="WG6" s="4"/>
      <c r="WH6" s="4"/>
      <c r="WI6" s="4"/>
      <c r="WJ6" s="4"/>
      <c r="WK6" s="4"/>
      <c r="WL6" s="4"/>
      <c r="WM6" s="4"/>
      <c r="WN6" s="4"/>
      <c r="WO6" s="4"/>
      <c r="WP6" s="4"/>
      <c r="WQ6" s="4"/>
      <c r="WR6" s="4"/>
      <c r="WS6" s="4"/>
      <c r="WT6" s="4"/>
      <c r="WU6" s="4"/>
      <c r="WV6" s="4"/>
      <c r="WW6" s="4"/>
      <c r="WX6" s="4"/>
      <c r="WY6" s="4"/>
      <c r="WZ6" s="4"/>
      <c r="XA6" s="4"/>
      <c r="XB6" s="4"/>
      <c r="XC6" s="4"/>
      <c r="XD6" s="4"/>
      <c r="XE6" s="4"/>
      <c r="XF6" s="4"/>
      <c r="XG6" s="4"/>
      <c r="XH6" s="4"/>
      <c r="XI6" s="4"/>
      <c r="XJ6" s="4"/>
      <c r="XK6" s="4"/>
      <c r="XL6" s="4"/>
      <c r="XM6" s="4"/>
      <c r="XN6" s="4"/>
      <c r="XO6" s="4"/>
      <c r="XP6" s="4"/>
      <c r="XQ6" s="4"/>
      <c r="XR6" s="4"/>
      <c r="XS6" s="4"/>
      <c r="XT6" s="4"/>
      <c r="XU6" s="4"/>
      <c r="XV6" s="4"/>
      <c r="XW6" s="4"/>
      <c r="XX6" s="4"/>
      <c r="XY6" s="4"/>
      <c r="XZ6" s="4"/>
      <c r="YA6" s="4"/>
      <c r="YB6" s="4"/>
      <c r="YC6" s="4"/>
      <c r="YD6" s="4"/>
      <c r="YE6" s="4"/>
      <c r="YF6" s="4"/>
      <c r="YG6" s="4"/>
      <c r="YH6" s="4"/>
      <c r="YI6" s="4"/>
      <c r="YJ6" s="4"/>
      <c r="YK6" s="4"/>
      <c r="YL6" s="4"/>
      <c r="YM6" s="4"/>
      <c r="YN6" s="4"/>
      <c r="YO6" s="4"/>
      <c r="YP6" s="4"/>
      <c r="YQ6" s="4"/>
      <c r="YR6" s="4"/>
      <c r="YS6" s="4"/>
      <c r="YT6" s="4"/>
      <c r="YU6" s="4"/>
      <c r="YV6" s="4"/>
      <c r="YW6" s="4"/>
      <c r="YX6" s="4"/>
      <c r="YY6" s="4"/>
      <c r="YZ6" s="4"/>
      <c r="ZA6" s="4"/>
      <c r="ZB6" s="4"/>
      <c r="ZC6" s="4"/>
      <c r="ZD6" s="4"/>
      <c r="ZE6" s="4"/>
      <c r="ZF6" s="4"/>
      <c r="ZG6" s="4"/>
      <c r="ZH6" s="4"/>
      <c r="ZI6" s="4"/>
      <c r="ZJ6" s="4"/>
      <c r="ZK6" s="4"/>
      <c r="ZL6" s="4"/>
      <c r="ZM6" s="4"/>
      <c r="ZN6" s="4"/>
      <c r="ZO6" s="4"/>
      <c r="ZP6" s="4"/>
      <c r="ZQ6" s="4"/>
      <c r="ZR6" s="4"/>
      <c r="ZS6" s="4"/>
      <c r="ZT6" s="4"/>
      <c r="ZU6" s="4"/>
      <c r="ZV6" s="4"/>
      <c r="ZW6" s="4"/>
      <c r="ZX6" s="4"/>
      <c r="ZY6" s="4"/>
      <c r="ZZ6" s="4"/>
      <c r="AAA6" s="4"/>
      <c r="AAB6" s="4"/>
      <c r="AAC6" s="4"/>
      <c r="AAD6" s="4"/>
      <c r="AAE6" s="4"/>
      <c r="AAF6" s="4"/>
    </row>
    <row r="7" spans="1:708" s="18" customFormat="1" ht="92.25" customHeight="1" x14ac:dyDescent="0.25">
      <c r="A7" s="431" t="s">
        <v>47</v>
      </c>
      <c r="B7" s="431" t="s">
        <v>48</v>
      </c>
      <c r="C7" s="431" t="s">
        <v>49</v>
      </c>
      <c r="D7" s="431" t="s">
        <v>50</v>
      </c>
      <c r="E7" s="433" t="s">
        <v>51</v>
      </c>
      <c r="F7" s="431" t="s">
        <v>52</v>
      </c>
      <c r="G7" s="431" t="s">
        <v>53</v>
      </c>
      <c r="H7" s="431" t="s">
        <v>54</v>
      </c>
      <c r="I7" s="431" t="s">
        <v>55</v>
      </c>
      <c r="J7" s="431" t="s">
        <v>56</v>
      </c>
      <c r="K7" s="397" t="s">
        <v>57</v>
      </c>
      <c r="L7" s="436" t="s">
        <v>58</v>
      </c>
      <c r="M7" s="436" t="s">
        <v>59</v>
      </c>
      <c r="N7" s="436" t="s">
        <v>60</v>
      </c>
      <c r="O7" s="436"/>
      <c r="P7" s="436">
        <v>480</v>
      </c>
      <c r="Q7" s="12" t="s">
        <v>61</v>
      </c>
      <c r="R7" s="12" t="s">
        <v>62</v>
      </c>
      <c r="S7" s="13" t="s">
        <v>60</v>
      </c>
      <c r="T7" s="13"/>
      <c r="U7" s="13">
        <v>139</v>
      </c>
      <c r="V7" s="444">
        <v>1499766157</v>
      </c>
      <c r="W7" s="447">
        <v>3992820433</v>
      </c>
      <c r="X7" s="431" t="s">
        <v>63</v>
      </c>
      <c r="Y7" s="407">
        <v>41</v>
      </c>
      <c r="Z7" s="407">
        <f>+P7</f>
        <v>480</v>
      </c>
      <c r="AA7" s="409">
        <f>+Y7/Z7</f>
        <v>8.5416666666666669E-2</v>
      </c>
      <c r="AB7" s="411" t="s">
        <v>64</v>
      </c>
      <c r="AC7" s="13">
        <v>6</v>
      </c>
      <c r="AD7" s="13">
        <f>+U7</f>
        <v>139</v>
      </c>
      <c r="AE7" s="14">
        <f>+AC7/AD7</f>
        <v>4.3165467625899283E-2</v>
      </c>
      <c r="AF7" s="13" t="s">
        <v>65</v>
      </c>
      <c r="AG7" s="438">
        <v>77</v>
      </c>
      <c r="AH7" s="438">
        <v>480</v>
      </c>
      <c r="AI7" s="440">
        <v>0.16041666666666668</v>
      </c>
      <c r="AJ7" s="442" t="s">
        <v>66</v>
      </c>
      <c r="AK7" s="15">
        <v>17</v>
      </c>
      <c r="AL7" s="15">
        <v>139</v>
      </c>
      <c r="AM7" s="16">
        <v>0.1223021582733813</v>
      </c>
      <c r="AN7" s="15" t="s">
        <v>67</v>
      </c>
      <c r="AO7" s="438">
        <v>108</v>
      </c>
      <c r="AP7" s="438">
        <f>+P7</f>
        <v>480</v>
      </c>
      <c r="AQ7" s="440">
        <f>+AO7/AP7</f>
        <v>0.22500000000000001</v>
      </c>
      <c r="AR7" s="442" t="s">
        <v>68</v>
      </c>
      <c r="AS7" s="15">
        <v>20</v>
      </c>
      <c r="AT7" s="15">
        <f>+U7</f>
        <v>139</v>
      </c>
      <c r="AU7" s="16">
        <f>+AS7/AT7</f>
        <v>0.14388489208633093</v>
      </c>
      <c r="AV7" s="15" t="s">
        <v>69</v>
      </c>
      <c r="AW7" s="438">
        <f>+AW11+AW16+AW21+AW26+AW31</f>
        <v>129</v>
      </c>
      <c r="AX7" s="438">
        <f>+P7</f>
        <v>480</v>
      </c>
      <c r="AY7" s="440">
        <f>+AW7/AX7</f>
        <v>0.26874999999999999</v>
      </c>
      <c r="AZ7" s="442" t="s">
        <v>70</v>
      </c>
      <c r="BA7" s="15">
        <f>+BA11+BA16++BA21+BA26+BA31</f>
        <v>20</v>
      </c>
      <c r="BB7" s="15">
        <f>+U7</f>
        <v>139</v>
      </c>
      <c r="BC7" s="16">
        <f>+BA7/BB7</f>
        <v>0.14388489208633093</v>
      </c>
      <c r="BD7" s="15" t="s">
        <v>71</v>
      </c>
      <c r="BE7" s="438">
        <f>+BE11+BE16+BE21+BE26+BE31</f>
        <v>148</v>
      </c>
      <c r="BF7" s="438">
        <v>480</v>
      </c>
      <c r="BG7" s="440">
        <f>+BE7/BF7</f>
        <v>0.30833333333333335</v>
      </c>
      <c r="BH7" s="442" t="s">
        <v>72</v>
      </c>
      <c r="BI7" s="15">
        <f>+BI11+BI16+BI21+BI31+BI26</f>
        <v>20</v>
      </c>
      <c r="BJ7" s="15">
        <v>139</v>
      </c>
      <c r="BK7" s="16">
        <f>+BI7/BJ7</f>
        <v>0.14388489208633093</v>
      </c>
      <c r="BL7" s="15" t="s">
        <v>73</v>
      </c>
      <c r="BM7" s="438">
        <f>+BM11+BM16+BM21+BM26+BM31</f>
        <v>190</v>
      </c>
      <c r="BN7" s="438">
        <v>480</v>
      </c>
      <c r="BO7" s="440">
        <f>+BM7/BN7</f>
        <v>0.39583333333333331</v>
      </c>
      <c r="BP7" s="442" t="s">
        <v>74</v>
      </c>
      <c r="BQ7" s="15">
        <f>+BQ11+BQ16+BQ21+BQ26+BQ31</f>
        <v>20</v>
      </c>
      <c r="BR7" s="15">
        <v>139</v>
      </c>
      <c r="BS7" s="16">
        <f>+BQ7/BR7</f>
        <v>0.14388489208633093</v>
      </c>
      <c r="BT7" s="15" t="s">
        <v>75</v>
      </c>
      <c r="BU7" s="407">
        <f>+BU11+BU16+BU21+BU26+BU31</f>
        <v>225</v>
      </c>
      <c r="BV7" s="407">
        <v>480</v>
      </c>
      <c r="BW7" s="409">
        <f>+BU7/BV7</f>
        <v>0.46875</v>
      </c>
      <c r="BX7" s="411" t="s">
        <v>76</v>
      </c>
      <c r="BY7" s="13">
        <f>+BY11+BY16+BY21+BY26+BY31</f>
        <v>26</v>
      </c>
      <c r="BZ7" s="13">
        <v>139</v>
      </c>
      <c r="CA7" s="14">
        <f>+BY7/BZ7</f>
        <v>0.18705035971223022</v>
      </c>
      <c r="CB7" s="13" t="s">
        <v>77</v>
      </c>
      <c r="CC7" s="407">
        <f>+CC11+CC16+CC21+CC26+CC31</f>
        <v>250</v>
      </c>
      <c r="CD7" s="407">
        <v>480</v>
      </c>
      <c r="CE7" s="409">
        <f>+CC7/CD7</f>
        <v>0.52083333333333337</v>
      </c>
      <c r="CF7" s="411" t="s">
        <v>78</v>
      </c>
      <c r="CG7" s="13">
        <f>+CG11+CG16+CG21+CG26+CG31</f>
        <v>33</v>
      </c>
      <c r="CH7" s="13">
        <v>139</v>
      </c>
      <c r="CI7" s="14">
        <f>+CG7/CH7</f>
        <v>0.23741007194244604</v>
      </c>
      <c r="CJ7" s="13" t="s">
        <v>79</v>
      </c>
      <c r="CK7" s="407">
        <v>269</v>
      </c>
      <c r="CL7" s="407">
        <v>480</v>
      </c>
      <c r="CM7" s="409">
        <f>+CK7/CL7</f>
        <v>0.56041666666666667</v>
      </c>
      <c r="CN7" s="411" t="s">
        <v>596</v>
      </c>
      <c r="CO7" s="13">
        <v>38</v>
      </c>
      <c r="CP7" s="13">
        <v>139</v>
      </c>
      <c r="CQ7" s="14">
        <f>+CO7/CP7</f>
        <v>0.2733812949640288</v>
      </c>
      <c r="CR7" s="13" t="s">
        <v>597</v>
      </c>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c r="JJ7" s="17"/>
      <c r="JK7" s="17"/>
      <c r="JL7" s="17"/>
      <c r="JM7" s="17"/>
      <c r="JN7" s="17"/>
      <c r="JO7" s="17"/>
      <c r="JP7" s="17"/>
      <c r="JQ7" s="17"/>
      <c r="JR7" s="17"/>
      <c r="JS7" s="17"/>
      <c r="JT7" s="17"/>
      <c r="JU7" s="17"/>
      <c r="JV7" s="17"/>
      <c r="JW7" s="17"/>
      <c r="JX7" s="17"/>
      <c r="JY7" s="17"/>
      <c r="JZ7" s="17"/>
      <c r="KA7" s="17"/>
      <c r="KB7" s="17"/>
      <c r="KC7" s="17"/>
      <c r="KD7" s="17"/>
      <c r="KE7" s="17"/>
      <c r="KF7" s="17"/>
      <c r="KG7" s="17"/>
      <c r="KH7" s="17"/>
      <c r="KI7" s="17"/>
      <c r="KJ7" s="17"/>
      <c r="KK7" s="17"/>
      <c r="KL7" s="17"/>
      <c r="KM7" s="17"/>
      <c r="KN7" s="17"/>
      <c r="KO7" s="17"/>
      <c r="KP7" s="17"/>
      <c r="KQ7" s="17"/>
      <c r="KR7" s="17"/>
      <c r="KS7" s="17"/>
      <c r="KT7" s="17"/>
      <c r="KU7" s="17"/>
      <c r="KV7" s="17"/>
      <c r="KW7" s="17"/>
      <c r="KX7" s="17"/>
      <c r="KY7" s="17"/>
      <c r="KZ7" s="17"/>
      <c r="LA7" s="17"/>
      <c r="LB7" s="17"/>
      <c r="LC7" s="17"/>
      <c r="LD7" s="17"/>
      <c r="LE7" s="17"/>
      <c r="LF7" s="17"/>
      <c r="LG7" s="17"/>
      <c r="LH7" s="17"/>
      <c r="LI7" s="17"/>
      <c r="LJ7" s="17"/>
      <c r="LK7" s="17"/>
      <c r="LL7" s="17"/>
      <c r="LM7" s="17"/>
      <c r="LN7" s="17"/>
      <c r="LO7" s="17"/>
      <c r="LP7" s="17"/>
      <c r="LQ7" s="17"/>
      <c r="LR7" s="17"/>
      <c r="LS7" s="17"/>
      <c r="LT7" s="17"/>
      <c r="LU7" s="17"/>
      <c r="LV7" s="17"/>
      <c r="LW7" s="17"/>
      <c r="LX7" s="17"/>
      <c r="LY7" s="17"/>
      <c r="LZ7" s="17"/>
      <c r="MA7" s="17"/>
      <c r="MB7" s="17"/>
      <c r="MC7" s="17"/>
      <c r="MD7" s="17"/>
      <c r="ME7" s="17"/>
      <c r="MF7" s="17"/>
      <c r="MG7" s="17"/>
      <c r="MH7" s="17"/>
      <c r="MI7" s="17"/>
      <c r="MJ7" s="17"/>
      <c r="MK7" s="17"/>
      <c r="ML7" s="17"/>
      <c r="MM7" s="17"/>
      <c r="MN7" s="17"/>
      <c r="MO7" s="17"/>
      <c r="MP7" s="17"/>
      <c r="MQ7" s="17"/>
      <c r="MR7" s="17"/>
      <c r="MS7" s="17"/>
      <c r="MT7" s="17"/>
      <c r="MU7" s="17"/>
      <c r="MV7" s="17"/>
      <c r="MW7" s="17"/>
      <c r="MX7" s="17"/>
      <c r="MY7" s="17"/>
      <c r="MZ7" s="17"/>
      <c r="NA7" s="17"/>
      <c r="NB7" s="17"/>
      <c r="NC7" s="17"/>
      <c r="ND7" s="17"/>
      <c r="NE7" s="17"/>
      <c r="NF7" s="17"/>
      <c r="NG7" s="17"/>
      <c r="NH7" s="17"/>
      <c r="NI7" s="17"/>
      <c r="NJ7" s="17"/>
      <c r="NK7" s="17"/>
      <c r="NL7" s="17"/>
      <c r="NM7" s="17"/>
      <c r="NN7" s="17"/>
      <c r="NO7" s="17"/>
      <c r="NP7" s="17"/>
      <c r="NQ7" s="17"/>
      <c r="NR7" s="17"/>
      <c r="NS7" s="17"/>
      <c r="NT7" s="17"/>
      <c r="NU7" s="17"/>
      <c r="NV7" s="17"/>
      <c r="NW7" s="17"/>
      <c r="NX7" s="17"/>
      <c r="NY7" s="17"/>
      <c r="NZ7" s="17"/>
      <c r="OA7" s="17"/>
      <c r="OB7" s="17"/>
      <c r="OC7" s="17"/>
      <c r="OD7" s="17"/>
      <c r="OE7" s="17"/>
      <c r="OF7" s="17"/>
      <c r="OG7" s="17"/>
      <c r="OH7" s="17"/>
      <c r="OI7" s="17"/>
      <c r="OJ7" s="17"/>
      <c r="OK7" s="17"/>
      <c r="OL7" s="17"/>
      <c r="OM7" s="17"/>
      <c r="ON7" s="17"/>
      <c r="OO7" s="17"/>
      <c r="OP7" s="17"/>
      <c r="OQ7" s="17"/>
      <c r="OR7" s="17"/>
      <c r="OS7" s="17"/>
      <c r="OT7" s="17"/>
      <c r="OU7" s="17"/>
      <c r="OV7" s="17"/>
      <c r="OW7" s="17"/>
      <c r="OX7" s="17"/>
      <c r="OY7" s="17"/>
      <c r="OZ7" s="17"/>
      <c r="PA7" s="17"/>
      <c r="PB7" s="17"/>
      <c r="PC7" s="17"/>
      <c r="PD7" s="17"/>
      <c r="PE7" s="17"/>
      <c r="PF7" s="17"/>
      <c r="PG7" s="17"/>
      <c r="PH7" s="17"/>
      <c r="PI7" s="17"/>
      <c r="PJ7" s="17"/>
      <c r="PK7" s="17"/>
      <c r="PL7" s="17"/>
      <c r="PM7" s="17"/>
      <c r="PN7" s="17"/>
      <c r="PO7" s="17"/>
      <c r="PP7" s="17"/>
      <c r="PQ7" s="17"/>
      <c r="PR7" s="17"/>
      <c r="PS7" s="17"/>
      <c r="PT7" s="17"/>
      <c r="PU7" s="17"/>
      <c r="PV7" s="17"/>
      <c r="PW7" s="17"/>
      <c r="PX7" s="17"/>
      <c r="PY7" s="17"/>
      <c r="PZ7" s="17"/>
      <c r="QA7" s="17"/>
      <c r="QB7" s="17"/>
      <c r="QC7" s="17"/>
      <c r="QD7" s="17"/>
      <c r="QE7" s="17"/>
      <c r="QF7" s="17"/>
      <c r="QG7" s="17"/>
      <c r="QH7" s="17"/>
      <c r="QI7" s="17"/>
      <c r="QJ7" s="17"/>
      <c r="QK7" s="17"/>
      <c r="QL7" s="17"/>
      <c r="QM7" s="17"/>
      <c r="QN7" s="17"/>
      <c r="QO7" s="17"/>
      <c r="QP7" s="17"/>
      <c r="QQ7" s="17"/>
      <c r="QR7" s="17"/>
      <c r="QS7" s="17"/>
      <c r="QT7" s="17"/>
      <c r="QU7" s="17"/>
      <c r="QV7" s="17"/>
      <c r="QW7" s="17"/>
      <c r="QX7" s="17"/>
      <c r="QY7" s="17"/>
      <c r="QZ7" s="17"/>
      <c r="RA7" s="17"/>
      <c r="RB7" s="17"/>
      <c r="RC7" s="17"/>
      <c r="RD7" s="17"/>
      <c r="RE7" s="17"/>
      <c r="RF7" s="17"/>
      <c r="RG7" s="17"/>
      <c r="RH7" s="17"/>
      <c r="RI7" s="17"/>
      <c r="RJ7" s="17"/>
      <c r="RK7" s="17"/>
      <c r="RL7" s="17"/>
      <c r="RM7" s="17"/>
      <c r="RN7" s="17"/>
      <c r="RO7" s="17"/>
      <c r="RP7" s="17"/>
      <c r="RQ7" s="17"/>
      <c r="RR7" s="17"/>
      <c r="RS7" s="17"/>
      <c r="RT7" s="17"/>
      <c r="RU7" s="17"/>
      <c r="RV7" s="17"/>
      <c r="RW7" s="17"/>
      <c r="RX7" s="17"/>
      <c r="RY7" s="17"/>
      <c r="RZ7" s="17"/>
      <c r="SA7" s="17"/>
      <c r="SB7" s="17"/>
      <c r="SC7" s="17"/>
      <c r="SD7" s="17"/>
      <c r="SE7" s="17"/>
      <c r="SF7" s="17"/>
      <c r="SG7" s="17"/>
      <c r="SH7" s="17"/>
      <c r="SI7" s="17"/>
      <c r="SJ7" s="17"/>
      <c r="SK7" s="17"/>
      <c r="SL7" s="17"/>
      <c r="SM7" s="17"/>
      <c r="SN7" s="17"/>
      <c r="SO7" s="17"/>
      <c r="SP7" s="17"/>
      <c r="SQ7" s="17"/>
      <c r="SR7" s="17"/>
      <c r="SS7" s="17"/>
      <c r="ST7" s="17"/>
      <c r="SU7" s="17"/>
      <c r="SV7" s="17"/>
      <c r="SW7" s="17"/>
      <c r="SX7" s="17"/>
      <c r="SY7" s="17"/>
      <c r="SZ7" s="17"/>
      <c r="TA7" s="17"/>
      <c r="TB7" s="17"/>
      <c r="TC7" s="17"/>
      <c r="TD7" s="17"/>
      <c r="TE7" s="17"/>
      <c r="TF7" s="17"/>
      <c r="TG7" s="17"/>
      <c r="TH7" s="17"/>
      <c r="TI7" s="17"/>
      <c r="TJ7" s="17"/>
      <c r="TK7" s="17"/>
      <c r="TL7" s="17"/>
      <c r="TM7" s="17"/>
      <c r="TN7" s="17"/>
      <c r="TO7" s="17"/>
      <c r="TP7" s="17"/>
      <c r="TQ7" s="17"/>
      <c r="TR7" s="17"/>
      <c r="TS7" s="17"/>
      <c r="TT7" s="17"/>
      <c r="TU7" s="17"/>
      <c r="TV7" s="17"/>
      <c r="TW7" s="17"/>
      <c r="TX7" s="17"/>
      <c r="TY7" s="17"/>
      <c r="TZ7" s="17"/>
      <c r="UA7" s="17"/>
      <c r="UB7" s="17"/>
      <c r="UC7" s="17"/>
      <c r="UD7" s="17"/>
      <c r="UE7" s="17"/>
      <c r="UF7" s="17"/>
      <c r="UG7" s="17"/>
      <c r="UH7" s="17"/>
      <c r="UI7" s="17"/>
      <c r="UJ7" s="17"/>
      <c r="UK7" s="17"/>
      <c r="UL7" s="17"/>
      <c r="UM7" s="17"/>
      <c r="UN7" s="17"/>
      <c r="UO7" s="17"/>
      <c r="UP7" s="17"/>
      <c r="UQ7" s="17"/>
      <c r="UR7" s="17"/>
      <c r="US7" s="17"/>
      <c r="UT7" s="17"/>
      <c r="UU7" s="17"/>
      <c r="UV7" s="17"/>
      <c r="UW7" s="17"/>
      <c r="UX7" s="17"/>
      <c r="UY7" s="17"/>
      <c r="UZ7" s="17"/>
      <c r="VA7" s="17"/>
      <c r="VB7" s="17"/>
      <c r="VC7" s="17"/>
      <c r="VD7" s="17"/>
      <c r="VE7" s="17"/>
      <c r="VF7" s="17"/>
      <c r="VG7" s="17"/>
      <c r="VH7" s="17"/>
      <c r="VI7" s="17"/>
      <c r="VJ7" s="17"/>
      <c r="VK7" s="17"/>
      <c r="VL7" s="17"/>
      <c r="VM7" s="17"/>
      <c r="VN7" s="17"/>
      <c r="VO7" s="17"/>
      <c r="VP7" s="17"/>
      <c r="VQ7" s="17"/>
      <c r="VR7" s="17"/>
      <c r="VS7" s="17"/>
      <c r="VT7" s="17"/>
      <c r="VU7" s="17"/>
      <c r="VV7" s="17"/>
      <c r="VW7" s="17"/>
      <c r="VX7" s="17"/>
      <c r="VY7" s="17"/>
      <c r="VZ7" s="17"/>
      <c r="WA7" s="17"/>
      <c r="WB7" s="17"/>
      <c r="WC7" s="17"/>
      <c r="WD7" s="17"/>
      <c r="WE7" s="17"/>
      <c r="WF7" s="17"/>
      <c r="WG7" s="17"/>
      <c r="WH7" s="17"/>
      <c r="WI7" s="17"/>
      <c r="WJ7" s="17"/>
      <c r="WK7" s="17"/>
      <c r="WL7" s="17"/>
      <c r="WM7" s="17"/>
      <c r="WN7" s="17"/>
      <c r="WO7" s="17"/>
      <c r="WP7" s="17"/>
      <c r="WQ7" s="17"/>
      <c r="WR7" s="17"/>
      <c r="WS7" s="17"/>
      <c r="WT7" s="17"/>
      <c r="WU7" s="17"/>
      <c r="WV7" s="17"/>
      <c r="WW7" s="17"/>
      <c r="WX7" s="17"/>
      <c r="WY7" s="17"/>
      <c r="WZ7" s="17"/>
      <c r="XA7" s="17"/>
      <c r="XB7" s="17"/>
      <c r="XC7" s="17"/>
      <c r="XD7" s="17"/>
      <c r="XE7" s="17"/>
      <c r="XF7" s="17"/>
      <c r="XG7" s="17"/>
      <c r="XH7" s="17"/>
      <c r="XI7" s="17"/>
      <c r="XJ7" s="17"/>
      <c r="XK7" s="17"/>
      <c r="XL7" s="17"/>
      <c r="XM7" s="17"/>
      <c r="XN7" s="17"/>
      <c r="XO7" s="17"/>
      <c r="XP7" s="17"/>
      <c r="XQ7" s="17"/>
      <c r="XR7" s="17"/>
      <c r="XS7" s="17"/>
      <c r="XT7" s="17"/>
      <c r="XU7" s="17"/>
      <c r="XV7" s="17"/>
      <c r="XW7" s="17"/>
      <c r="XX7" s="17"/>
      <c r="XY7" s="17"/>
      <c r="XZ7" s="17"/>
      <c r="YA7" s="17"/>
      <c r="YB7" s="17"/>
      <c r="YC7" s="17"/>
      <c r="YD7" s="17"/>
      <c r="YE7" s="17"/>
      <c r="YF7" s="17"/>
      <c r="YG7" s="17"/>
      <c r="YH7" s="17"/>
      <c r="YI7" s="17"/>
      <c r="YJ7" s="17"/>
      <c r="YK7" s="17"/>
      <c r="YL7" s="17"/>
      <c r="YM7" s="17"/>
      <c r="YN7" s="17"/>
      <c r="YO7" s="17"/>
      <c r="YP7" s="17"/>
      <c r="YQ7" s="17"/>
      <c r="YR7" s="17"/>
      <c r="YS7" s="17"/>
      <c r="YT7" s="17"/>
      <c r="YU7" s="17"/>
      <c r="YV7" s="17"/>
      <c r="YW7" s="17"/>
      <c r="YX7" s="17"/>
      <c r="YY7" s="17"/>
      <c r="YZ7" s="17"/>
      <c r="ZA7" s="17"/>
      <c r="ZB7" s="17"/>
      <c r="ZC7" s="17"/>
      <c r="ZD7" s="17"/>
      <c r="ZE7" s="17"/>
      <c r="ZF7" s="17"/>
      <c r="ZG7" s="17"/>
      <c r="ZH7" s="17"/>
      <c r="ZI7" s="17"/>
      <c r="ZJ7" s="17"/>
      <c r="ZK7" s="17"/>
      <c r="ZL7" s="17"/>
      <c r="ZM7" s="17"/>
      <c r="ZN7" s="17"/>
      <c r="ZO7" s="17"/>
      <c r="ZP7" s="17"/>
      <c r="ZQ7" s="17"/>
      <c r="ZR7" s="17"/>
      <c r="ZS7" s="17"/>
      <c r="ZT7" s="17"/>
      <c r="ZU7" s="17"/>
      <c r="ZV7" s="17"/>
      <c r="ZW7" s="17"/>
      <c r="ZX7" s="17"/>
      <c r="ZY7" s="17"/>
      <c r="ZZ7" s="17"/>
      <c r="AAA7" s="17"/>
      <c r="AAB7" s="17"/>
      <c r="AAC7" s="17"/>
      <c r="AAD7" s="17"/>
      <c r="AAE7" s="17"/>
      <c r="AAF7" s="17"/>
    </row>
    <row r="8" spans="1:708" s="29" customFormat="1" ht="131.25" customHeight="1" x14ac:dyDescent="0.25">
      <c r="A8" s="432"/>
      <c r="B8" s="432"/>
      <c r="C8" s="432"/>
      <c r="D8" s="432"/>
      <c r="E8" s="434"/>
      <c r="F8" s="432"/>
      <c r="G8" s="432"/>
      <c r="H8" s="432"/>
      <c r="I8" s="432"/>
      <c r="J8" s="432"/>
      <c r="K8" s="435"/>
      <c r="L8" s="437"/>
      <c r="M8" s="437"/>
      <c r="N8" s="437"/>
      <c r="O8" s="437"/>
      <c r="P8" s="437"/>
      <c r="Q8" s="19" t="s">
        <v>80</v>
      </c>
      <c r="R8" s="19" t="s">
        <v>81</v>
      </c>
      <c r="S8" s="20" t="s">
        <v>60</v>
      </c>
      <c r="T8" s="20"/>
      <c r="U8" s="20">
        <v>436</v>
      </c>
      <c r="V8" s="445"/>
      <c r="W8" s="448"/>
      <c r="X8" s="432"/>
      <c r="Y8" s="408"/>
      <c r="Z8" s="408"/>
      <c r="AA8" s="410"/>
      <c r="AB8" s="412"/>
      <c r="AC8" s="21">
        <v>24</v>
      </c>
      <c r="AD8" s="21">
        <f>+U8</f>
        <v>436</v>
      </c>
      <c r="AE8" s="22">
        <f>+AC8/AD8</f>
        <v>5.5045871559633031E-2</v>
      </c>
      <c r="AF8" s="23" t="s">
        <v>82</v>
      </c>
      <c r="AG8" s="439"/>
      <c r="AH8" s="439"/>
      <c r="AI8" s="441"/>
      <c r="AJ8" s="443"/>
      <c r="AK8" s="24">
        <v>52</v>
      </c>
      <c r="AL8" s="24">
        <v>436</v>
      </c>
      <c r="AM8" s="25">
        <v>0.11926605504587157</v>
      </c>
      <c r="AN8" s="26" t="s">
        <v>83</v>
      </c>
      <c r="AO8" s="439"/>
      <c r="AP8" s="439"/>
      <c r="AQ8" s="441"/>
      <c r="AR8" s="443"/>
      <c r="AS8" s="24">
        <v>77</v>
      </c>
      <c r="AT8" s="24">
        <f>+U8</f>
        <v>436</v>
      </c>
      <c r="AU8" s="25">
        <f>+AS8/AT8</f>
        <v>0.17660550458715596</v>
      </c>
      <c r="AV8" s="26" t="s">
        <v>84</v>
      </c>
      <c r="AW8" s="439"/>
      <c r="AX8" s="439"/>
      <c r="AY8" s="441"/>
      <c r="AZ8" s="443"/>
      <c r="BA8" s="24">
        <f>+BA12+BA17+BA22+BA27+BA32</f>
        <v>93</v>
      </c>
      <c r="BB8" s="24">
        <f>+U8</f>
        <v>436</v>
      </c>
      <c r="BC8" s="25">
        <f>+BA8/BB8</f>
        <v>0.21330275229357798</v>
      </c>
      <c r="BD8" s="26" t="s">
        <v>85</v>
      </c>
      <c r="BE8" s="439"/>
      <c r="BF8" s="439"/>
      <c r="BG8" s="441"/>
      <c r="BH8" s="443"/>
      <c r="BI8" s="27">
        <f>+BI12+BI17+BI22+BI27+BI32</f>
        <v>116</v>
      </c>
      <c r="BJ8" s="24">
        <v>436</v>
      </c>
      <c r="BK8" s="25">
        <f>+BI8/BJ8</f>
        <v>0.26605504587155965</v>
      </c>
      <c r="BL8" s="26" t="s">
        <v>86</v>
      </c>
      <c r="BM8" s="439"/>
      <c r="BN8" s="439"/>
      <c r="BO8" s="441"/>
      <c r="BP8" s="443"/>
      <c r="BQ8" s="27">
        <f>+BQ12+BQ17+BQ22+BQ27+BQ32</f>
        <v>153</v>
      </c>
      <c r="BR8" s="24">
        <v>436</v>
      </c>
      <c r="BS8" s="25">
        <f>+BQ8/BR8</f>
        <v>0.35091743119266056</v>
      </c>
      <c r="BT8" s="26" t="s">
        <v>87</v>
      </c>
      <c r="BU8" s="408"/>
      <c r="BV8" s="408"/>
      <c r="BW8" s="410"/>
      <c r="BX8" s="412"/>
      <c r="BY8" s="28">
        <f>+BY12+BY17+BY22+BY27+BY32</f>
        <v>179</v>
      </c>
      <c r="BZ8" s="21">
        <v>436</v>
      </c>
      <c r="CA8" s="22">
        <f>+BY8/BZ8</f>
        <v>0.41055045871559631</v>
      </c>
      <c r="CB8" s="23" t="s">
        <v>88</v>
      </c>
      <c r="CC8" s="408"/>
      <c r="CD8" s="408"/>
      <c r="CE8" s="410"/>
      <c r="CF8" s="412"/>
      <c r="CG8" s="28">
        <f>+CG12+CG17+CG22+CG27+CG32</f>
        <v>202</v>
      </c>
      <c r="CH8" s="21">
        <v>436</v>
      </c>
      <c r="CI8" s="22">
        <f>+CG8/CH8</f>
        <v>0.46330275229357798</v>
      </c>
      <c r="CJ8" s="23" t="s">
        <v>89</v>
      </c>
      <c r="CK8" s="408"/>
      <c r="CL8" s="408"/>
      <c r="CM8" s="410"/>
      <c r="CN8" s="412"/>
      <c r="CO8" s="28">
        <v>220</v>
      </c>
      <c r="CP8" s="21">
        <v>436</v>
      </c>
      <c r="CQ8" s="22">
        <f>+CO8/CP8</f>
        <v>0.50458715596330272</v>
      </c>
      <c r="CR8" s="23" t="s">
        <v>598</v>
      </c>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c r="JJ8" s="17"/>
      <c r="JK8" s="17"/>
      <c r="JL8" s="17"/>
      <c r="JM8" s="17"/>
      <c r="JN8" s="17"/>
      <c r="JO8" s="17"/>
      <c r="JP8" s="17"/>
      <c r="JQ8" s="17"/>
      <c r="JR8" s="17"/>
      <c r="JS8" s="17"/>
      <c r="JT8" s="17"/>
      <c r="JU8" s="17"/>
      <c r="JV8" s="17"/>
      <c r="JW8" s="17"/>
      <c r="JX8" s="17"/>
      <c r="JY8" s="17"/>
      <c r="JZ8" s="17"/>
      <c r="KA8" s="17"/>
      <c r="KB8" s="17"/>
      <c r="KC8" s="17"/>
      <c r="KD8" s="17"/>
      <c r="KE8" s="17"/>
      <c r="KF8" s="17"/>
      <c r="KG8" s="17"/>
      <c r="KH8" s="17"/>
      <c r="KI8" s="17"/>
      <c r="KJ8" s="17"/>
      <c r="KK8" s="17"/>
      <c r="KL8" s="17"/>
      <c r="KM8" s="17"/>
      <c r="KN8" s="17"/>
      <c r="KO8" s="17"/>
      <c r="KP8" s="17"/>
      <c r="KQ8" s="17"/>
      <c r="KR8" s="17"/>
      <c r="KS8" s="17"/>
      <c r="KT8" s="17"/>
      <c r="KU8" s="17"/>
      <c r="KV8" s="17"/>
      <c r="KW8" s="17"/>
      <c r="KX8" s="17"/>
      <c r="KY8" s="17"/>
      <c r="KZ8" s="17"/>
      <c r="LA8" s="17"/>
      <c r="LB8" s="17"/>
      <c r="LC8" s="17"/>
      <c r="LD8" s="17"/>
      <c r="LE8" s="17"/>
      <c r="LF8" s="17"/>
      <c r="LG8" s="17"/>
      <c r="LH8" s="17"/>
      <c r="LI8" s="17"/>
      <c r="LJ8" s="17"/>
      <c r="LK8" s="17"/>
      <c r="LL8" s="17"/>
      <c r="LM8" s="17"/>
      <c r="LN8" s="17"/>
      <c r="LO8" s="17"/>
      <c r="LP8" s="17"/>
      <c r="LQ8" s="17"/>
      <c r="LR8" s="17"/>
      <c r="LS8" s="17"/>
      <c r="LT8" s="17"/>
      <c r="LU8" s="17"/>
      <c r="LV8" s="17"/>
      <c r="LW8" s="17"/>
      <c r="LX8" s="17"/>
      <c r="LY8" s="17"/>
      <c r="LZ8" s="17"/>
      <c r="MA8" s="17"/>
      <c r="MB8" s="17"/>
      <c r="MC8" s="17"/>
      <c r="MD8" s="17"/>
      <c r="ME8" s="17"/>
      <c r="MF8" s="17"/>
      <c r="MG8" s="17"/>
      <c r="MH8" s="17"/>
      <c r="MI8" s="17"/>
      <c r="MJ8" s="17"/>
      <c r="MK8" s="17"/>
      <c r="ML8" s="17"/>
      <c r="MM8" s="17"/>
      <c r="MN8" s="17"/>
      <c r="MO8" s="17"/>
      <c r="MP8" s="17"/>
      <c r="MQ8" s="17"/>
      <c r="MR8" s="17"/>
      <c r="MS8" s="17"/>
      <c r="MT8" s="17"/>
      <c r="MU8" s="17"/>
      <c r="MV8" s="17"/>
      <c r="MW8" s="17"/>
      <c r="MX8" s="17"/>
      <c r="MY8" s="17"/>
      <c r="MZ8" s="17"/>
      <c r="NA8" s="17"/>
      <c r="NB8" s="17"/>
      <c r="NC8" s="17"/>
      <c r="ND8" s="17"/>
      <c r="NE8" s="17"/>
      <c r="NF8" s="17"/>
      <c r="NG8" s="17"/>
      <c r="NH8" s="17"/>
      <c r="NI8" s="17"/>
      <c r="NJ8" s="17"/>
      <c r="NK8" s="17"/>
      <c r="NL8" s="17"/>
      <c r="NM8" s="17"/>
      <c r="NN8" s="17"/>
      <c r="NO8" s="17"/>
      <c r="NP8" s="17"/>
      <c r="NQ8" s="17"/>
      <c r="NR8" s="17"/>
      <c r="NS8" s="17"/>
      <c r="NT8" s="17"/>
      <c r="NU8" s="17"/>
      <c r="NV8" s="17"/>
      <c r="NW8" s="17"/>
      <c r="NX8" s="17"/>
      <c r="NY8" s="17"/>
      <c r="NZ8" s="17"/>
      <c r="OA8" s="17"/>
      <c r="OB8" s="17"/>
      <c r="OC8" s="17"/>
      <c r="OD8" s="17"/>
      <c r="OE8" s="17"/>
      <c r="OF8" s="17"/>
      <c r="OG8" s="17"/>
      <c r="OH8" s="17"/>
      <c r="OI8" s="17"/>
      <c r="OJ8" s="17"/>
      <c r="OK8" s="17"/>
      <c r="OL8" s="17"/>
      <c r="OM8" s="17"/>
      <c r="ON8" s="17"/>
      <c r="OO8" s="17"/>
      <c r="OP8" s="17"/>
      <c r="OQ8" s="17"/>
      <c r="OR8" s="17"/>
      <c r="OS8" s="17"/>
      <c r="OT8" s="17"/>
      <c r="OU8" s="17"/>
      <c r="OV8" s="17"/>
      <c r="OW8" s="17"/>
      <c r="OX8" s="17"/>
      <c r="OY8" s="17"/>
      <c r="OZ8" s="17"/>
      <c r="PA8" s="17"/>
      <c r="PB8" s="17"/>
      <c r="PC8" s="17"/>
      <c r="PD8" s="17"/>
      <c r="PE8" s="17"/>
      <c r="PF8" s="17"/>
      <c r="PG8" s="17"/>
      <c r="PH8" s="17"/>
      <c r="PI8" s="17"/>
      <c r="PJ8" s="17"/>
      <c r="PK8" s="17"/>
      <c r="PL8" s="17"/>
      <c r="PM8" s="17"/>
      <c r="PN8" s="17"/>
      <c r="PO8" s="17"/>
      <c r="PP8" s="17"/>
      <c r="PQ8" s="17"/>
      <c r="PR8" s="17"/>
      <c r="PS8" s="17"/>
      <c r="PT8" s="17"/>
      <c r="PU8" s="17"/>
      <c r="PV8" s="17"/>
      <c r="PW8" s="17"/>
      <c r="PX8" s="17"/>
      <c r="PY8" s="17"/>
      <c r="PZ8" s="17"/>
      <c r="QA8" s="17"/>
      <c r="QB8" s="17"/>
      <c r="QC8" s="17"/>
      <c r="QD8" s="17"/>
      <c r="QE8" s="17"/>
      <c r="QF8" s="17"/>
      <c r="QG8" s="17"/>
      <c r="QH8" s="17"/>
      <c r="QI8" s="17"/>
      <c r="QJ8" s="17"/>
      <c r="QK8" s="17"/>
      <c r="QL8" s="17"/>
      <c r="QM8" s="17"/>
      <c r="QN8" s="17"/>
      <c r="QO8" s="17"/>
      <c r="QP8" s="17"/>
      <c r="QQ8" s="17"/>
      <c r="QR8" s="17"/>
      <c r="QS8" s="17"/>
      <c r="QT8" s="17"/>
      <c r="QU8" s="17"/>
      <c r="QV8" s="17"/>
      <c r="QW8" s="17"/>
      <c r="QX8" s="17"/>
      <c r="QY8" s="17"/>
      <c r="QZ8" s="17"/>
      <c r="RA8" s="17"/>
      <c r="RB8" s="17"/>
      <c r="RC8" s="17"/>
      <c r="RD8" s="17"/>
      <c r="RE8" s="17"/>
      <c r="RF8" s="17"/>
      <c r="RG8" s="17"/>
      <c r="RH8" s="17"/>
      <c r="RI8" s="17"/>
      <c r="RJ8" s="17"/>
      <c r="RK8" s="17"/>
      <c r="RL8" s="17"/>
      <c r="RM8" s="17"/>
      <c r="RN8" s="17"/>
      <c r="RO8" s="17"/>
      <c r="RP8" s="17"/>
      <c r="RQ8" s="17"/>
      <c r="RR8" s="17"/>
      <c r="RS8" s="17"/>
      <c r="RT8" s="17"/>
      <c r="RU8" s="17"/>
      <c r="RV8" s="17"/>
      <c r="RW8" s="17"/>
      <c r="RX8" s="17"/>
      <c r="RY8" s="17"/>
      <c r="RZ8" s="17"/>
      <c r="SA8" s="17"/>
      <c r="SB8" s="17"/>
      <c r="SC8" s="17"/>
      <c r="SD8" s="17"/>
      <c r="SE8" s="17"/>
      <c r="SF8" s="17"/>
      <c r="SG8" s="17"/>
      <c r="SH8" s="17"/>
      <c r="SI8" s="17"/>
      <c r="SJ8" s="17"/>
      <c r="SK8" s="17"/>
      <c r="SL8" s="17"/>
      <c r="SM8" s="17"/>
      <c r="SN8" s="17"/>
      <c r="SO8" s="17"/>
      <c r="SP8" s="17"/>
      <c r="SQ8" s="17"/>
      <c r="SR8" s="17"/>
      <c r="SS8" s="17"/>
      <c r="ST8" s="17"/>
      <c r="SU8" s="17"/>
      <c r="SV8" s="17"/>
      <c r="SW8" s="17"/>
      <c r="SX8" s="17"/>
      <c r="SY8" s="17"/>
      <c r="SZ8" s="17"/>
      <c r="TA8" s="17"/>
      <c r="TB8" s="17"/>
      <c r="TC8" s="17"/>
      <c r="TD8" s="17"/>
      <c r="TE8" s="17"/>
      <c r="TF8" s="17"/>
      <c r="TG8" s="17"/>
      <c r="TH8" s="17"/>
      <c r="TI8" s="17"/>
      <c r="TJ8" s="17"/>
      <c r="TK8" s="17"/>
      <c r="TL8" s="17"/>
      <c r="TM8" s="17"/>
      <c r="TN8" s="17"/>
      <c r="TO8" s="17"/>
      <c r="TP8" s="17"/>
      <c r="TQ8" s="17"/>
      <c r="TR8" s="17"/>
      <c r="TS8" s="17"/>
      <c r="TT8" s="17"/>
      <c r="TU8" s="17"/>
      <c r="TV8" s="17"/>
      <c r="TW8" s="17"/>
      <c r="TX8" s="17"/>
      <c r="TY8" s="17"/>
      <c r="TZ8" s="17"/>
      <c r="UA8" s="17"/>
      <c r="UB8" s="17"/>
      <c r="UC8" s="17"/>
      <c r="UD8" s="17"/>
      <c r="UE8" s="17"/>
      <c r="UF8" s="17"/>
      <c r="UG8" s="17"/>
      <c r="UH8" s="17"/>
      <c r="UI8" s="17"/>
      <c r="UJ8" s="17"/>
      <c r="UK8" s="17"/>
      <c r="UL8" s="17"/>
      <c r="UM8" s="17"/>
      <c r="UN8" s="17"/>
      <c r="UO8" s="17"/>
      <c r="UP8" s="17"/>
      <c r="UQ8" s="17"/>
      <c r="UR8" s="17"/>
      <c r="US8" s="17"/>
      <c r="UT8" s="17"/>
      <c r="UU8" s="17"/>
      <c r="UV8" s="17"/>
      <c r="UW8" s="17"/>
      <c r="UX8" s="17"/>
      <c r="UY8" s="17"/>
      <c r="UZ8" s="17"/>
      <c r="VA8" s="17"/>
      <c r="VB8" s="17"/>
      <c r="VC8" s="17"/>
      <c r="VD8" s="17"/>
      <c r="VE8" s="17"/>
      <c r="VF8" s="17"/>
      <c r="VG8" s="17"/>
      <c r="VH8" s="17"/>
      <c r="VI8" s="17"/>
      <c r="VJ8" s="17"/>
      <c r="VK8" s="17"/>
      <c r="VL8" s="17"/>
      <c r="VM8" s="17"/>
      <c r="VN8" s="17"/>
      <c r="VO8" s="17"/>
      <c r="VP8" s="17"/>
      <c r="VQ8" s="17"/>
      <c r="VR8" s="17"/>
      <c r="VS8" s="17"/>
      <c r="VT8" s="17"/>
      <c r="VU8" s="17"/>
      <c r="VV8" s="17"/>
      <c r="VW8" s="17"/>
      <c r="VX8" s="17"/>
      <c r="VY8" s="17"/>
      <c r="VZ8" s="17"/>
      <c r="WA8" s="17"/>
      <c r="WB8" s="17"/>
      <c r="WC8" s="17"/>
      <c r="WD8" s="17"/>
      <c r="WE8" s="17"/>
      <c r="WF8" s="17"/>
      <c r="WG8" s="17"/>
      <c r="WH8" s="17"/>
      <c r="WI8" s="17"/>
      <c r="WJ8" s="17"/>
      <c r="WK8" s="17"/>
      <c r="WL8" s="17"/>
      <c r="WM8" s="17"/>
      <c r="WN8" s="17"/>
      <c r="WO8" s="17"/>
      <c r="WP8" s="17"/>
      <c r="WQ8" s="17"/>
      <c r="WR8" s="17"/>
      <c r="WS8" s="17"/>
      <c r="WT8" s="17"/>
      <c r="WU8" s="17"/>
      <c r="WV8" s="17"/>
      <c r="WW8" s="17"/>
      <c r="WX8" s="17"/>
      <c r="WY8" s="17"/>
      <c r="WZ8" s="17"/>
      <c r="XA8" s="17"/>
      <c r="XB8" s="17"/>
      <c r="XC8" s="17"/>
      <c r="XD8" s="17"/>
      <c r="XE8" s="17"/>
      <c r="XF8" s="17"/>
      <c r="XG8" s="17"/>
      <c r="XH8" s="17"/>
      <c r="XI8" s="17"/>
      <c r="XJ8" s="17"/>
      <c r="XK8" s="17"/>
      <c r="XL8" s="17"/>
      <c r="XM8" s="17"/>
      <c r="XN8" s="17"/>
      <c r="XO8" s="17"/>
      <c r="XP8" s="17"/>
      <c r="XQ8" s="17"/>
      <c r="XR8" s="17"/>
      <c r="XS8" s="17"/>
      <c r="XT8" s="17"/>
      <c r="XU8" s="17"/>
      <c r="XV8" s="17"/>
      <c r="XW8" s="17"/>
      <c r="XX8" s="17"/>
      <c r="XY8" s="17"/>
      <c r="XZ8" s="17"/>
      <c r="YA8" s="17"/>
      <c r="YB8" s="17"/>
      <c r="YC8" s="17"/>
      <c r="YD8" s="17"/>
      <c r="YE8" s="17"/>
      <c r="YF8" s="17"/>
      <c r="YG8" s="17"/>
      <c r="YH8" s="17"/>
      <c r="YI8" s="17"/>
      <c r="YJ8" s="17"/>
      <c r="YK8" s="17"/>
      <c r="YL8" s="17"/>
      <c r="YM8" s="17"/>
      <c r="YN8" s="17"/>
      <c r="YO8" s="17"/>
      <c r="YP8" s="17"/>
      <c r="YQ8" s="17"/>
      <c r="YR8" s="17"/>
      <c r="YS8" s="17"/>
      <c r="YT8" s="17"/>
      <c r="YU8" s="17"/>
      <c r="YV8" s="17"/>
      <c r="YW8" s="17"/>
      <c r="YX8" s="17"/>
      <c r="YY8" s="17"/>
      <c r="YZ8" s="17"/>
      <c r="ZA8" s="17"/>
      <c r="ZB8" s="17"/>
      <c r="ZC8" s="17"/>
      <c r="ZD8" s="17"/>
      <c r="ZE8" s="17"/>
      <c r="ZF8" s="17"/>
      <c r="ZG8" s="17"/>
      <c r="ZH8" s="17"/>
      <c r="ZI8" s="17"/>
      <c r="ZJ8" s="17"/>
      <c r="ZK8" s="17"/>
      <c r="ZL8" s="17"/>
      <c r="ZM8" s="17"/>
      <c r="ZN8" s="17"/>
      <c r="ZO8" s="17"/>
      <c r="ZP8" s="17"/>
      <c r="ZQ8" s="17"/>
      <c r="ZR8" s="17"/>
      <c r="ZS8" s="17"/>
      <c r="ZT8" s="17"/>
      <c r="ZU8" s="17"/>
      <c r="ZV8" s="17"/>
      <c r="ZW8" s="17"/>
      <c r="ZX8" s="17"/>
      <c r="ZY8" s="17"/>
      <c r="ZZ8" s="17"/>
      <c r="AAA8" s="17"/>
      <c r="AAB8" s="17"/>
      <c r="AAC8" s="17"/>
      <c r="AAD8" s="17"/>
      <c r="AAE8" s="17"/>
      <c r="AAF8" s="17"/>
    </row>
    <row r="9" spans="1:708" s="18" customFormat="1" ht="87.75" customHeight="1" x14ac:dyDescent="0.25">
      <c r="A9" s="432"/>
      <c r="B9" s="432"/>
      <c r="C9" s="432"/>
      <c r="D9" s="432"/>
      <c r="E9" s="13" t="s">
        <v>90</v>
      </c>
      <c r="F9" s="432"/>
      <c r="G9" s="432"/>
      <c r="H9" s="432"/>
      <c r="I9" s="432"/>
      <c r="J9" s="432"/>
      <c r="K9" s="435"/>
      <c r="L9" s="13" t="s">
        <v>91</v>
      </c>
      <c r="M9" s="13" t="s">
        <v>92</v>
      </c>
      <c r="N9" s="13" t="s">
        <v>93</v>
      </c>
      <c r="O9" s="13"/>
      <c r="P9" s="30">
        <v>0.89</v>
      </c>
      <c r="Q9" s="31"/>
      <c r="R9" s="32"/>
      <c r="S9" s="33"/>
      <c r="T9" s="32"/>
      <c r="U9" s="34"/>
      <c r="V9" s="446"/>
      <c r="W9" s="448"/>
      <c r="X9" s="450"/>
      <c r="Y9" s="35">
        <f>16/16</f>
        <v>1</v>
      </c>
      <c r="Z9" s="35">
        <f>+P9</f>
        <v>0.89</v>
      </c>
      <c r="AA9" s="35">
        <f>+Y9/Z9</f>
        <v>1.1235955056179776</v>
      </c>
      <c r="AB9" s="36" t="s">
        <v>94</v>
      </c>
      <c r="AC9" s="413"/>
      <c r="AD9" s="414"/>
      <c r="AE9" s="414"/>
      <c r="AF9" s="415"/>
      <c r="AG9" s="37">
        <v>1</v>
      </c>
      <c r="AH9" s="37">
        <v>0.89</v>
      </c>
      <c r="AI9" s="37">
        <v>1.1235955056179776</v>
      </c>
      <c r="AJ9" s="38" t="s">
        <v>95</v>
      </c>
      <c r="AK9" s="456"/>
      <c r="AL9" s="457"/>
      <c r="AM9" s="457"/>
      <c r="AN9" s="458"/>
      <c r="AO9" s="37">
        <f>39/39</f>
        <v>1</v>
      </c>
      <c r="AP9" s="37">
        <f>+P9</f>
        <v>0.89</v>
      </c>
      <c r="AQ9" s="37">
        <f>+AO9/AP9</f>
        <v>1.1235955056179776</v>
      </c>
      <c r="AR9" s="38" t="s">
        <v>96</v>
      </c>
      <c r="AS9" s="456"/>
      <c r="AT9" s="457"/>
      <c r="AU9" s="457"/>
      <c r="AV9" s="458"/>
      <c r="AW9" s="37">
        <f>(48/48)</f>
        <v>1</v>
      </c>
      <c r="AX9" s="37">
        <f>+P9</f>
        <v>0.89</v>
      </c>
      <c r="AY9" s="37">
        <f>+AW9/AX9</f>
        <v>1.1235955056179776</v>
      </c>
      <c r="AZ9" s="38" t="s">
        <v>97</v>
      </c>
      <c r="BA9" s="456"/>
      <c r="BB9" s="457"/>
      <c r="BC9" s="457"/>
      <c r="BD9" s="458"/>
      <c r="BE9" s="37">
        <f>(52/52)</f>
        <v>1</v>
      </c>
      <c r="BF9" s="37">
        <v>0.89</v>
      </c>
      <c r="BG9" s="37">
        <f>+BE9/BF9</f>
        <v>1.1235955056179776</v>
      </c>
      <c r="BH9" s="38" t="s">
        <v>98</v>
      </c>
      <c r="BI9" s="456"/>
      <c r="BJ9" s="457"/>
      <c r="BK9" s="457"/>
      <c r="BL9" s="458"/>
      <c r="BM9" s="37">
        <f>(57/57)</f>
        <v>1</v>
      </c>
      <c r="BN9" s="37">
        <v>0.89</v>
      </c>
      <c r="BO9" s="37">
        <f>+BM9/BN9</f>
        <v>1.1235955056179776</v>
      </c>
      <c r="BP9" s="38" t="s">
        <v>99</v>
      </c>
      <c r="BQ9" s="456"/>
      <c r="BR9" s="457"/>
      <c r="BS9" s="457"/>
      <c r="BT9" s="458"/>
      <c r="BU9" s="35">
        <f>(63/63)</f>
        <v>1</v>
      </c>
      <c r="BV9" s="35">
        <v>0.89</v>
      </c>
      <c r="BW9" s="35">
        <f>+BU9/BV9</f>
        <v>1.1235955056179776</v>
      </c>
      <c r="BX9" s="36" t="s">
        <v>100</v>
      </c>
      <c r="BY9" s="413"/>
      <c r="BZ9" s="414"/>
      <c r="CA9" s="414"/>
      <c r="CB9" s="415"/>
      <c r="CC9" s="35">
        <f>(71/71)</f>
        <v>1</v>
      </c>
      <c r="CD9" s="35">
        <v>0.89</v>
      </c>
      <c r="CE9" s="35">
        <f>+CC9/CD9</f>
        <v>1.1235955056179776</v>
      </c>
      <c r="CF9" s="36" t="s">
        <v>101</v>
      </c>
      <c r="CG9" s="413"/>
      <c r="CH9" s="414"/>
      <c r="CI9" s="414"/>
      <c r="CJ9" s="415"/>
      <c r="CK9" s="76">
        <f>(72/72)</f>
        <v>1</v>
      </c>
      <c r="CL9" s="76">
        <v>0.89</v>
      </c>
      <c r="CM9" s="76">
        <f>+CK9/CL9</f>
        <v>1.1235955056179776</v>
      </c>
      <c r="CN9" s="70" t="s">
        <v>599</v>
      </c>
      <c r="CO9" s="413"/>
      <c r="CP9" s="414"/>
      <c r="CQ9" s="414"/>
      <c r="CR9" s="415"/>
      <c r="CS9" s="17"/>
      <c r="CT9" s="17"/>
      <c r="CU9" s="17"/>
      <c r="CV9" s="17"/>
      <c r="CW9" s="17"/>
      <c r="CX9" s="17"/>
      <c r="CY9" s="17"/>
      <c r="CZ9" s="17"/>
      <c r="DA9" s="17"/>
      <c r="DB9" s="17"/>
      <c r="DC9" s="17"/>
      <c r="DD9" s="17"/>
      <c r="DE9" s="17"/>
      <c r="DF9" s="17"/>
      <c r="DG9" s="17"/>
      <c r="DH9" s="17"/>
      <c r="DI9" s="17"/>
      <c r="DJ9" s="17"/>
      <c r="DK9" s="17"/>
      <c r="DL9" s="17"/>
      <c r="DM9" s="17"/>
      <c r="DN9" s="17"/>
      <c r="DO9" s="17"/>
      <c r="DP9" s="17"/>
      <c r="DQ9" s="17"/>
      <c r="DR9" s="17"/>
      <c r="DS9" s="17"/>
      <c r="DT9" s="17"/>
      <c r="DU9" s="17"/>
      <c r="DV9" s="17"/>
      <c r="DW9" s="17"/>
      <c r="DX9" s="17"/>
      <c r="DY9" s="17"/>
      <c r="DZ9" s="17"/>
      <c r="EA9" s="17"/>
      <c r="EB9" s="17"/>
      <c r="EC9" s="17"/>
      <c r="ED9" s="17"/>
      <c r="EE9" s="17"/>
      <c r="EF9" s="17"/>
      <c r="EG9" s="17"/>
      <c r="EH9" s="17"/>
      <c r="EI9" s="17"/>
      <c r="EJ9" s="17"/>
      <c r="EK9" s="17"/>
      <c r="EL9" s="17"/>
      <c r="EM9" s="17"/>
      <c r="EN9" s="17"/>
      <c r="EO9" s="17"/>
      <c r="EP9" s="17"/>
      <c r="EQ9" s="17"/>
      <c r="ER9" s="17"/>
      <c r="ES9" s="17"/>
      <c r="ET9" s="17"/>
      <c r="EU9" s="17"/>
      <c r="EV9" s="17"/>
      <c r="EW9" s="17"/>
      <c r="EX9" s="17"/>
      <c r="EY9" s="17"/>
      <c r="EZ9" s="17"/>
      <c r="FA9" s="17"/>
      <c r="FB9" s="17"/>
      <c r="FC9" s="17"/>
      <c r="FD9" s="17"/>
      <c r="FE9" s="17"/>
      <c r="FF9" s="17"/>
      <c r="FG9" s="17"/>
      <c r="FH9" s="17"/>
      <c r="FI9" s="17"/>
      <c r="FJ9" s="17"/>
      <c r="FK9" s="17"/>
      <c r="FL9" s="17"/>
      <c r="FM9" s="17"/>
      <c r="FN9" s="17"/>
      <c r="FO9" s="17"/>
      <c r="FP9" s="17"/>
      <c r="FQ9" s="17"/>
      <c r="FR9" s="17"/>
      <c r="FS9" s="17"/>
      <c r="FT9" s="17"/>
      <c r="FU9" s="17"/>
      <c r="FV9" s="17"/>
      <c r="FW9" s="17"/>
      <c r="FX9" s="17"/>
      <c r="FY9" s="17"/>
      <c r="FZ9" s="17"/>
      <c r="GA9" s="17"/>
      <c r="GB9" s="17"/>
      <c r="GC9" s="17"/>
      <c r="GD9" s="17"/>
      <c r="GE9" s="17"/>
      <c r="GF9" s="17"/>
      <c r="GG9" s="17"/>
      <c r="GH9" s="17"/>
      <c r="GI9" s="17"/>
      <c r="GJ9" s="17"/>
      <c r="GK9" s="17"/>
      <c r="GL9" s="17"/>
      <c r="GM9" s="17"/>
      <c r="GN9" s="17"/>
      <c r="GO9" s="17"/>
      <c r="GP9" s="17"/>
      <c r="GQ9" s="17"/>
      <c r="GR9" s="17"/>
      <c r="GS9" s="17"/>
      <c r="GT9" s="17"/>
      <c r="GU9" s="17"/>
      <c r="GV9" s="17"/>
      <c r="GW9" s="17"/>
      <c r="GX9" s="17"/>
      <c r="GY9" s="17"/>
      <c r="GZ9" s="17"/>
      <c r="HA9" s="17"/>
      <c r="HB9" s="17"/>
      <c r="HC9" s="17"/>
      <c r="HD9" s="17"/>
      <c r="HE9" s="17"/>
      <c r="HF9" s="17"/>
      <c r="HG9" s="17"/>
      <c r="HH9" s="17"/>
      <c r="HI9" s="17"/>
      <c r="HJ9" s="17"/>
      <c r="HK9" s="17"/>
      <c r="HL9" s="17"/>
      <c r="HM9" s="17"/>
      <c r="HN9" s="17"/>
      <c r="HO9" s="17"/>
      <c r="HP9" s="17"/>
      <c r="HQ9" s="17"/>
      <c r="HR9" s="17"/>
      <c r="HS9" s="17"/>
      <c r="HT9" s="17"/>
      <c r="HU9" s="17"/>
      <c r="HV9" s="17"/>
      <c r="HW9" s="17"/>
      <c r="HX9" s="17"/>
      <c r="HY9" s="17"/>
      <c r="HZ9" s="17"/>
      <c r="IA9" s="17"/>
      <c r="IB9" s="17"/>
      <c r="IC9" s="17"/>
      <c r="ID9" s="17"/>
      <c r="IE9" s="17"/>
      <c r="IF9" s="17"/>
      <c r="IG9" s="17"/>
      <c r="IH9" s="17"/>
      <c r="II9" s="17"/>
      <c r="IJ9" s="17"/>
      <c r="IK9" s="17"/>
      <c r="IL9" s="17"/>
      <c r="IM9" s="17"/>
      <c r="IN9" s="17"/>
      <c r="IO9" s="17"/>
      <c r="IP9" s="17"/>
      <c r="IQ9" s="17"/>
      <c r="IR9" s="17"/>
      <c r="IS9" s="17"/>
      <c r="IT9" s="17"/>
      <c r="IU9" s="17"/>
      <c r="IV9" s="17"/>
      <c r="IW9" s="17"/>
      <c r="IX9" s="17"/>
      <c r="IY9" s="17"/>
      <c r="IZ9" s="17"/>
      <c r="JA9" s="17"/>
      <c r="JB9" s="17"/>
      <c r="JC9" s="17"/>
      <c r="JD9" s="17"/>
      <c r="JE9" s="17"/>
      <c r="JF9" s="17"/>
      <c r="JG9" s="17"/>
      <c r="JH9" s="17"/>
      <c r="JI9" s="17"/>
      <c r="JJ9" s="17"/>
      <c r="JK9" s="17"/>
      <c r="JL9" s="17"/>
      <c r="JM9" s="17"/>
      <c r="JN9" s="17"/>
      <c r="JO9" s="17"/>
      <c r="JP9" s="17"/>
      <c r="JQ9" s="17"/>
      <c r="JR9" s="17"/>
      <c r="JS9" s="17"/>
      <c r="JT9" s="17"/>
      <c r="JU9" s="17"/>
      <c r="JV9" s="17"/>
      <c r="JW9" s="17"/>
      <c r="JX9" s="17"/>
      <c r="JY9" s="17"/>
      <c r="JZ9" s="17"/>
      <c r="KA9" s="17"/>
      <c r="KB9" s="17"/>
      <c r="KC9" s="17"/>
      <c r="KD9" s="17"/>
      <c r="KE9" s="17"/>
      <c r="KF9" s="17"/>
      <c r="KG9" s="17"/>
      <c r="KH9" s="17"/>
      <c r="KI9" s="17"/>
      <c r="KJ9" s="17"/>
      <c r="KK9" s="17"/>
      <c r="KL9" s="17"/>
      <c r="KM9" s="17"/>
      <c r="KN9" s="17"/>
      <c r="KO9" s="17"/>
      <c r="KP9" s="17"/>
      <c r="KQ9" s="17"/>
      <c r="KR9" s="17"/>
      <c r="KS9" s="17"/>
      <c r="KT9" s="17"/>
      <c r="KU9" s="17"/>
      <c r="KV9" s="17"/>
      <c r="KW9" s="17"/>
      <c r="KX9" s="17"/>
      <c r="KY9" s="17"/>
      <c r="KZ9" s="17"/>
      <c r="LA9" s="17"/>
      <c r="LB9" s="17"/>
      <c r="LC9" s="17"/>
      <c r="LD9" s="17"/>
      <c r="LE9" s="17"/>
      <c r="LF9" s="17"/>
      <c r="LG9" s="17"/>
      <c r="LH9" s="17"/>
      <c r="LI9" s="17"/>
      <c r="LJ9" s="17"/>
      <c r="LK9" s="17"/>
      <c r="LL9" s="17"/>
      <c r="LM9" s="17"/>
      <c r="LN9" s="17"/>
      <c r="LO9" s="17"/>
      <c r="LP9" s="17"/>
      <c r="LQ9" s="17"/>
      <c r="LR9" s="17"/>
      <c r="LS9" s="17"/>
      <c r="LT9" s="17"/>
      <c r="LU9" s="17"/>
      <c r="LV9" s="17"/>
      <c r="LW9" s="17"/>
      <c r="LX9" s="17"/>
      <c r="LY9" s="17"/>
      <c r="LZ9" s="17"/>
      <c r="MA9" s="17"/>
      <c r="MB9" s="17"/>
      <c r="MC9" s="17"/>
      <c r="MD9" s="17"/>
      <c r="ME9" s="17"/>
      <c r="MF9" s="17"/>
      <c r="MG9" s="17"/>
      <c r="MH9" s="17"/>
      <c r="MI9" s="17"/>
      <c r="MJ9" s="17"/>
      <c r="MK9" s="17"/>
      <c r="ML9" s="17"/>
      <c r="MM9" s="17"/>
      <c r="MN9" s="17"/>
      <c r="MO9" s="17"/>
      <c r="MP9" s="17"/>
      <c r="MQ9" s="17"/>
      <c r="MR9" s="17"/>
      <c r="MS9" s="17"/>
      <c r="MT9" s="17"/>
      <c r="MU9" s="17"/>
      <c r="MV9" s="17"/>
      <c r="MW9" s="17"/>
      <c r="MX9" s="17"/>
      <c r="MY9" s="17"/>
      <c r="MZ9" s="17"/>
      <c r="NA9" s="17"/>
      <c r="NB9" s="17"/>
      <c r="NC9" s="17"/>
      <c r="ND9" s="17"/>
      <c r="NE9" s="17"/>
      <c r="NF9" s="17"/>
      <c r="NG9" s="17"/>
      <c r="NH9" s="17"/>
      <c r="NI9" s="17"/>
      <c r="NJ9" s="17"/>
      <c r="NK9" s="17"/>
      <c r="NL9" s="17"/>
      <c r="NM9" s="17"/>
      <c r="NN9" s="17"/>
      <c r="NO9" s="17"/>
      <c r="NP9" s="17"/>
      <c r="NQ9" s="17"/>
      <c r="NR9" s="17"/>
      <c r="NS9" s="17"/>
      <c r="NT9" s="17"/>
      <c r="NU9" s="17"/>
      <c r="NV9" s="17"/>
      <c r="NW9" s="17"/>
      <c r="NX9" s="17"/>
      <c r="NY9" s="17"/>
      <c r="NZ9" s="17"/>
      <c r="OA9" s="17"/>
      <c r="OB9" s="17"/>
      <c r="OC9" s="17"/>
      <c r="OD9" s="17"/>
      <c r="OE9" s="17"/>
      <c r="OF9" s="17"/>
      <c r="OG9" s="17"/>
      <c r="OH9" s="17"/>
      <c r="OI9" s="17"/>
      <c r="OJ9" s="17"/>
      <c r="OK9" s="17"/>
      <c r="OL9" s="17"/>
      <c r="OM9" s="17"/>
      <c r="ON9" s="17"/>
      <c r="OO9" s="17"/>
      <c r="OP9" s="17"/>
      <c r="OQ9" s="17"/>
      <c r="OR9" s="17"/>
      <c r="OS9" s="17"/>
      <c r="OT9" s="17"/>
      <c r="OU9" s="17"/>
      <c r="OV9" s="17"/>
      <c r="OW9" s="17"/>
      <c r="OX9" s="17"/>
      <c r="OY9" s="17"/>
      <c r="OZ9" s="17"/>
      <c r="PA9" s="17"/>
      <c r="PB9" s="17"/>
      <c r="PC9" s="17"/>
      <c r="PD9" s="17"/>
      <c r="PE9" s="17"/>
      <c r="PF9" s="17"/>
      <c r="PG9" s="17"/>
      <c r="PH9" s="17"/>
      <c r="PI9" s="17"/>
      <c r="PJ9" s="17"/>
      <c r="PK9" s="17"/>
      <c r="PL9" s="17"/>
      <c r="PM9" s="17"/>
      <c r="PN9" s="17"/>
      <c r="PO9" s="17"/>
      <c r="PP9" s="17"/>
      <c r="PQ9" s="17"/>
      <c r="PR9" s="17"/>
      <c r="PS9" s="17"/>
      <c r="PT9" s="17"/>
      <c r="PU9" s="17"/>
      <c r="PV9" s="17"/>
      <c r="PW9" s="17"/>
      <c r="PX9" s="17"/>
      <c r="PY9" s="17"/>
      <c r="PZ9" s="17"/>
      <c r="QA9" s="17"/>
      <c r="QB9" s="17"/>
      <c r="QC9" s="17"/>
      <c r="QD9" s="17"/>
      <c r="QE9" s="17"/>
      <c r="QF9" s="17"/>
      <c r="QG9" s="17"/>
      <c r="QH9" s="17"/>
      <c r="QI9" s="17"/>
      <c r="QJ9" s="17"/>
      <c r="QK9" s="17"/>
      <c r="QL9" s="17"/>
      <c r="QM9" s="17"/>
      <c r="QN9" s="17"/>
      <c r="QO9" s="17"/>
      <c r="QP9" s="17"/>
      <c r="QQ9" s="17"/>
      <c r="QR9" s="17"/>
      <c r="QS9" s="17"/>
      <c r="QT9" s="17"/>
      <c r="QU9" s="17"/>
      <c r="QV9" s="17"/>
      <c r="QW9" s="17"/>
      <c r="QX9" s="17"/>
      <c r="QY9" s="17"/>
      <c r="QZ9" s="17"/>
      <c r="RA9" s="17"/>
      <c r="RB9" s="17"/>
      <c r="RC9" s="17"/>
      <c r="RD9" s="17"/>
      <c r="RE9" s="17"/>
      <c r="RF9" s="17"/>
      <c r="RG9" s="17"/>
      <c r="RH9" s="17"/>
      <c r="RI9" s="17"/>
      <c r="RJ9" s="17"/>
      <c r="RK9" s="17"/>
      <c r="RL9" s="17"/>
      <c r="RM9" s="17"/>
      <c r="RN9" s="17"/>
      <c r="RO9" s="17"/>
      <c r="RP9" s="17"/>
      <c r="RQ9" s="17"/>
      <c r="RR9" s="17"/>
      <c r="RS9" s="17"/>
      <c r="RT9" s="17"/>
      <c r="RU9" s="17"/>
      <c r="RV9" s="17"/>
      <c r="RW9" s="17"/>
      <c r="RX9" s="17"/>
      <c r="RY9" s="17"/>
      <c r="RZ9" s="17"/>
      <c r="SA9" s="17"/>
      <c r="SB9" s="17"/>
      <c r="SC9" s="17"/>
      <c r="SD9" s="17"/>
      <c r="SE9" s="17"/>
      <c r="SF9" s="17"/>
      <c r="SG9" s="17"/>
      <c r="SH9" s="17"/>
      <c r="SI9" s="17"/>
      <c r="SJ9" s="17"/>
      <c r="SK9" s="17"/>
      <c r="SL9" s="17"/>
      <c r="SM9" s="17"/>
      <c r="SN9" s="17"/>
      <c r="SO9" s="17"/>
      <c r="SP9" s="17"/>
      <c r="SQ9" s="17"/>
      <c r="SR9" s="17"/>
      <c r="SS9" s="17"/>
      <c r="ST9" s="17"/>
      <c r="SU9" s="17"/>
      <c r="SV9" s="17"/>
      <c r="SW9" s="17"/>
      <c r="SX9" s="17"/>
      <c r="SY9" s="17"/>
      <c r="SZ9" s="17"/>
      <c r="TA9" s="17"/>
      <c r="TB9" s="17"/>
      <c r="TC9" s="17"/>
      <c r="TD9" s="17"/>
      <c r="TE9" s="17"/>
      <c r="TF9" s="17"/>
      <c r="TG9" s="17"/>
      <c r="TH9" s="17"/>
      <c r="TI9" s="17"/>
      <c r="TJ9" s="17"/>
      <c r="TK9" s="17"/>
      <c r="TL9" s="17"/>
      <c r="TM9" s="17"/>
      <c r="TN9" s="17"/>
      <c r="TO9" s="17"/>
      <c r="TP9" s="17"/>
      <c r="TQ9" s="17"/>
      <c r="TR9" s="17"/>
      <c r="TS9" s="17"/>
      <c r="TT9" s="17"/>
      <c r="TU9" s="17"/>
      <c r="TV9" s="17"/>
      <c r="TW9" s="17"/>
      <c r="TX9" s="17"/>
      <c r="TY9" s="17"/>
      <c r="TZ9" s="17"/>
      <c r="UA9" s="17"/>
      <c r="UB9" s="17"/>
      <c r="UC9" s="17"/>
      <c r="UD9" s="17"/>
      <c r="UE9" s="17"/>
      <c r="UF9" s="17"/>
      <c r="UG9" s="17"/>
      <c r="UH9" s="17"/>
      <c r="UI9" s="17"/>
      <c r="UJ9" s="17"/>
      <c r="UK9" s="17"/>
      <c r="UL9" s="17"/>
      <c r="UM9" s="17"/>
      <c r="UN9" s="17"/>
      <c r="UO9" s="17"/>
      <c r="UP9" s="17"/>
      <c r="UQ9" s="17"/>
      <c r="UR9" s="17"/>
      <c r="US9" s="17"/>
      <c r="UT9" s="17"/>
      <c r="UU9" s="17"/>
      <c r="UV9" s="17"/>
      <c r="UW9" s="17"/>
      <c r="UX9" s="17"/>
      <c r="UY9" s="17"/>
      <c r="UZ9" s="17"/>
      <c r="VA9" s="17"/>
      <c r="VB9" s="17"/>
      <c r="VC9" s="17"/>
      <c r="VD9" s="17"/>
      <c r="VE9" s="17"/>
      <c r="VF9" s="17"/>
      <c r="VG9" s="17"/>
      <c r="VH9" s="17"/>
      <c r="VI9" s="17"/>
      <c r="VJ9" s="17"/>
      <c r="VK9" s="17"/>
      <c r="VL9" s="17"/>
      <c r="VM9" s="17"/>
      <c r="VN9" s="17"/>
      <c r="VO9" s="17"/>
      <c r="VP9" s="17"/>
      <c r="VQ9" s="17"/>
      <c r="VR9" s="17"/>
      <c r="VS9" s="17"/>
      <c r="VT9" s="17"/>
      <c r="VU9" s="17"/>
      <c r="VV9" s="17"/>
      <c r="VW9" s="17"/>
      <c r="VX9" s="17"/>
      <c r="VY9" s="17"/>
      <c r="VZ9" s="17"/>
      <c r="WA9" s="17"/>
      <c r="WB9" s="17"/>
      <c r="WC9" s="17"/>
      <c r="WD9" s="17"/>
      <c r="WE9" s="17"/>
      <c r="WF9" s="17"/>
      <c r="WG9" s="17"/>
      <c r="WH9" s="17"/>
      <c r="WI9" s="17"/>
      <c r="WJ9" s="17"/>
      <c r="WK9" s="17"/>
      <c r="WL9" s="17"/>
      <c r="WM9" s="17"/>
      <c r="WN9" s="17"/>
      <c r="WO9" s="17"/>
      <c r="WP9" s="17"/>
      <c r="WQ9" s="17"/>
      <c r="WR9" s="17"/>
      <c r="WS9" s="17"/>
      <c r="WT9" s="17"/>
      <c r="WU9" s="17"/>
      <c r="WV9" s="17"/>
      <c r="WW9" s="17"/>
      <c r="WX9" s="17"/>
      <c r="WY9" s="17"/>
      <c r="WZ9" s="17"/>
      <c r="XA9" s="17"/>
      <c r="XB9" s="17"/>
      <c r="XC9" s="17"/>
      <c r="XD9" s="17"/>
      <c r="XE9" s="17"/>
      <c r="XF9" s="17"/>
      <c r="XG9" s="17"/>
      <c r="XH9" s="17"/>
      <c r="XI9" s="17"/>
      <c r="XJ9" s="17"/>
      <c r="XK9" s="17"/>
      <c r="XL9" s="17"/>
      <c r="XM9" s="17"/>
      <c r="XN9" s="17"/>
      <c r="XO9" s="17"/>
      <c r="XP9" s="17"/>
      <c r="XQ9" s="17"/>
      <c r="XR9" s="17"/>
      <c r="XS9" s="17"/>
      <c r="XT9" s="17"/>
      <c r="XU9" s="17"/>
      <c r="XV9" s="17"/>
      <c r="XW9" s="17"/>
      <c r="XX9" s="17"/>
      <c r="XY9" s="17"/>
      <c r="XZ9" s="17"/>
      <c r="YA9" s="17"/>
      <c r="YB9" s="17"/>
      <c r="YC9" s="17"/>
      <c r="YD9" s="17"/>
      <c r="YE9" s="17"/>
      <c r="YF9" s="17"/>
      <c r="YG9" s="17"/>
      <c r="YH9" s="17"/>
      <c r="YI9" s="17"/>
      <c r="YJ9" s="17"/>
      <c r="YK9" s="17"/>
      <c r="YL9" s="17"/>
      <c r="YM9" s="17"/>
      <c r="YN9" s="17"/>
      <c r="YO9" s="17"/>
      <c r="YP9" s="17"/>
      <c r="YQ9" s="17"/>
      <c r="YR9" s="17"/>
      <c r="YS9" s="17"/>
      <c r="YT9" s="17"/>
      <c r="YU9" s="17"/>
      <c r="YV9" s="17"/>
      <c r="YW9" s="17"/>
      <c r="YX9" s="17"/>
      <c r="YY9" s="17"/>
      <c r="YZ9" s="17"/>
      <c r="ZA9" s="17"/>
      <c r="ZB9" s="17"/>
      <c r="ZC9" s="17"/>
      <c r="ZD9" s="17"/>
      <c r="ZE9" s="17"/>
      <c r="ZF9" s="17"/>
      <c r="ZG9" s="17"/>
      <c r="ZH9" s="17"/>
      <c r="ZI9" s="17"/>
      <c r="ZJ9" s="17"/>
      <c r="ZK9" s="17"/>
      <c r="ZL9" s="17"/>
      <c r="ZM9" s="17"/>
      <c r="ZN9" s="17"/>
      <c r="ZO9" s="17"/>
      <c r="ZP9" s="17"/>
      <c r="ZQ9" s="17"/>
      <c r="ZR9" s="17"/>
      <c r="ZS9" s="17"/>
      <c r="ZT9" s="17"/>
      <c r="ZU9" s="17"/>
      <c r="ZV9" s="17"/>
      <c r="ZW9" s="17"/>
      <c r="ZX9" s="17"/>
      <c r="ZY9" s="17"/>
      <c r="ZZ9" s="17"/>
      <c r="AAA9" s="17"/>
      <c r="AAB9" s="17"/>
      <c r="AAC9" s="17"/>
      <c r="AAD9" s="17"/>
      <c r="AAE9" s="17"/>
      <c r="AAF9" s="17"/>
    </row>
    <row r="10" spans="1:708" s="18" customFormat="1" ht="57" customHeight="1" x14ac:dyDescent="0.25">
      <c r="A10" s="39"/>
      <c r="B10" s="39"/>
      <c r="C10" s="39"/>
      <c r="D10" s="39"/>
      <c r="E10" s="39"/>
      <c r="F10" s="39"/>
      <c r="G10" s="39"/>
      <c r="H10" s="39"/>
      <c r="I10" s="39"/>
      <c r="J10" s="39"/>
      <c r="K10" s="39"/>
      <c r="L10" s="39"/>
      <c r="M10" s="39"/>
      <c r="N10" s="39"/>
      <c r="O10" s="39"/>
      <c r="P10" s="40"/>
      <c r="Q10" s="39"/>
      <c r="R10" s="39"/>
      <c r="S10" s="40"/>
      <c r="T10" s="39"/>
      <c r="U10" s="40"/>
      <c r="V10" s="41"/>
      <c r="W10" s="448"/>
      <c r="X10" s="39"/>
      <c r="Y10" s="382" t="s">
        <v>102</v>
      </c>
      <c r="Z10" s="382"/>
      <c r="AA10" s="42">
        <f>AVERAGE(AA7:AA9)</f>
        <v>0.60450608614232215</v>
      </c>
      <c r="AC10" s="416" t="s">
        <v>103</v>
      </c>
      <c r="AD10" s="416"/>
      <c r="AE10" s="43">
        <f>AVERAGE(AE7,AE8)</f>
        <v>4.910566959276616E-2</v>
      </c>
      <c r="AF10" s="44"/>
      <c r="AG10" s="459" t="s">
        <v>102</v>
      </c>
      <c r="AH10" s="459"/>
      <c r="AI10" s="42">
        <f>AVERAGE(AI7:AI9)</f>
        <v>0.64200608614232213</v>
      </c>
      <c r="AK10" s="460" t="s">
        <v>103</v>
      </c>
      <c r="AL10" s="460"/>
      <c r="AM10" s="42">
        <f>AVERAGE(AM7:AM8)</f>
        <v>0.12078410665962644</v>
      </c>
      <c r="AN10" s="45"/>
      <c r="AO10" s="382" t="s">
        <v>102</v>
      </c>
      <c r="AP10" s="382"/>
      <c r="AQ10" s="42">
        <f>AVERAGE(AQ7:AQ9)</f>
        <v>0.67429775280898885</v>
      </c>
      <c r="AS10" s="416" t="s">
        <v>103</v>
      </c>
      <c r="AT10" s="416"/>
      <c r="AU10" s="43">
        <f>AVERAGE(AU7,AU8)</f>
        <v>0.16024519833674344</v>
      </c>
      <c r="AV10" s="44"/>
      <c r="AW10" s="459" t="s">
        <v>102</v>
      </c>
      <c r="AX10" s="459"/>
      <c r="AY10" s="46">
        <f>AVERAGE(AY7:AY9)</f>
        <v>0.69617275280898883</v>
      </c>
      <c r="AZ10" s="47"/>
      <c r="BA10" s="460" t="s">
        <v>103</v>
      </c>
      <c r="BB10" s="460"/>
      <c r="BC10" s="48">
        <f>AVERAGE(BC7,BC8)</f>
        <v>0.17859382218995445</v>
      </c>
      <c r="BD10" s="45"/>
      <c r="BE10" s="459" t="s">
        <v>102</v>
      </c>
      <c r="BF10" s="459"/>
      <c r="BG10" s="46">
        <f>AVERAGE(BG7:BG9)</f>
        <v>0.71596441947565548</v>
      </c>
      <c r="BH10" s="47"/>
      <c r="BI10" s="416" t="s">
        <v>103</v>
      </c>
      <c r="BJ10" s="416"/>
      <c r="BK10" s="43">
        <f>AVERAGE(BK7,BK8)</f>
        <v>0.20496996897894529</v>
      </c>
      <c r="BL10" s="44"/>
      <c r="BM10" s="459" t="s">
        <v>102</v>
      </c>
      <c r="BN10" s="459"/>
      <c r="BO10" s="46">
        <f>AVERAGE(BO7:BO9)</f>
        <v>0.75971441947565543</v>
      </c>
      <c r="BP10" s="47"/>
      <c r="BQ10" s="460" t="s">
        <v>103</v>
      </c>
      <c r="BR10" s="460"/>
      <c r="BS10" s="48">
        <f>AVERAGE(BS7,BS8)</f>
        <v>0.24740116163949574</v>
      </c>
      <c r="BT10" s="45"/>
      <c r="BU10" s="382" t="s">
        <v>102</v>
      </c>
      <c r="BV10" s="382"/>
      <c r="BW10" s="42">
        <f>AVERAGE(BW7:BW9)</f>
        <v>0.7961727528089888</v>
      </c>
      <c r="BY10" s="416" t="s">
        <v>103</v>
      </c>
      <c r="BZ10" s="416"/>
      <c r="CA10" s="43">
        <f>AVERAGE(CA7,CA8)</f>
        <v>0.29880040921391327</v>
      </c>
      <c r="CB10" s="44"/>
      <c r="CC10" s="382" t="s">
        <v>102</v>
      </c>
      <c r="CD10" s="382"/>
      <c r="CE10" s="42">
        <f>AVERAGE(CE7:CE9)</f>
        <v>0.82221441947565554</v>
      </c>
      <c r="CG10" s="416" t="s">
        <v>103</v>
      </c>
      <c r="CH10" s="416"/>
      <c r="CI10" s="43">
        <f>AVERAGE(CI7,CI8)</f>
        <v>0.350356412118012</v>
      </c>
      <c r="CJ10" s="44"/>
      <c r="CK10" s="382" t="s">
        <v>102</v>
      </c>
      <c r="CL10" s="382"/>
      <c r="CM10" s="42">
        <f>AVERAGE(CM7:CM9)</f>
        <v>0.8420060861423222</v>
      </c>
      <c r="CO10" s="416" t="s">
        <v>103</v>
      </c>
      <c r="CP10" s="416"/>
      <c r="CQ10" s="43">
        <f>AVERAGE(CQ7,CQ8)</f>
        <v>0.38898422546366573</v>
      </c>
      <c r="CR10" s="44"/>
      <c r="CS10" s="17"/>
      <c r="CT10" s="17"/>
      <c r="CU10" s="17"/>
      <c r="CV10" s="17"/>
      <c r="CW10" s="17"/>
      <c r="CX10" s="17"/>
      <c r="CY10" s="17"/>
      <c r="CZ10" s="17"/>
      <c r="DA10" s="17"/>
      <c r="DB10" s="17"/>
      <c r="DC10" s="17"/>
      <c r="DD10" s="17"/>
      <c r="DE10" s="17"/>
      <c r="DF10" s="17"/>
      <c r="DG10" s="17"/>
      <c r="DH10" s="17"/>
      <c r="DI10" s="17"/>
      <c r="DJ10" s="17"/>
      <c r="DK10" s="17"/>
      <c r="DL10" s="17"/>
      <c r="DM10" s="17"/>
      <c r="DN10" s="17"/>
      <c r="DO10" s="17"/>
      <c r="DP10" s="17"/>
      <c r="DQ10" s="17"/>
      <c r="DR10" s="17"/>
      <c r="DS10" s="17"/>
      <c r="DT10" s="17"/>
      <c r="DU10" s="17"/>
      <c r="DV10" s="17"/>
      <c r="DW10" s="17"/>
      <c r="DX10" s="17"/>
      <c r="DY10" s="17"/>
      <c r="DZ10" s="17"/>
      <c r="EA10" s="17"/>
      <c r="EB10" s="17"/>
      <c r="EC10" s="17"/>
      <c r="ED10" s="17"/>
      <c r="EE10" s="17"/>
      <c r="EF10" s="17"/>
      <c r="EG10" s="17"/>
      <c r="EH10" s="17"/>
      <c r="EI10" s="17"/>
      <c r="EJ10" s="17"/>
      <c r="EK10" s="17"/>
      <c r="EL10" s="17"/>
      <c r="EM10" s="17"/>
      <c r="EN10" s="17"/>
      <c r="EO10" s="17"/>
      <c r="EP10" s="17"/>
      <c r="EQ10" s="17"/>
      <c r="ER10" s="17"/>
      <c r="ES10" s="17"/>
      <c r="ET10" s="17"/>
      <c r="EU10" s="17"/>
      <c r="EV10" s="17"/>
      <c r="EW10" s="17"/>
      <c r="EX10" s="17"/>
      <c r="EY10" s="17"/>
      <c r="EZ10" s="17"/>
      <c r="FA10" s="17"/>
      <c r="FB10" s="17"/>
      <c r="FC10" s="17"/>
      <c r="FD10" s="17"/>
      <c r="FE10" s="17"/>
      <c r="FF10" s="17"/>
      <c r="FG10" s="17"/>
      <c r="FH10" s="17"/>
      <c r="FI10" s="17"/>
      <c r="FJ10" s="17"/>
      <c r="FK10" s="17"/>
      <c r="FL10" s="17"/>
      <c r="FM10" s="17"/>
      <c r="FN10" s="17"/>
      <c r="FO10" s="17"/>
      <c r="FP10" s="17"/>
      <c r="FQ10" s="17"/>
      <c r="FR10" s="17"/>
      <c r="FS10" s="17"/>
      <c r="FT10" s="17"/>
      <c r="FU10" s="17"/>
      <c r="FV10" s="17"/>
      <c r="FW10" s="17"/>
      <c r="FX10" s="17"/>
      <c r="FY10" s="17"/>
      <c r="FZ10" s="17"/>
      <c r="GA10" s="17"/>
      <c r="GB10" s="17"/>
      <c r="GC10" s="17"/>
      <c r="GD10" s="17"/>
      <c r="GE10" s="17"/>
      <c r="GF10" s="17"/>
      <c r="GG10" s="17"/>
      <c r="GH10" s="17"/>
      <c r="GI10" s="17"/>
      <c r="GJ10" s="17"/>
      <c r="GK10" s="17"/>
      <c r="GL10" s="17"/>
      <c r="GM10" s="17"/>
      <c r="GN10" s="17"/>
      <c r="GO10" s="17"/>
      <c r="GP10" s="17"/>
      <c r="GQ10" s="17"/>
      <c r="GR10" s="17"/>
      <c r="GS10" s="17"/>
      <c r="GT10" s="17"/>
      <c r="GU10" s="17"/>
      <c r="GV10" s="17"/>
      <c r="GW10" s="17"/>
      <c r="GX10" s="17"/>
      <c r="GY10" s="17"/>
      <c r="GZ10" s="17"/>
      <c r="HA10" s="17"/>
      <c r="HB10" s="17"/>
      <c r="HC10" s="17"/>
      <c r="HD10" s="17"/>
      <c r="HE10" s="17"/>
      <c r="HF10" s="17"/>
      <c r="HG10" s="17"/>
      <c r="HH10" s="17"/>
      <c r="HI10" s="17"/>
      <c r="HJ10" s="17"/>
      <c r="HK10" s="17"/>
      <c r="HL10" s="17"/>
      <c r="HM10" s="17"/>
      <c r="HN10" s="17"/>
      <c r="HO10" s="17"/>
      <c r="HP10" s="17"/>
      <c r="HQ10" s="17"/>
      <c r="HR10" s="17"/>
      <c r="HS10" s="17"/>
      <c r="HT10" s="17"/>
      <c r="HU10" s="17"/>
      <c r="HV10" s="17"/>
      <c r="HW10" s="17"/>
      <c r="HX10" s="17"/>
      <c r="HY10" s="17"/>
      <c r="HZ10" s="17"/>
      <c r="IA10" s="17"/>
      <c r="IB10" s="17"/>
      <c r="IC10" s="17"/>
      <c r="ID10" s="17"/>
      <c r="IE10" s="17"/>
      <c r="IF10" s="17"/>
      <c r="IG10" s="17"/>
      <c r="IH10" s="17"/>
      <c r="II10" s="17"/>
      <c r="IJ10" s="17"/>
      <c r="IK10" s="17"/>
      <c r="IL10" s="17"/>
      <c r="IM10" s="17"/>
      <c r="IN10" s="17"/>
      <c r="IO10" s="17"/>
      <c r="IP10" s="17"/>
      <c r="IQ10" s="17"/>
      <c r="IR10" s="17"/>
      <c r="IS10" s="17"/>
      <c r="IT10" s="17"/>
      <c r="IU10" s="17"/>
      <c r="IV10" s="17"/>
      <c r="IW10" s="17"/>
      <c r="IX10" s="17"/>
      <c r="IY10" s="17"/>
      <c r="IZ10" s="17"/>
      <c r="JA10" s="17"/>
      <c r="JB10" s="17"/>
      <c r="JC10" s="17"/>
      <c r="JD10" s="17"/>
      <c r="JE10" s="17"/>
      <c r="JF10" s="17"/>
      <c r="JG10" s="17"/>
      <c r="JH10" s="17"/>
      <c r="JI10" s="17"/>
      <c r="JJ10" s="17"/>
      <c r="JK10" s="17"/>
      <c r="JL10" s="17"/>
      <c r="JM10" s="17"/>
      <c r="JN10" s="17"/>
      <c r="JO10" s="17"/>
      <c r="JP10" s="17"/>
      <c r="JQ10" s="17"/>
      <c r="JR10" s="17"/>
      <c r="JS10" s="17"/>
      <c r="JT10" s="17"/>
      <c r="JU10" s="17"/>
      <c r="JV10" s="17"/>
      <c r="JW10" s="17"/>
      <c r="JX10" s="17"/>
      <c r="JY10" s="17"/>
      <c r="JZ10" s="17"/>
      <c r="KA10" s="17"/>
      <c r="KB10" s="17"/>
      <c r="KC10" s="17"/>
      <c r="KD10" s="17"/>
      <c r="KE10" s="17"/>
      <c r="KF10" s="17"/>
      <c r="KG10" s="17"/>
      <c r="KH10" s="17"/>
      <c r="KI10" s="17"/>
      <c r="KJ10" s="17"/>
      <c r="KK10" s="17"/>
      <c r="KL10" s="17"/>
      <c r="KM10" s="17"/>
      <c r="KN10" s="17"/>
      <c r="KO10" s="17"/>
      <c r="KP10" s="17"/>
      <c r="KQ10" s="17"/>
      <c r="KR10" s="17"/>
      <c r="KS10" s="17"/>
      <c r="KT10" s="17"/>
      <c r="KU10" s="17"/>
      <c r="KV10" s="17"/>
      <c r="KW10" s="17"/>
      <c r="KX10" s="17"/>
      <c r="KY10" s="17"/>
      <c r="KZ10" s="17"/>
      <c r="LA10" s="17"/>
      <c r="LB10" s="17"/>
      <c r="LC10" s="17"/>
      <c r="LD10" s="17"/>
      <c r="LE10" s="17"/>
      <c r="LF10" s="17"/>
      <c r="LG10" s="17"/>
      <c r="LH10" s="17"/>
      <c r="LI10" s="17"/>
      <c r="LJ10" s="17"/>
      <c r="LK10" s="17"/>
      <c r="LL10" s="17"/>
      <c r="LM10" s="17"/>
      <c r="LN10" s="17"/>
      <c r="LO10" s="17"/>
      <c r="LP10" s="17"/>
      <c r="LQ10" s="17"/>
      <c r="LR10" s="17"/>
      <c r="LS10" s="17"/>
      <c r="LT10" s="17"/>
      <c r="LU10" s="17"/>
      <c r="LV10" s="17"/>
      <c r="LW10" s="17"/>
      <c r="LX10" s="17"/>
      <c r="LY10" s="17"/>
      <c r="LZ10" s="17"/>
      <c r="MA10" s="17"/>
      <c r="MB10" s="17"/>
      <c r="MC10" s="17"/>
      <c r="MD10" s="17"/>
      <c r="ME10" s="17"/>
      <c r="MF10" s="17"/>
      <c r="MG10" s="17"/>
      <c r="MH10" s="17"/>
      <c r="MI10" s="17"/>
      <c r="MJ10" s="17"/>
      <c r="MK10" s="17"/>
      <c r="ML10" s="17"/>
      <c r="MM10" s="17"/>
      <c r="MN10" s="17"/>
      <c r="MO10" s="17"/>
      <c r="MP10" s="17"/>
      <c r="MQ10" s="17"/>
      <c r="MR10" s="17"/>
      <c r="MS10" s="17"/>
      <c r="MT10" s="17"/>
      <c r="MU10" s="17"/>
      <c r="MV10" s="17"/>
      <c r="MW10" s="17"/>
      <c r="MX10" s="17"/>
      <c r="MY10" s="17"/>
      <c r="MZ10" s="17"/>
      <c r="NA10" s="17"/>
      <c r="NB10" s="17"/>
      <c r="NC10" s="17"/>
      <c r="ND10" s="17"/>
      <c r="NE10" s="17"/>
      <c r="NF10" s="17"/>
      <c r="NG10" s="17"/>
      <c r="NH10" s="17"/>
      <c r="NI10" s="17"/>
      <c r="NJ10" s="17"/>
      <c r="NK10" s="17"/>
      <c r="NL10" s="17"/>
      <c r="NM10" s="17"/>
      <c r="NN10" s="17"/>
      <c r="NO10" s="17"/>
      <c r="NP10" s="17"/>
      <c r="NQ10" s="17"/>
      <c r="NR10" s="17"/>
      <c r="NS10" s="17"/>
      <c r="NT10" s="17"/>
      <c r="NU10" s="17"/>
      <c r="NV10" s="17"/>
      <c r="NW10" s="17"/>
      <c r="NX10" s="17"/>
      <c r="NY10" s="17"/>
      <c r="NZ10" s="17"/>
      <c r="OA10" s="17"/>
      <c r="OB10" s="17"/>
      <c r="OC10" s="17"/>
      <c r="OD10" s="17"/>
      <c r="OE10" s="17"/>
      <c r="OF10" s="17"/>
      <c r="OG10" s="17"/>
      <c r="OH10" s="17"/>
      <c r="OI10" s="17"/>
      <c r="OJ10" s="17"/>
      <c r="OK10" s="17"/>
      <c r="OL10" s="17"/>
      <c r="OM10" s="17"/>
      <c r="ON10" s="17"/>
      <c r="OO10" s="17"/>
      <c r="OP10" s="17"/>
      <c r="OQ10" s="17"/>
      <c r="OR10" s="17"/>
      <c r="OS10" s="17"/>
      <c r="OT10" s="17"/>
      <c r="OU10" s="17"/>
      <c r="OV10" s="17"/>
      <c r="OW10" s="17"/>
      <c r="OX10" s="17"/>
      <c r="OY10" s="17"/>
      <c r="OZ10" s="17"/>
      <c r="PA10" s="17"/>
      <c r="PB10" s="17"/>
      <c r="PC10" s="17"/>
      <c r="PD10" s="17"/>
      <c r="PE10" s="17"/>
      <c r="PF10" s="17"/>
      <c r="PG10" s="17"/>
      <c r="PH10" s="17"/>
      <c r="PI10" s="17"/>
      <c r="PJ10" s="17"/>
      <c r="PK10" s="17"/>
      <c r="PL10" s="17"/>
      <c r="PM10" s="17"/>
      <c r="PN10" s="17"/>
      <c r="PO10" s="17"/>
      <c r="PP10" s="17"/>
      <c r="PQ10" s="17"/>
      <c r="PR10" s="17"/>
      <c r="PS10" s="17"/>
      <c r="PT10" s="17"/>
      <c r="PU10" s="17"/>
      <c r="PV10" s="17"/>
      <c r="PW10" s="17"/>
      <c r="PX10" s="17"/>
      <c r="PY10" s="17"/>
      <c r="PZ10" s="17"/>
      <c r="QA10" s="17"/>
      <c r="QB10" s="17"/>
      <c r="QC10" s="17"/>
      <c r="QD10" s="17"/>
      <c r="QE10" s="17"/>
      <c r="QF10" s="17"/>
      <c r="QG10" s="17"/>
      <c r="QH10" s="17"/>
      <c r="QI10" s="17"/>
      <c r="QJ10" s="17"/>
      <c r="QK10" s="17"/>
      <c r="QL10" s="17"/>
      <c r="QM10" s="17"/>
      <c r="QN10" s="17"/>
      <c r="QO10" s="17"/>
      <c r="QP10" s="17"/>
      <c r="QQ10" s="17"/>
      <c r="QR10" s="17"/>
      <c r="QS10" s="17"/>
      <c r="QT10" s="17"/>
      <c r="QU10" s="17"/>
      <c r="QV10" s="17"/>
      <c r="QW10" s="17"/>
      <c r="QX10" s="17"/>
      <c r="QY10" s="17"/>
      <c r="QZ10" s="17"/>
      <c r="RA10" s="17"/>
      <c r="RB10" s="17"/>
      <c r="RC10" s="17"/>
      <c r="RD10" s="17"/>
      <c r="RE10" s="17"/>
      <c r="RF10" s="17"/>
      <c r="RG10" s="17"/>
      <c r="RH10" s="17"/>
      <c r="RI10" s="17"/>
      <c r="RJ10" s="17"/>
      <c r="RK10" s="17"/>
      <c r="RL10" s="17"/>
      <c r="RM10" s="17"/>
      <c r="RN10" s="17"/>
      <c r="RO10" s="17"/>
      <c r="RP10" s="17"/>
      <c r="RQ10" s="17"/>
      <c r="RR10" s="17"/>
      <c r="RS10" s="17"/>
      <c r="RT10" s="17"/>
      <c r="RU10" s="17"/>
      <c r="RV10" s="17"/>
      <c r="RW10" s="17"/>
      <c r="RX10" s="17"/>
      <c r="RY10" s="17"/>
      <c r="RZ10" s="17"/>
      <c r="SA10" s="17"/>
      <c r="SB10" s="17"/>
      <c r="SC10" s="17"/>
      <c r="SD10" s="17"/>
      <c r="SE10" s="17"/>
      <c r="SF10" s="17"/>
      <c r="SG10" s="17"/>
      <c r="SH10" s="17"/>
      <c r="SI10" s="17"/>
      <c r="SJ10" s="17"/>
      <c r="SK10" s="17"/>
      <c r="SL10" s="17"/>
      <c r="SM10" s="17"/>
      <c r="SN10" s="17"/>
      <c r="SO10" s="17"/>
      <c r="SP10" s="17"/>
      <c r="SQ10" s="17"/>
      <c r="SR10" s="17"/>
      <c r="SS10" s="17"/>
      <c r="ST10" s="17"/>
      <c r="SU10" s="17"/>
      <c r="SV10" s="17"/>
      <c r="SW10" s="17"/>
      <c r="SX10" s="17"/>
      <c r="SY10" s="17"/>
      <c r="SZ10" s="17"/>
      <c r="TA10" s="17"/>
      <c r="TB10" s="17"/>
      <c r="TC10" s="17"/>
      <c r="TD10" s="17"/>
      <c r="TE10" s="17"/>
      <c r="TF10" s="17"/>
      <c r="TG10" s="17"/>
      <c r="TH10" s="17"/>
      <c r="TI10" s="17"/>
      <c r="TJ10" s="17"/>
      <c r="TK10" s="17"/>
      <c r="TL10" s="17"/>
      <c r="TM10" s="17"/>
      <c r="TN10" s="17"/>
      <c r="TO10" s="17"/>
      <c r="TP10" s="17"/>
      <c r="TQ10" s="17"/>
      <c r="TR10" s="17"/>
      <c r="TS10" s="17"/>
      <c r="TT10" s="17"/>
      <c r="TU10" s="17"/>
      <c r="TV10" s="17"/>
      <c r="TW10" s="17"/>
      <c r="TX10" s="17"/>
      <c r="TY10" s="17"/>
      <c r="TZ10" s="17"/>
      <c r="UA10" s="17"/>
      <c r="UB10" s="17"/>
      <c r="UC10" s="17"/>
      <c r="UD10" s="17"/>
      <c r="UE10" s="17"/>
      <c r="UF10" s="17"/>
      <c r="UG10" s="17"/>
      <c r="UH10" s="17"/>
      <c r="UI10" s="17"/>
      <c r="UJ10" s="17"/>
      <c r="UK10" s="17"/>
      <c r="UL10" s="17"/>
      <c r="UM10" s="17"/>
      <c r="UN10" s="17"/>
      <c r="UO10" s="17"/>
      <c r="UP10" s="17"/>
      <c r="UQ10" s="17"/>
      <c r="UR10" s="17"/>
      <c r="US10" s="17"/>
      <c r="UT10" s="17"/>
      <c r="UU10" s="17"/>
      <c r="UV10" s="17"/>
      <c r="UW10" s="17"/>
      <c r="UX10" s="17"/>
      <c r="UY10" s="17"/>
      <c r="UZ10" s="17"/>
      <c r="VA10" s="17"/>
      <c r="VB10" s="17"/>
      <c r="VC10" s="17"/>
      <c r="VD10" s="17"/>
      <c r="VE10" s="17"/>
      <c r="VF10" s="17"/>
      <c r="VG10" s="17"/>
      <c r="VH10" s="17"/>
      <c r="VI10" s="17"/>
      <c r="VJ10" s="17"/>
      <c r="VK10" s="17"/>
      <c r="VL10" s="17"/>
      <c r="VM10" s="17"/>
      <c r="VN10" s="17"/>
      <c r="VO10" s="17"/>
      <c r="VP10" s="17"/>
      <c r="VQ10" s="17"/>
      <c r="VR10" s="17"/>
      <c r="VS10" s="17"/>
      <c r="VT10" s="17"/>
      <c r="VU10" s="17"/>
      <c r="VV10" s="17"/>
      <c r="VW10" s="17"/>
      <c r="VX10" s="17"/>
      <c r="VY10" s="17"/>
      <c r="VZ10" s="17"/>
      <c r="WA10" s="17"/>
      <c r="WB10" s="17"/>
      <c r="WC10" s="17"/>
      <c r="WD10" s="17"/>
      <c r="WE10" s="17"/>
      <c r="WF10" s="17"/>
      <c r="WG10" s="17"/>
      <c r="WH10" s="17"/>
      <c r="WI10" s="17"/>
      <c r="WJ10" s="17"/>
      <c r="WK10" s="17"/>
      <c r="WL10" s="17"/>
      <c r="WM10" s="17"/>
      <c r="WN10" s="17"/>
      <c r="WO10" s="17"/>
      <c r="WP10" s="17"/>
      <c r="WQ10" s="17"/>
      <c r="WR10" s="17"/>
      <c r="WS10" s="17"/>
      <c r="WT10" s="17"/>
      <c r="WU10" s="17"/>
      <c r="WV10" s="17"/>
      <c r="WW10" s="17"/>
      <c r="WX10" s="17"/>
      <c r="WY10" s="17"/>
      <c r="WZ10" s="17"/>
      <c r="XA10" s="17"/>
      <c r="XB10" s="17"/>
      <c r="XC10" s="17"/>
      <c r="XD10" s="17"/>
      <c r="XE10" s="17"/>
      <c r="XF10" s="17"/>
      <c r="XG10" s="17"/>
      <c r="XH10" s="17"/>
      <c r="XI10" s="17"/>
      <c r="XJ10" s="17"/>
      <c r="XK10" s="17"/>
      <c r="XL10" s="17"/>
      <c r="XM10" s="17"/>
      <c r="XN10" s="17"/>
      <c r="XO10" s="17"/>
      <c r="XP10" s="17"/>
      <c r="XQ10" s="17"/>
      <c r="XR10" s="17"/>
      <c r="XS10" s="17"/>
      <c r="XT10" s="17"/>
      <c r="XU10" s="17"/>
      <c r="XV10" s="17"/>
      <c r="XW10" s="17"/>
      <c r="XX10" s="17"/>
      <c r="XY10" s="17"/>
      <c r="XZ10" s="17"/>
      <c r="YA10" s="17"/>
      <c r="YB10" s="17"/>
      <c r="YC10" s="17"/>
      <c r="YD10" s="17"/>
      <c r="YE10" s="17"/>
      <c r="YF10" s="17"/>
      <c r="YG10" s="17"/>
      <c r="YH10" s="17"/>
      <c r="YI10" s="17"/>
      <c r="YJ10" s="17"/>
      <c r="YK10" s="17"/>
      <c r="YL10" s="17"/>
      <c r="YM10" s="17"/>
      <c r="YN10" s="17"/>
      <c r="YO10" s="17"/>
      <c r="YP10" s="17"/>
      <c r="YQ10" s="17"/>
      <c r="YR10" s="17"/>
      <c r="YS10" s="17"/>
      <c r="YT10" s="17"/>
      <c r="YU10" s="17"/>
      <c r="YV10" s="17"/>
      <c r="YW10" s="17"/>
      <c r="YX10" s="17"/>
      <c r="YY10" s="17"/>
      <c r="YZ10" s="17"/>
      <c r="ZA10" s="17"/>
      <c r="ZB10" s="17"/>
      <c r="ZC10" s="17"/>
      <c r="ZD10" s="17"/>
      <c r="ZE10" s="17"/>
      <c r="ZF10" s="17"/>
      <c r="ZG10" s="17"/>
      <c r="ZH10" s="17"/>
      <c r="ZI10" s="17"/>
      <c r="ZJ10" s="17"/>
      <c r="ZK10" s="17"/>
      <c r="ZL10" s="17"/>
      <c r="ZM10" s="17"/>
      <c r="ZN10" s="17"/>
      <c r="ZO10" s="17"/>
      <c r="ZP10" s="17"/>
      <c r="ZQ10" s="17"/>
      <c r="ZR10" s="17"/>
      <c r="ZS10" s="17"/>
      <c r="ZT10" s="17"/>
      <c r="ZU10" s="17"/>
      <c r="ZV10" s="17"/>
      <c r="ZW10" s="17"/>
      <c r="ZX10" s="17"/>
      <c r="ZY10" s="17"/>
      <c r="ZZ10" s="17"/>
      <c r="AAA10" s="17"/>
      <c r="AAB10" s="17"/>
      <c r="AAC10" s="17"/>
      <c r="AAD10" s="17"/>
      <c r="AAE10" s="17"/>
      <c r="AAF10" s="17"/>
    </row>
    <row r="11" spans="1:708" s="57" customFormat="1" ht="54" customHeight="1" x14ac:dyDescent="0.25">
      <c r="A11" s="461" t="s">
        <v>47</v>
      </c>
      <c r="B11" s="461" t="s">
        <v>48</v>
      </c>
      <c r="C11" s="461" t="s">
        <v>49</v>
      </c>
      <c r="D11" s="436" t="s">
        <v>50</v>
      </c>
      <c r="E11" s="436" t="s">
        <v>51</v>
      </c>
      <c r="F11" s="436" t="s">
        <v>52</v>
      </c>
      <c r="G11" s="436" t="s">
        <v>53</v>
      </c>
      <c r="H11" s="436" t="s">
        <v>54</v>
      </c>
      <c r="I11" s="463" t="s">
        <v>55</v>
      </c>
      <c r="J11" s="397" t="s">
        <v>56</v>
      </c>
      <c r="K11" s="397" t="s">
        <v>104</v>
      </c>
      <c r="L11" s="397" t="s">
        <v>58</v>
      </c>
      <c r="M11" s="397" t="s">
        <v>59</v>
      </c>
      <c r="N11" s="397" t="s">
        <v>60</v>
      </c>
      <c r="O11" s="397"/>
      <c r="P11" s="397">
        <v>80</v>
      </c>
      <c r="Q11" s="49" t="s">
        <v>61</v>
      </c>
      <c r="R11" s="49" t="s">
        <v>62</v>
      </c>
      <c r="S11" s="50" t="s">
        <v>60</v>
      </c>
      <c r="T11" s="50">
        <v>34</v>
      </c>
      <c r="U11" s="50">
        <v>45</v>
      </c>
      <c r="V11" s="451">
        <v>908658510</v>
      </c>
      <c r="W11" s="448"/>
      <c r="X11" s="51" t="s">
        <v>105</v>
      </c>
      <c r="Y11" s="391">
        <v>3</v>
      </c>
      <c r="Z11" s="391">
        <f>+P11</f>
        <v>80</v>
      </c>
      <c r="AA11" s="392">
        <f>Y11/Z11</f>
        <v>3.7499999999999999E-2</v>
      </c>
      <c r="AB11" s="391" t="s">
        <v>106</v>
      </c>
      <c r="AC11" s="50">
        <v>3</v>
      </c>
      <c r="AD11" s="50">
        <f t="shared" ref="AD11:AD14" si="0">+U11</f>
        <v>45</v>
      </c>
      <c r="AE11" s="53">
        <f>AC11/AD11</f>
        <v>6.6666666666666666E-2</v>
      </c>
      <c r="AF11" s="50" t="s">
        <v>107</v>
      </c>
      <c r="AG11" s="465">
        <v>8</v>
      </c>
      <c r="AH11" s="465">
        <v>80</v>
      </c>
      <c r="AI11" s="466">
        <v>0.1</v>
      </c>
      <c r="AJ11" s="465" t="s">
        <v>108</v>
      </c>
      <c r="AK11" s="54">
        <v>3</v>
      </c>
      <c r="AL11" s="54">
        <v>45</v>
      </c>
      <c r="AM11" s="55">
        <v>6.6666666666666666E-2</v>
      </c>
      <c r="AN11" s="54" t="s">
        <v>109</v>
      </c>
      <c r="AO11" s="465">
        <v>11</v>
      </c>
      <c r="AP11" s="465">
        <f>+P11</f>
        <v>80</v>
      </c>
      <c r="AQ11" s="466">
        <f>AO11/AP11</f>
        <v>0.13750000000000001</v>
      </c>
      <c r="AR11" s="465" t="s">
        <v>110</v>
      </c>
      <c r="AS11" s="54">
        <v>3</v>
      </c>
      <c r="AT11" s="54">
        <f t="shared" ref="AT11:AT14" si="1">+U11</f>
        <v>45</v>
      </c>
      <c r="AU11" s="55">
        <f>AS11/AT11</f>
        <v>6.6666666666666666E-2</v>
      </c>
      <c r="AV11" s="54" t="s">
        <v>111</v>
      </c>
      <c r="AW11" s="465">
        <v>14</v>
      </c>
      <c r="AX11" s="465">
        <f>+P11</f>
        <v>80</v>
      </c>
      <c r="AY11" s="466">
        <f>AW11/AX11</f>
        <v>0.17499999999999999</v>
      </c>
      <c r="AZ11" s="465" t="s">
        <v>112</v>
      </c>
      <c r="BA11" s="54">
        <v>3</v>
      </c>
      <c r="BB11" s="54">
        <f>+U11</f>
        <v>45</v>
      </c>
      <c r="BC11" s="55">
        <f>BA11/BB11</f>
        <v>6.6666666666666666E-2</v>
      </c>
      <c r="BD11" s="54" t="s">
        <v>113</v>
      </c>
      <c r="BE11" s="465">
        <v>16</v>
      </c>
      <c r="BF11" s="465">
        <v>80</v>
      </c>
      <c r="BG11" s="466">
        <f>BE11/BF11</f>
        <v>0.2</v>
      </c>
      <c r="BH11" s="465" t="s">
        <v>114</v>
      </c>
      <c r="BI11" s="54">
        <v>3</v>
      </c>
      <c r="BJ11" s="54">
        <v>45</v>
      </c>
      <c r="BK11" s="55">
        <f>BI11/BJ11</f>
        <v>6.6666666666666666E-2</v>
      </c>
      <c r="BL11" s="54" t="s">
        <v>115</v>
      </c>
      <c r="BM11" s="465">
        <v>16</v>
      </c>
      <c r="BN11" s="465">
        <v>80</v>
      </c>
      <c r="BO11" s="466">
        <f>BM11/BN11</f>
        <v>0.2</v>
      </c>
      <c r="BP11" s="465" t="s">
        <v>116</v>
      </c>
      <c r="BQ11" s="54">
        <v>3</v>
      </c>
      <c r="BR11" s="54">
        <v>45</v>
      </c>
      <c r="BS11" s="55">
        <f>BQ11/BR11</f>
        <v>6.6666666666666666E-2</v>
      </c>
      <c r="BT11" s="54" t="s">
        <v>117</v>
      </c>
      <c r="BU11" s="391">
        <v>16</v>
      </c>
      <c r="BV11" s="391">
        <v>80</v>
      </c>
      <c r="BW11" s="392">
        <f>BU11/BV11</f>
        <v>0.2</v>
      </c>
      <c r="BX11" s="391" t="s">
        <v>118</v>
      </c>
      <c r="BY11" s="50">
        <v>4</v>
      </c>
      <c r="BZ11" s="50">
        <v>45</v>
      </c>
      <c r="CA11" s="53">
        <f>BY11/BZ11</f>
        <v>8.8888888888888892E-2</v>
      </c>
      <c r="CB11" s="50" t="s">
        <v>119</v>
      </c>
      <c r="CC11" s="391">
        <v>16</v>
      </c>
      <c r="CD11" s="391">
        <v>80</v>
      </c>
      <c r="CE11" s="392">
        <f>CC11/CD11</f>
        <v>0.2</v>
      </c>
      <c r="CF11" s="391" t="s">
        <v>120</v>
      </c>
      <c r="CG11" s="50">
        <v>4</v>
      </c>
      <c r="CH11" s="50">
        <v>45</v>
      </c>
      <c r="CI11" s="53">
        <f>CG11/CH11</f>
        <v>8.8888888888888892E-2</v>
      </c>
      <c r="CJ11" s="50" t="s">
        <v>121</v>
      </c>
      <c r="CK11" s="391">
        <v>16</v>
      </c>
      <c r="CL11" s="391">
        <v>80</v>
      </c>
      <c r="CM11" s="392">
        <f>CK11/CL11</f>
        <v>0.2</v>
      </c>
      <c r="CN11" s="397" t="s">
        <v>600</v>
      </c>
      <c r="CO11" s="52">
        <v>5</v>
      </c>
      <c r="CP11" s="52">
        <v>45</v>
      </c>
      <c r="CQ11" s="53">
        <f>CO11/CP11</f>
        <v>0.1111111111111111</v>
      </c>
      <c r="CR11" s="52" t="s">
        <v>601</v>
      </c>
      <c r="CS11" s="56"/>
      <c r="CT11" s="56"/>
      <c r="CU11" s="56"/>
      <c r="CV11" s="56"/>
      <c r="CW11" s="56"/>
      <c r="CX11" s="56"/>
      <c r="CY11" s="56"/>
      <c r="CZ11" s="56"/>
      <c r="DA11" s="56"/>
      <c r="DB11" s="56"/>
      <c r="DC11" s="56"/>
      <c r="DD11" s="56"/>
      <c r="DE11" s="56"/>
      <c r="DF11" s="56"/>
      <c r="DG11" s="56"/>
      <c r="DH11" s="56"/>
      <c r="DI11" s="56"/>
      <c r="DJ11" s="56"/>
      <c r="DK11" s="56"/>
      <c r="DL11" s="56"/>
      <c r="DM11" s="56"/>
      <c r="DN11" s="56"/>
      <c r="DO11" s="56"/>
      <c r="DP11" s="56"/>
      <c r="DQ11" s="56"/>
      <c r="DR11" s="56"/>
      <c r="DS11" s="56"/>
      <c r="DT11" s="56"/>
      <c r="DU11" s="56"/>
      <c r="DV11" s="56"/>
      <c r="DW11" s="56"/>
      <c r="DX11" s="56"/>
      <c r="DY11" s="56"/>
      <c r="DZ11" s="56"/>
      <c r="EA11" s="56"/>
      <c r="EB11" s="56"/>
      <c r="EC11" s="56"/>
      <c r="ED11" s="56"/>
      <c r="EE11" s="56"/>
      <c r="EF11" s="56"/>
      <c r="EG11" s="56"/>
      <c r="EH11" s="56"/>
      <c r="EI11" s="56"/>
      <c r="EJ11" s="56"/>
      <c r="EK11" s="56"/>
      <c r="EL11" s="56"/>
      <c r="EM11" s="56"/>
      <c r="EN11" s="56"/>
      <c r="EO11" s="56"/>
      <c r="EP11" s="56"/>
      <c r="EQ11" s="56"/>
      <c r="ER11" s="56"/>
      <c r="ES11" s="56"/>
      <c r="ET11" s="56"/>
      <c r="EU11" s="56"/>
      <c r="EV11" s="56"/>
      <c r="EW11" s="56"/>
      <c r="EX11" s="56"/>
      <c r="EY11" s="56"/>
      <c r="EZ11" s="56"/>
      <c r="FA11" s="56"/>
      <c r="FB11" s="56"/>
      <c r="FC11" s="56"/>
      <c r="FD11" s="56"/>
      <c r="FE11" s="56"/>
      <c r="FF11" s="56"/>
      <c r="FG11" s="56"/>
      <c r="FH11" s="56"/>
      <c r="FI11" s="56"/>
      <c r="FJ11" s="56"/>
      <c r="FK11" s="56"/>
      <c r="FL11" s="56"/>
      <c r="FM11" s="56"/>
      <c r="FN11" s="56"/>
      <c r="FO11" s="56"/>
      <c r="FP11" s="56"/>
      <c r="FQ11" s="56"/>
      <c r="FR11" s="56"/>
      <c r="FS11" s="56"/>
      <c r="FT11" s="56"/>
      <c r="FU11" s="56"/>
      <c r="FV11" s="56"/>
      <c r="FW11" s="56"/>
      <c r="FX11" s="56"/>
      <c r="FY11" s="56"/>
      <c r="FZ11" s="56"/>
      <c r="GA11" s="56"/>
      <c r="GB11" s="56"/>
      <c r="GC11" s="56"/>
      <c r="GD11" s="56"/>
      <c r="GE11" s="56"/>
      <c r="GF11" s="56"/>
      <c r="GG11" s="56"/>
      <c r="GH11" s="56"/>
      <c r="GI11" s="56"/>
      <c r="GJ11" s="56"/>
      <c r="GK11" s="56"/>
      <c r="GL11" s="56"/>
      <c r="GM11" s="56"/>
      <c r="GN11" s="56"/>
      <c r="GO11" s="56"/>
      <c r="GP11" s="56"/>
      <c r="GQ11" s="56"/>
      <c r="GR11" s="56"/>
      <c r="GS11" s="56"/>
      <c r="GT11" s="56"/>
      <c r="GU11" s="56"/>
      <c r="GV11" s="56"/>
      <c r="GW11" s="56"/>
      <c r="GX11" s="56"/>
      <c r="GY11" s="56"/>
      <c r="GZ11" s="56"/>
      <c r="HA11" s="56"/>
      <c r="HB11" s="56"/>
      <c r="HC11" s="56"/>
      <c r="HD11" s="56"/>
      <c r="HE11" s="56"/>
      <c r="HF11" s="56"/>
      <c r="HG11" s="56"/>
      <c r="HH11" s="56"/>
      <c r="HI11" s="56"/>
      <c r="HJ11" s="56"/>
      <c r="HK11" s="56"/>
      <c r="HL11" s="56"/>
      <c r="HM11" s="56"/>
      <c r="HN11" s="56"/>
      <c r="HO11" s="56"/>
      <c r="HP11" s="56"/>
      <c r="HQ11" s="56"/>
      <c r="HR11" s="56"/>
      <c r="HS11" s="56"/>
      <c r="HT11" s="56"/>
      <c r="HU11" s="56"/>
      <c r="HV11" s="56"/>
      <c r="HW11" s="56"/>
      <c r="HX11" s="56"/>
      <c r="HY11" s="56"/>
      <c r="HZ11" s="56"/>
      <c r="IA11" s="56"/>
      <c r="IB11" s="56"/>
      <c r="IC11" s="56"/>
      <c r="ID11" s="56"/>
      <c r="IE11" s="56"/>
      <c r="IF11" s="56"/>
      <c r="IG11" s="56"/>
      <c r="IH11" s="56"/>
      <c r="II11" s="56"/>
      <c r="IJ11" s="56"/>
      <c r="IK11" s="56"/>
      <c r="IL11" s="56"/>
      <c r="IM11" s="56"/>
      <c r="IN11" s="56"/>
      <c r="IO11" s="56"/>
      <c r="IP11" s="56"/>
      <c r="IQ11" s="56"/>
      <c r="IR11" s="56"/>
      <c r="IS11" s="56"/>
      <c r="IT11" s="56"/>
      <c r="IU11" s="56"/>
      <c r="IV11" s="56"/>
      <c r="IW11" s="56"/>
      <c r="IX11" s="56"/>
      <c r="IY11" s="56"/>
      <c r="IZ11" s="56"/>
      <c r="JA11" s="56"/>
      <c r="JB11" s="56"/>
      <c r="JC11" s="56"/>
      <c r="JD11" s="56"/>
      <c r="JE11" s="56"/>
      <c r="JF11" s="56"/>
      <c r="JG11" s="56"/>
      <c r="JH11" s="56"/>
      <c r="JI11" s="56"/>
      <c r="JJ11" s="56"/>
      <c r="JK11" s="56"/>
      <c r="JL11" s="56"/>
      <c r="JM11" s="56"/>
      <c r="JN11" s="56"/>
      <c r="JO11" s="56"/>
      <c r="JP11" s="56"/>
      <c r="JQ11" s="56"/>
      <c r="JR11" s="56"/>
      <c r="JS11" s="56"/>
      <c r="JT11" s="56"/>
      <c r="JU11" s="56"/>
      <c r="JV11" s="56"/>
      <c r="JW11" s="56"/>
      <c r="JX11" s="56"/>
      <c r="JY11" s="56"/>
      <c r="JZ11" s="56"/>
      <c r="KA11" s="56"/>
      <c r="KB11" s="56"/>
      <c r="KC11" s="56"/>
      <c r="KD11" s="56"/>
      <c r="KE11" s="56"/>
      <c r="KF11" s="56"/>
      <c r="KG11" s="56"/>
      <c r="KH11" s="56"/>
      <c r="KI11" s="56"/>
      <c r="KJ11" s="56"/>
      <c r="KK11" s="56"/>
      <c r="KL11" s="56"/>
      <c r="KM11" s="56"/>
      <c r="KN11" s="56"/>
      <c r="KO11" s="56"/>
      <c r="KP11" s="56"/>
      <c r="KQ11" s="56"/>
      <c r="KR11" s="56"/>
      <c r="KS11" s="56"/>
      <c r="KT11" s="56"/>
      <c r="KU11" s="56"/>
      <c r="KV11" s="56"/>
      <c r="KW11" s="56"/>
      <c r="KX11" s="56"/>
      <c r="KY11" s="56"/>
      <c r="KZ11" s="56"/>
      <c r="LA11" s="56"/>
      <c r="LB11" s="56"/>
      <c r="LC11" s="56"/>
      <c r="LD11" s="56"/>
      <c r="LE11" s="56"/>
      <c r="LF11" s="56"/>
      <c r="LG11" s="56"/>
      <c r="LH11" s="56"/>
      <c r="LI11" s="56"/>
      <c r="LJ11" s="56"/>
      <c r="LK11" s="56"/>
      <c r="LL11" s="56"/>
      <c r="LM11" s="56"/>
      <c r="LN11" s="56"/>
      <c r="LO11" s="56"/>
      <c r="LP11" s="56"/>
      <c r="LQ11" s="56"/>
      <c r="LR11" s="56"/>
      <c r="LS11" s="56"/>
      <c r="LT11" s="56"/>
      <c r="LU11" s="56"/>
      <c r="LV11" s="56"/>
      <c r="LW11" s="56"/>
      <c r="LX11" s="56"/>
      <c r="LY11" s="56"/>
      <c r="LZ11" s="56"/>
      <c r="MA11" s="56"/>
      <c r="MB11" s="56"/>
      <c r="MC11" s="56"/>
      <c r="MD11" s="56"/>
      <c r="ME11" s="56"/>
      <c r="MF11" s="56"/>
      <c r="MG11" s="56"/>
      <c r="MH11" s="56"/>
      <c r="MI11" s="56"/>
      <c r="MJ11" s="56"/>
      <c r="MK11" s="56"/>
      <c r="ML11" s="56"/>
      <c r="MM11" s="56"/>
      <c r="MN11" s="56"/>
      <c r="MO11" s="56"/>
      <c r="MP11" s="56"/>
      <c r="MQ11" s="56"/>
      <c r="MR11" s="56"/>
      <c r="MS11" s="56"/>
      <c r="MT11" s="56"/>
      <c r="MU11" s="56"/>
      <c r="MV11" s="56"/>
      <c r="MW11" s="56"/>
      <c r="MX11" s="56"/>
      <c r="MY11" s="56"/>
      <c r="MZ11" s="56"/>
      <c r="NA11" s="56"/>
      <c r="NB11" s="56"/>
      <c r="NC11" s="56"/>
      <c r="ND11" s="56"/>
      <c r="NE11" s="56"/>
      <c r="NF11" s="56"/>
      <c r="NG11" s="56"/>
      <c r="NH11" s="56"/>
      <c r="NI11" s="56"/>
      <c r="NJ11" s="56"/>
      <c r="NK11" s="56"/>
      <c r="NL11" s="56"/>
      <c r="NM11" s="56"/>
      <c r="NN11" s="56"/>
      <c r="NO11" s="56"/>
      <c r="NP11" s="56"/>
      <c r="NQ11" s="56"/>
      <c r="NR11" s="56"/>
      <c r="NS11" s="56"/>
      <c r="NT11" s="56"/>
      <c r="NU11" s="56"/>
      <c r="NV11" s="56"/>
      <c r="NW11" s="56"/>
      <c r="NX11" s="56"/>
      <c r="NY11" s="56"/>
      <c r="NZ11" s="56"/>
      <c r="OA11" s="56"/>
      <c r="OB11" s="56"/>
      <c r="OC11" s="56"/>
      <c r="OD11" s="56"/>
      <c r="OE11" s="56"/>
      <c r="OF11" s="56"/>
      <c r="OG11" s="56"/>
      <c r="OH11" s="56"/>
      <c r="OI11" s="56"/>
      <c r="OJ11" s="56"/>
      <c r="OK11" s="56"/>
      <c r="OL11" s="56"/>
      <c r="OM11" s="56"/>
      <c r="ON11" s="56"/>
      <c r="OO11" s="56"/>
      <c r="OP11" s="56"/>
      <c r="OQ11" s="56"/>
      <c r="OR11" s="56"/>
      <c r="OS11" s="56"/>
      <c r="OT11" s="56"/>
      <c r="OU11" s="56"/>
      <c r="OV11" s="56"/>
      <c r="OW11" s="56"/>
      <c r="OX11" s="56"/>
      <c r="OY11" s="56"/>
      <c r="OZ11" s="56"/>
      <c r="PA11" s="56"/>
      <c r="PB11" s="56"/>
      <c r="PC11" s="56"/>
      <c r="PD11" s="56"/>
      <c r="PE11" s="56"/>
      <c r="PF11" s="56"/>
      <c r="PG11" s="56"/>
      <c r="PH11" s="56"/>
      <c r="PI11" s="56"/>
      <c r="PJ11" s="56"/>
      <c r="PK11" s="56"/>
      <c r="PL11" s="56"/>
      <c r="PM11" s="56"/>
      <c r="PN11" s="56"/>
      <c r="PO11" s="56"/>
      <c r="PP11" s="56"/>
      <c r="PQ11" s="56"/>
      <c r="PR11" s="56"/>
      <c r="PS11" s="56"/>
      <c r="PT11" s="56"/>
      <c r="PU11" s="56"/>
      <c r="PV11" s="56"/>
      <c r="PW11" s="56"/>
      <c r="PX11" s="56"/>
      <c r="PY11" s="56"/>
      <c r="PZ11" s="56"/>
      <c r="QA11" s="56"/>
      <c r="QB11" s="56"/>
      <c r="QC11" s="56"/>
      <c r="QD11" s="56"/>
      <c r="QE11" s="56"/>
      <c r="QF11" s="56"/>
      <c r="QG11" s="56"/>
      <c r="QH11" s="56"/>
      <c r="QI11" s="56"/>
      <c r="QJ11" s="56"/>
      <c r="QK11" s="56"/>
      <c r="QL11" s="56"/>
      <c r="QM11" s="56"/>
      <c r="QN11" s="56"/>
      <c r="QO11" s="56"/>
      <c r="QP11" s="56"/>
      <c r="QQ11" s="56"/>
      <c r="QR11" s="56"/>
      <c r="QS11" s="56"/>
      <c r="QT11" s="56"/>
      <c r="QU11" s="56"/>
      <c r="QV11" s="56"/>
      <c r="QW11" s="56"/>
      <c r="QX11" s="56"/>
      <c r="QY11" s="56"/>
      <c r="QZ11" s="56"/>
      <c r="RA11" s="56"/>
      <c r="RB11" s="56"/>
      <c r="RC11" s="56"/>
      <c r="RD11" s="56"/>
      <c r="RE11" s="56"/>
      <c r="RF11" s="56"/>
      <c r="RG11" s="56"/>
      <c r="RH11" s="56"/>
      <c r="RI11" s="56"/>
      <c r="RJ11" s="56"/>
      <c r="RK11" s="56"/>
      <c r="RL11" s="56"/>
      <c r="RM11" s="56"/>
      <c r="RN11" s="56"/>
      <c r="RO11" s="56"/>
      <c r="RP11" s="56"/>
      <c r="RQ11" s="56"/>
      <c r="RR11" s="56"/>
      <c r="RS11" s="56"/>
      <c r="RT11" s="56"/>
      <c r="RU11" s="56"/>
      <c r="RV11" s="56"/>
      <c r="RW11" s="56"/>
      <c r="RX11" s="56"/>
      <c r="RY11" s="56"/>
      <c r="RZ11" s="56"/>
      <c r="SA11" s="56"/>
      <c r="SB11" s="56"/>
      <c r="SC11" s="56"/>
      <c r="SD11" s="56"/>
      <c r="SE11" s="56"/>
      <c r="SF11" s="56"/>
      <c r="SG11" s="56"/>
      <c r="SH11" s="56"/>
      <c r="SI11" s="56"/>
      <c r="SJ11" s="56"/>
      <c r="SK11" s="56"/>
      <c r="SL11" s="56"/>
      <c r="SM11" s="56"/>
      <c r="SN11" s="56"/>
      <c r="SO11" s="56"/>
      <c r="SP11" s="56"/>
      <c r="SQ11" s="56"/>
      <c r="SR11" s="56"/>
      <c r="SS11" s="56"/>
      <c r="ST11" s="56"/>
      <c r="SU11" s="56"/>
      <c r="SV11" s="56"/>
      <c r="SW11" s="56"/>
      <c r="SX11" s="56"/>
      <c r="SY11" s="56"/>
      <c r="SZ11" s="56"/>
      <c r="TA11" s="56"/>
      <c r="TB11" s="56"/>
      <c r="TC11" s="56"/>
      <c r="TD11" s="56"/>
      <c r="TE11" s="56"/>
      <c r="TF11" s="56"/>
      <c r="TG11" s="56"/>
      <c r="TH11" s="56"/>
      <c r="TI11" s="56"/>
      <c r="TJ11" s="56"/>
      <c r="TK11" s="56"/>
      <c r="TL11" s="56"/>
      <c r="TM11" s="56"/>
      <c r="TN11" s="56"/>
      <c r="TO11" s="56"/>
      <c r="TP11" s="56"/>
      <c r="TQ11" s="56"/>
      <c r="TR11" s="56"/>
      <c r="TS11" s="56"/>
      <c r="TT11" s="56"/>
      <c r="TU11" s="56"/>
      <c r="TV11" s="56"/>
      <c r="TW11" s="56"/>
      <c r="TX11" s="56"/>
      <c r="TY11" s="56"/>
      <c r="TZ11" s="56"/>
      <c r="UA11" s="56"/>
      <c r="UB11" s="56"/>
      <c r="UC11" s="56"/>
      <c r="UD11" s="56"/>
      <c r="UE11" s="56"/>
      <c r="UF11" s="56"/>
      <c r="UG11" s="56"/>
      <c r="UH11" s="56"/>
      <c r="UI11" s="56"/>
      <c r="UJ11" s="56"/>
      <c r="UK11" s="56"/>
      <c r="UL11" s="56"/>
      <c r="UM11" s="56"/>
      <c r="UN11" s="56"/>
      <c r="UO11" s="56"/>
      <c r="UP11" s="56"/>
      <c r="UQ11" s="56"/>
      <c r="UR11" s="56"/>
      <c r="US11" s="56"/>
      <c r="UT11" s="56"/>
      <c r="UU11" s="56"/>
      <c r="UV11" s="56"/>
      <c r="UW11" s="56"/>
      <c r="UX11" s="56"/>
      <c r="UY11" s="56"/>
      <c r="UZ11" s="56"/>
      <c r="VA11" s="56"/>
      <c r="VB11" s="56"/>
      <c r="VC11" s="56"/>
      <c r="VD11" s="56"/>
      <c r="VE11" s="56"/>
      <c r="VF11" s="56"/>
      <c r="VG11" s="56"/>
      <c r="VH11" s="56"/>
      <c r="VI11" s="56"/>
      <c r="VJ11" s="56"/>
      <c r="VK11" s="56"/>
      <c r="VL11" s="56"/>
      <c r="VM11" s="56"/>
      <c r="VN11" s="56"/>
      <c r="VO11" s="56"/>
      <c r="VP11" s="56"/>
      <c r="VQ11" s="56"/>
      <c r="VR11" s="56"/>
      <c r="VS11" s="56"/>
      <c r="VT11" s="56"/>
      <c r="VU11" s="56"/>
      <c r="VV11" s="56"/>
      <c r="VW11" s="56"/>
      <c r="VX11" s="56"/>
      <c r="VY11" s="56"/>
      <c r="VZ11" s="56"/>
      <c r="WA11" s="56"/>
      <c r="WB11" s="56"/>
      <c r="WC11" s="56"/>
      <c r="WD11" s="56"/>
      <c r="WE11" s="56"/>
      <c r="WF11" s="56"/>
      <c r="WG11" s="56"/>
      <c r="WH11" s="56"/>
      <c r="WI11" s="56"/>
      <c r="WJ11" s="56"/>
      <c r="WK11" s="56"/>
      <c r="WL11" s="56"/>
      <c r="WM11" s="56"/>
      <c r="WN11" s="56"/>
      <c r="WO11" s="56"/>
      <c r="WP11" s="56"/>
      <c r="WQ11" s="56"/>
      <c r="WR11" s="56"/>
      <c r="WS11" s="56"/>
      <c r="WT11" s="56"/>
      <c r="WU11" s="56"/>
      <c r="WV11" s="56"/>
      <c r="WW11" s="56"/>
      <c r="WX11" s="56"/>
      <c r="WY11" s="56"/>
      <c r="WZ11" s="56"/>
      <c r="XA11" s="56"/>
      <c r="XB11" s="56"/>
      <c r="XC11" s="56"/>
      <c r="XD11" s="56"/>
      <c r="XE11" s="56"/>
      <c r="XF11" s="56"/>
      <c r="XG11" s="56"/>
      <c r="XH11" s="56"/>
      <c r="XI11" s="56"/>
      <c r="XJ11" s="56"/>
      <c r="XK11" s="56"/>
      <c r="XL11" s="56"/>
      <c r="XM11" s="56"/>
      <c r="XN11" s="56"/>
      <c r="XO11" s="56"/>
      <c r="XP11" s="56"/>
      <c r="XQ11" s="56"/>
      <c r="XR11" s="56"/>
      <c r="XS11" s="56"/>
      <c r="XT11" s="56"/>
      <c r="XU11" s="56"/>
      <c r="XV11" s="56"/>
      <c r="XW11" s="56"/>
      <c r="XX11" s="56"/>
      <c r="XY11" s="56"/>
      <c r="XZ11" s="56"/>
      <c r="YA11" s="56"/>
      <c r="YB11" s="56"/>
      <c r="YC11" s="56"/>
      <c r="YD11" s="56"/>
      <c r="YE11" s="56"/>
      <c r="YF11" s="56"/>
      <c r="YG11" s="56"/>
      <c r="YH11" s="56"/>
      <c r="YI11" s="56"/>
      <c r="YJ11" s="56"/>
      <c r="YK11" s="56"/>
      <c r="YL11" s="56"/>
      <c r="YM11" s="56"/>
      <c r="YN11" s="56"/>
      <c r="YO11" s="56"/>
      <c r="YP11" s="56"/>
      <c r="YQ11" s="56"/>
      <c r="YR11" s="56"/>
      <c r="YS11" s="56"/>
      <c r="YT11" s="56"/>
      <c r="YU11" s="56"/>
      <c r="YV11" s="56"/>
      <c r="YW11" s="56"/>
      <c r="YX11" s="56"/>
      <c r="YY11" s="56"/>
      <c r="YZ11" s="56"/>
      <c r="ZA11" s="56"/>
      <c r="ZB11" s="56"/>
      <c r="ZC11" s="56"/>
      <c r="ZD11" s="56"/>
      <c r="ZE11" s="56"/>
      <c r="ZF11" s="56"/>
      <c r="ZG11" s="56"/>
      <c r="ZH11" s="56"/>
      <c r="ZI11" s="56"/>
      <c r="ZJ11" s="56"/>
      <c r="ZK11" s="56"/>
      <c r="ZL11" s="56"/>
      <c r="ZM11" s="56"/>
      <c r="ZN11" s="56"/>
      <c r="ZO11" s="56"/>
      <c r="ZP11" s="56"/>
      <c r="ZQ11" s="56"/>
      <c r="ZR11" s="56"/>
      <c r="ZS11" s="56"/>
      <c r="ZT11" s="56"/>
      <c r="ZU11" s="56"/>
      <c r="ZV11" s="56"/>
      <c r="ZW11" s="56"/>
      <c r="ZX11" s="56"/>
      <c r="ZY11" s="56"/>
      <c r="ZZ11" s="56"/>
      <c r="AAA11" s="56"/>
      <c r="AAB11" s="56"/>
      <c r="AAC11" s="56"/>
      <c r="AAD11" s="56"/>
      <c r="AAE11" s="56"/>
      <c r="AAF11" s="56"/>
    </row>
    <row r="12" spans="1:708" s="64" customFormat="1" ht="54" customHeight="1" x14ac:dyDescent="0.25">
      <c r="A12" s="462"/>
      <c r="B12" s="462"/>
      <c r="C12" s="462"/>
      <c r="D12" s="437"/>
      <c r="E12" s="437"/>
      <c r="F12" s="437"/>
      <c r="G12" s="437"/>
      <c r="H12" s="437"/>
      <c r="I12" s="464"/>
      <c r="J12" s="398"/>
      <c r="K12" s="398"/>
      <c r="L12" s="398"/>
      <c r="M12" s="398"/>
      <c r="N12" s="398"/>
      <c r="O12" s="398"/>
      <c r="P12" s="398"/>
      <c r="Q12" s="58" t="s">
        <v>80</v>
      </c>
      <c r="R12" s="58" t="s">
        <v>81</v>
      </c>
      <c r="S12" s="59" t="s">
        <v>60</v>
      </c>
      <c r="T12" s="59">
        <v>35</v>
      </c>
      <c r="U12" s="59">
        <v>60</v>
      </c>
      <c r="V12" s="452"/>
      <c r="W12" s="448"/>
      <c r="X12" s="60" t="s">
        <v>105</v>
      </c>
      <c r="Y12" s="391"/>
      <c r="Z12" s="391"/>
      <c r="AA12" s="392"/>
      <c r="AB12" s="391"/>
      <c r="AC12" s="59">
        <v>4</v>
      </c>
      <c r="AD12" s="59">
        <f t="shared" si="0"/>
        <v>60</v>
      </c>
      <c r="AE12" s="61">
        <f>+AC12/AD12</f>
        <v>6.6666666666666666E-2</v>
      </c>
      <c r="AF12" s="59" t="s">
        <v>122</v>
      </c>
      <c r="AG12" s="465"/>
      <c r="AH12" s="465"/>
      <c r="AI12" s="466"/>
      <c r="AJ12" s="465"/>
      <c r="AK12" s="62">
        <v>7</v>
      </c>
      <c r="AL12" s="62">
        <v>60</v>
      </c>
      <c r="AM12" s="63">
        <v>0.11666666666666667</v>
      </c>
      <c r="AN12" s="62" t="s">
        <v>123</v>
      </c>
      <c r="AO12" s="465"/>
      <c r="AP12" s="465"/>
      <c r="AQ12" s="466"/>
      <c r="AR12" s="465"/>
      <c r="AS12" s="62">
        <v>9</v>
      </c>
      <c r="AT12" s="62">
        <f t="shared" si="1"/>
        <v>60</v>
      </c>
      <c r="AU12" s="63">
        <f>+AS12/AT12</f>
        <v>0.15</v>
      </c>
      <c r="AV12" s="62" t="s">
        <v>124</v>
      </c>
      <c r="AW12" s="465"/>
      <c r="AX12" s="465"/>
      <c r="AY12" s="466"/>
      <c r="AZ12" s="465"/>
      <c r="BA12" s="62">
        <v>11</v>
      </c>
      <c r="BB12" s="62">
        <f>+U12</f>
        <v>60</v>
      </c>
      <c r="BC12" s="63">
        <f>+BA12/BB12</f>
        <v>0.18333333333333332</v>
      </c>
      <c r="BD12" s="62" t="s">
        <v>125</v>
      </c>
      <c r="BE12" s="465"/>
      <c r="BF12" s="465"/>
      <c r="BG12" s="466"/>
      <c r="BH12" s="465"/>
      <c r="BI12" s="62">
        <v>11</v>
      </c>
      <c r="BJ12" s="62">
        <v>60</v>
      </c>
      <c r="BK12" s="63">
        <f>+BI12/BJ12</f>
        <v>0.18333333333333332</v>
      </c>
      <c r="BL12" s="62" t="s">
        <v>126</v>
      </c>
      <c r="BM12" s="465"/>
      <c r="BN12" s="465"/>
      <c r="BO12" s="466"/>
      <c r="BP12" s="465"/>
      <c r="BQ12" s="62">
        <v>11</v>
      </c>
      <c r="BR12" s="62">
        <v>60</v>
      </c>
      <c r="BS12" s="63">
        <f>+BQ12/BR12</f>
        <v>0.18333333333333332</v>
      </c>
      <c r="BT12" s="62" t="s">
        <v>127</v>
      </c>
      <c r="BU12" s="391"/>
      <c r="BV12" s="391"/>
      <c r="BW12" s="392"/>
      <c r="BX12" s="391"/>
      <c r="BY12" s="59">
        <v>11</v>
      </c>
      <c r="BZ12" s="59">
        <v>60</v>
      </c>
      <c r="CA12" s="61">
        <f>+BY12/BZ12</f>
        <v>0.18333333333333332</v>
      </c>
      <c r="CB12" s="59" t="s">
        <v>128</v>
      </c>
      <c r="CC12" s="391"/>
      <c r="CD12" s="391"/>
      <c r="CE12" s="392"/>
      <c r="CF12" s="391"/>
      <c r="CG12" s="59">
        <v>11</v>
      </c>
      <c r="CH12" s="59">
        <v>60</v>
      </c>
      <c r="CI12" s="61">
        <f>+CG12/CH12</f>
        <v>0.18333333333333332</v>
      </c>
      <c r="CJ12" s="59" t="s">
        <v>129</v>
      </c>
      <c r="CK12" s="391"/>
      <c r="CL12" s="391"/>
      <c r="CM12" s="392"/>
      <c r="CN12" s="398"/>
      <c r="CO12" s="65">
        <v>11</v>
      </c>
      <c r="CP12" s="65">
        <v>60</v>
      </c>
      <c r="CQ12" s="66">
        <f>+CO12/CP12</f>
        <v>0.18333333333333332</v>
      </c>
      <c r="CR12" s="65" t="s">
        <v>602</v>
      </c>
      <c r="CS12" s="56"/>
      <c r="CT12" s="56"/>
      <c r="CU12" s="56"/>
      <c r="CV12" s="56"/>
      <c r="CW12" s="56"/>
      <c r="CX12" s="56"/>
      <c r="CY12" s="56"/>
      <c r="CZ12" s="56"/>
      <c r="DA12" s="56"/>
      <c r="DB12" s="56"/>
      <c r="DC12" s="56"/>
      <c r="DD12" s="56"/>
      <c r="DE12" s="56"/>
      <c r="DF12" s="56"/>
      <c r="DG12" s="56"/>
      <c r="DH12" s="56"/>
      <c r="DI12" s="56"/>
      <c r="DJ12" s="56"/>
      <c r="DK12" s="56"/>
      <c r="DL12" s="56"/>
      <c r="DM12" s="56"/>
      <c r="DN12" s="56"/>
      <c r="DO12" s="56"/>
      <c r="DP12" s="56"/>
      <c r="DQ12" s="56"/>
      <c r="DR12" s="56"/>
      <c r="DS12" s="56"/>
      <c r="DT12" s="56"/>
      <c r="DU12" s="56"/>
      <c r="DV12" s="56"/>
      <c r="DW12" s="56"/>
      <c r="DX12" s="56"/>
      <c r="DY12" s="56"/>
      <c r="DZ12" s="56"/>
      <c r="EA12" s="56"/>
      <c r="EB12" s="56"/>
      <c r="EC12" s="56"/>
      <c r="ED12" s="56"/>
      <c r="EE12" s="56"/>
      <c r="EF12" s="56"/>
      <c r="EG12" s="56"/>
      <c r="EH12" s="56"/>
      <c r="EI12" s="56"/>
      <c r="EJ12" s="56"/>
      <c r="EK12" s="56"/>
      <c r="EL12" s="56"/>
      <c r="EM12" s="56"/>
      <c r="EN12" s="56"/>
      <c r="EO12" s="56"/>
      <c r="EP12" s="56"/>
      <c r="EQ12" s="56"/>
      <c r="ER12" s="56"/>
      <c r="ES12" s="56"/>
      <c r="ET12" s="56"/>
      <c r="EU12" s="56"/>
      <c r="EV12" s="56"/>
      <c r="EW12" s="56"/>
      <c r="EX12" s="56"/>
      <c r="EY12" s="56"/>
      <c r="EZ12" s="56"/>
      <c r="FA12" s="56"/>
      <c r="FB12" s="56"/>
      <c r="FC12" s="56"/>
      <c r="FD12" s="56"/>
      <c r="FE12" s="56"/>
      <c r="FF12" s="56"/>
      <c r="FG12" s="56"/>
      <c r="FH12" s="56"/>
      <c r="FI12" s="56"/>
      <c r="FJ12" s="56"/>
      <c r="FK12" s="56"/>
      <c r="FL12" s="56"/>
      <c r="FM12" s="56"/>
      <c r="FN12" s="56"/>
      <c r="FO12" s="56"/>
      <c r="FP12" s="56"/>
      <c r="FQ12" s="56"/>
      <c r="FR12" s="56"/>
      <c r="FS12" s="56"/>
      <c r="FT12" s="56"/>
      <c r="FU12" s="56"/>
      <c r="FV12" s="56"/>
      <c r="FW12" s="56"/>
      <c r="FX12" s="56"/>
      <c r="FY12" s="56"/>
      <c r="FZ12" s="56"/>
      <c r="GA12" s="56"/>
      <c r="GB12" s="56"/>
      <c r="GC12" s="56"/>
      <c r="GD12" s="56"/>
      <c r="GE12" s="56"/>
      <c r="GF12" s="56"/>
      <c r="GG12" s="56"/>
      <c r="GH12" s="56"/>
      <c r="GI12" s="56"/>
      <c r="GJ12" s="56"/>
      <c r="GK12" s="56"/>
      <c r="GL12" s="56"/>
      <c r="GM12" s="56"/>
      <c r="GN12" s="56"/>
      <c r="GO12" s="56"/>
      <c r="GP12" s="56"/>
      <c r="GQ12" s="56"/>
      <c r="GR12" s="56"/>
      <c r="GS12" s="56"/>
      <c r="GT12" s="56"/>
      <c r="GU12" s="56"/>
      <c r="GV12" s="56"/>
      <c r="GW12" s="56"/>
      <c r="GX12" s="56"/>
      <c r="GY12" s="56"/>
      <c r="GZ12" s="56"/>
      <c r="HA12" s="56"/>
      <c r="HB12" s="56"/>
      <c r="HC12" s="56"/>
      <c r="HD12" s="56"/>
      <c r="HE12" s="56"/>
      <c r="HF12" s="56"/>
      <c r="HG12" s="56"/>
      <c r="HH12" s="56"/>
      <c r="HI12" s="56"/>
      <c r="HJ12" s="56"/>
      <c r="HK12" s="56"/>
      <c r="HL12" s="56"/>
      <c r="HM12" s="56"/>
      <c r="HN12" s="56"/>
      <c r="HO12" s="56"/>
      <c r="HP12" s="56"/>
      <c r="HQ12" s="56"/>
      <c r="HR12" s="56"/>
      <c r="HS12" s="56"/>
      <c r="HT12" s="56"/>
      <c r="HU12" s="56"/>
      <c r="HV12" s="56"/>
      <c r="HW12" s="56"/>
      <c r="HX12" s="56"/>
      <c r="HY12" s="56"/>
      <c r="HZ12" s="56"/>
      <c r="IA12" s="56"/>
      <c r="IB12" s="56"/>
      <c r="IC12" s="56"/>
      <c r="ID12" s="56"/>
      <c r="IE12" s="56"/>
      <c r="IF12" s="56"/>
      <c r="IG12" s="56"/>
      <c r="IH12" s="56"/>
      <c r="II12" s="56"/>
      <c r="IJ12" s="56"/>
      <c r="IK12" s="56"/>
      <c r="IL12" s="56"/>
      <c r="IM12" s="56"/>
      <c r="IN12" s="56"/>
      <c r="IO12" s="56"/>
      <c r="IP12" s="56"/>
      <c r="IQ12" s="56"/>
      <c r="IR12" s="56"/>
      <c r="IS12" s="56"/>
      <c r="IT12" s="56"/>
      <c r="IU12" s="56"/>
      <c r="IV12" s="56"/>
      <c r="IW12" s="56"/>
      <c r="IX12" s="56"/>
      <c r="IY12" s="56"/>
      <c r="IZ12" s="56"/>
      <c r="JA12" s="56"/>
      <c r="JB12" s="56"/>
      <c r="JC12" s="56"/>
      <c r="JD12" s="56"/>
      <c r="JE12" s="56"/>
      <c r="JF12" s="56"/>
      <c r="JG12" s="56"/>
      <c r="JH12" s="56"/>
      <c r="JI12" s="56"/>
      <c r="JJ12" s="56"/>
      <c r="JK12" s="56"/>
      <c r="JL12" s="56"/>
      <c r="JM12" s="56"/>
      <c r="JN12" s="56"/>
      <c r="JO12" s="56"/>
      <c r="JP12" s="56"/>
      <c r="JQ12" s="56"/>
      <c r="JR12" s="56"/>
      <c r="JS12" s="56"/>
      <c r="JT12" s="56"/>
      <c r="JU12" s="56"/>
      <c r="JV12" s="56"/>
      <c r="JW12" s="56"/>
      <c r="JX12" s="56"/>
      <c r="JY12" s="56"/>
      <c r="JZ12" s="56"/>
      <c r="KA12" s="56"/>
      <c r="KB12" s="56"/>
      <c r="KC12" s="56"/>
      <c r="KD12" s="56"/>
      <c r="KE12" s="56"/>
      <c r="KF12" s="56"/>
      <c r="KG12" s="56"/>
      <c r="KH12" s="56"/>
      <c r="KI12" s="56"/>
      <c r="KJ12" s="56"/>
      <c r="KK12" s="56"/>
      <c r="KL12" s="56"/>
      <c r="KM12" s="56"/>
      <c r="KN12" s="56"/>
      <c r="KO12" s="56"/>
      <c r="KP12" s="56"/>
      <c r="KQ12" s="56"/>
      <c r="KR12" s="56"/>
      <c r="KS12" s="56"/>
      <c r="KT12" s="56"/>
      <c r="KU12" s="56"/>
      <c r="KV12" s="56"/>
      <c r="KW12" s="56"/>
      <c r="KX12" s="56"/>
      <c r="KY12" s="56"/>
      <c r="KZ12" s="56"/>
      <c r="LA12" s="56"/>
      <c r="LB12" s="56"/>
      <c r="LC12" s="56"/>
      <c r="LD12" s="56"/>
      <c r="LE12" s="56"/>
      <c r="LF12" s="56"/>
      <c r="LG12" s="56"/>
      <c r="LH12" s="56"/>
      <c r="LI12" s="56"/>
      <c r="LJ12" s="56"/>
      <c r="LK12" s="56"/>
      <c r="LL12" s="56"/>
      <c r="LM12" s="56"/>
      <c r="LN12" s="56"/>
      <c r="LO12" s="56"/>
      <c r="LP12" s="56"/>
      <c r="LQ12" s="56"/>
      <c r="LR12" s="56"/>
      <c r="LS12" s="56"/>
      <c r="LT12" s="56"/>
      <c r="LU12" s="56"/>
      <c r="LV12" s="56"/>
      <c r="LW12" s="56"/>
      <c r="LX12" s="56"/>
      <c r="LY12" s="56"/>
      <c r="LZ12" s="56"/>
      <c r="MA12" s="56"/>
      <c r="MB12" s="56"/>
      <c r="MC12" s="56"/>
      <c r="MD12" s="56"/>
      <c r="ME12" s="56"/>
      <c r="MF12" s="56"/>
      <c r="MG12" s="56"/>
      <c r="MH12" s="56"/>
      <c r="MI12" s="56"/>
      <c r="MJ12" s="56"/>
      <c r="MK12" s="56"/>
      <c r="ML12" s="56"/>
      <c r="MM12" s="56"/>
      <c r="MN12" s="56"/>
      <c r="MO12" s="56"/>
      <c r="MP12" s="56"/>
      <c r="MQ12" s="56"/>
      <c r="MR12" s="56"/>
      <c r="MS12" s="56"/>
      <c r="MT12" s="56"/>
      <c r="MU12" s="56"/>
      <c r="MV12" s="56"/>
      <c r="MW12" s="56"/>
      <c r="MX12" s="56"/>
      <c r="MY12" s="56"/>
      <c r="MZ12" s="56"/>
      <c r="NA12" s="56"/>
      <c r="NB12" s="56"/>
      <c r="NC12" s="56"/>
      <c r="ND12" s="56"/>
      <c r="NE12" s="56"/>
      <c r="NF12" s="56"/>
      <c r="NG12" s="56"/>
      <c r="NH12" s="56"/>
      <c r="NI12" s="56"/>
      <c r="NJ12" s="56"/>
      <c r="NK12" s="56"/>
      <c r="NL12" s="56"/>
      <c r="NM12" s="56"/>
      <c r="NN12" s="56"/>
      <c r="NO12" s="56"/>
      <c r="NP12" s="56"/>
      <c r="NQ12" s="56"/>
      <c r="NR12" s="56"/>
      <c r="NS12" s="56"/>
      <c r="NT12" s="56"/>
      <c r="NU12" s="56"/>
      <c r="NV12" s="56"/>
      <c r="NW12" s="56"/>
      <c r="NX12" s="56"/>
      <c r="NY12" s="56"/>
      <c r="NZ12" s="56"/>
      <c r="OA12" s="56"/>
      <c r="OB12" s="56"/>
      <c r="OC12" s="56"/>
      <c r="OD12" s="56"/>
      <c r="OE12" s="56"/>
      <c r="OF12" s="56"/>
      <c r="OG12" s="56"/>
      <c r="OH12" s="56"/>
      <c r="OI12" s="56"/>
      <c r="OJ12" s="56"/>
      <c r="OK12" s="56"/>
      <c r="OL12" s="56"/>
      <c r="OM12" s="56"/>
      <c r="ON12" s="56"/>
      <c r="OO12" s="56"/>
      <c r="OP12" s="56"/>
      <c r="OQ12" s="56"/>
      <c r="OR12" s="56"/>
      <c r="OS12" s="56"/>
      <c r="OT12" s="56"/>
      <c r="OU12" s="56"/>
      <c r="OV12" s="56"/>
      <c r="OW12" s="56"/>
      <c r="OX12" s="56"/>
      <c r="OY12" s="56"/>
      <c r="OZ12" s="56"/>
      <c r="PA12" s="56"/>
      <c r="PB12" s="56"/>
      <c r="PC12" s="56"/>
      <c r="PD12" s="56"/>
      <c r="PE12" s="56"/>
      <c r="PF12" s="56"/>
      <c r="PG12" s="56"/>
      <c r="PH12" s="56"/>
      <c r="PI12" s="56"/>
      <c r="PJ12" s="56"/>
      <c r="PK12" s="56"/>
      <c r="PL12" s="56"/>
      <c r="PM12" s="56"/>
      <c r="PN12" s="56"/>
      <c r="PO12" s="56"/>
      <c r="PP12" s="56"/>
      <c r="PQ12" s="56"/>
      <c r="PR12" s="56"/>
      <c r="PS12" s="56"/>
      <c r="PT12" s="56"/>
      <c r="PU12" s="56"/>
      <c r="PV12" s="56"/>
      <c r="PW12" s="56"/>
      <c r="PX12" s="56"/>
      <c r="PY12" s="56"/>
      <c r="PZ12" s="56"/>
      <c r="QA12" s="56"/>
      <c r="QB12" s="56"/>
      <c r="QC12" s="56"/>
      <c r="QD12" s="56"/>
      <c r="QE12" s="56"/>
      <c r="QF12" s="56"/>
      <c r="QG12" s="56"/>
      <c r="QH12" s="56"/>
      <c r="QI12" s="56"/>
      <c r="QJ12" s="56"/>
      <c r="QK12" s="56"/>
      <c r="QL12" s="56"/>
      <c r="QM12" s="56"/>
      <c r="QN12" s="56"/>
      <c r="QO12" s="56"/>
      <c r="QP12" s="56"/>
      <c r="QQ12" s="56"/>
      <c r="QR12" s="56"/>
      <c r="QS12" s="56"/>
      <c r="QT12" s="56"/>
      <c r="QU12" s="56"/>
      <c r="QV12" s="56"/>
      <c r="QW12" s="56"/>
      <c r="QX12" s="56"/>
      <c r="QY12" s="56"/>
      <c r="QZ12" s="56"/>
      <c r="RA12" s="56"/>
      <c r="RB12" s="56"/>
      <c r="RC12" s="56"/>
      <c r="RD12" s="56"/>
      <c r="RE12" s="56"/>
      <c r="RF12" s="56"/>
      <c r="RG12" s="56"/>
      <c r="RH12" s="56"/>
      <c r="RI12" s="56"/>
      <c r="RJ12" s="56"/>
      <c r="RK12" s="56"/>
      <c r="RL12" s="56"/>
      <c r="RM12" s="56"/>
      <c r="RN12" s="56"/>
      <c r="RO12" s="56"/>
      <c r="RP12" s="56"/>
      <c r="RQ12" s="56"/>
      <c r="RR12" s="56"/>
      <c r="RS12" s="56"/>
      <c r="RT12" s="56"/>
      <c r="RU12" s="56"/>
      <c r="RV12" s="56"/>
      <c r="RW12" s="56"/>
      <c r="RX12" s="56"/>
      <c r="RY12" s="56"/>
      <c r="RZ12" s="56"/>
      <c r="SA12" s="56"/>
      <c r="SB12" s="56"/>
      <c r="SC12" s="56"/>
      <c r="SD12" s="56"/>
      <c r="SE12" s="56"/>
      <c r="SF12" s="56"/>
      <c r="SG12" s="56"/>
      <c r="SH12" s="56"/>
      <c r="SI12" s="56"/>
      <c r="SJ12" s="56"/>
      <c r="SK12" s="56"/>
      <c r="SL12" s="56"/>
      <c r="SM12" s="56"/>
      <c r="SN12" s="56"/>
      <c r="SO12" s="56"/>
      <c r="SP12" s="56"/>
      <c r="SQ12" s="56"/>
      <c r="SR12" s="56"/>
      <c r="SS12" s="56"/>
      <c r="ST12" s="56"/>
      <c r="SU12" s="56"/>
      <c r="SV12" s="56"/>
      <c r="SW12" s="56"/>
      <c r="SX12" s="56"/>
      <c r="SY12" s="56"/>
      <c r="SZ12" s="56"/>
      <c r="TA12" s="56"/>
      <c r="TB12" s="56"/>
      <c r="TC12" s="56"/>
      <c r="TD12" s="56"/>
      <c r="TE12" s="56"/>
      <c r="TF12" s="56"/>
      <c r="TG12" s="56"/>
      <c r="TH12" s="56"/>
      <c r="TI12" s="56"/>
      <c r="TJ12" s="56"/>
      <c r="TK12" s="56"/>
      <c r="TL12" s="56"/>
      <c r="TM12" s="56"/>
      <c r="TN12" s="56"/>
      <c r="TO12" s="56"/>
      <c r="TP12" s="56"/>
      <c r="TQ12" s="56"/>
      <c r="TR12" s="56"/>
      <c r="TS12" s="56"/>
      <c r="TT12" s="56"/>
      <c r="TU12" s="56"/>
      <c r="TV12" s="56"/>
      <c r="TW12" s="56"/>
      <c r="TX12" s="56"/>
      <c r="TY12" s="56"/>
      <c r="TZ12" s="56"/>
      <c r="UA12" s="56"/>
      <c r="UB12" s="56"/>
      <c r="UC12" s="56"/>
      <c r="UD12" s="56"/>
      <c r="UE12" s="56"/>
      <c r="UF12" s="56"/>
      <c r="UG12" s="56"/>
      <c r="UH12" s="56"/>
      <c r="UI12" s="56"/>
      <c r="UJ12" s="56"/>
      <c r="UK12" s="56"/>
      <c r="UL12" s="56"/>
      <c r="UM12" s="56"/>
      <c r="UN12" s="56"/>
      <c r="UO12" s="56"/>
      <c r="UP12" s="56"/>
      <c r="UQ12" s="56"/>
      <c r="UR12" s="56"/>
      <c r="US12" s="56"/>
      <c r="UT12" s="56"/>
      <c r="UU12" s="56"/>
      <c r="UV12" s="56"/>
      <c r="UW12" s="56"/>
      <c r="UX12" s="56"/>
      <c r="UY12" s="56"/>
      <c r="UZ12" s="56"/>
      <c r="VA12" s="56"/>
      <c r="VB12" s="56"/>
      <c r="VC12" s="56"/>
      <c r="VD12" s="56"/>
      <c r="VE12" s="56"/>
      <c r="VF12" s="56"/>
      <c r="VG12" s="56"/>
      <c r="VH12" s="56"/>
      <c r="VI12" s="56"/>
      <c r="VJ12" s="56"/>
      <c r="VK12" s="56"/>
      <c r="VL12" s="56"/>
      <c r="VM12" s="56"/>
      <c r="VN12" s="56"/>
      <c r="VO12" s="56"/>
      <c r="VP12" s="56"/>
      <c r="VQ12" s="56"/>
      <c r="VR12" s="56"/>
      <c r="VS12" s="56"/>
      <c r="VT12" s="56"/>
      <c r="VU12" s="56"/>
      <c r="VV12" s="56"/>
      <c r="VW12" s="56"/>
      <c r="VX12" s="56"/>
      <c r="VY12" s="56"/>
      <c r="VZ12" s="56"/>
      <c r="WA12" s="56"/>
      <c r="WB12" s="56"/>
      <c r="WC12" s="56"/>
      <c r="WD12" s="56"/>
      <c r="WE12" s="56"/>
      <c r="WF12" s="56"/>
      <c r="WG12" s="56"/>
      <c r="WH12" s="56"/>
      <c r="WI12" s="56"/>
      <c r="WJ12" s="56"/>
      <c r="WK12" s="56"/>
      <c r="WL12" s="56"/>
      <c r="WM12" s="56"/>
      <c r="WN12" s="56"/>
      <c r="WO12" s="56"/>
      <c r="WP12" s="56"/>
      <c r="WQ12" s="56"/>
      <c r="WR12" s="56"/>
      <c r="WS12" s="56"/>
      <c r="WT12" s="56"/>
      <c r="WU12" s="56"/>
      <c r="WV12" s="56"/>
      <c r="WW12" s="56"/>
      <c r="WX12" s="56"/>
      <c r="WY12" s="56"/>
      <c r="WZ12" s="56"/>
      <c r="XA12" s="56"/>
      <c r="XB12" s="56"/>
      <c r="XC12" s="56"/>
      <c r="XD12" s="56"/>
      <c r="XE12" s="56"/>
      <c r="XF12" s="56"/>
      <c r="XG12" s="56"/>
      <c r="XH12" s="56"/>
      <c r="XI12" s="56"/>
      <c r="XJ12" s="56"/>
      <c r="XK12" s="56"/>
      <c r="XL12" s="56"/>
      <c r="XM12" s="56"/>
      <c r="XN12" s="56"/>
      <c r="XO12" s="56"/>
      <c r="XP12" s="56"/>
      <c r="XQ12" s="56"/>
      <c r="XR12" s="56"/>
      <c r="XS12" s="56"/>
      <c r="XT12" s="56"/>
      <c r="XU12" s="56"/>
      <c r="XV12" s="56"/>
      <c r="XW12" s="56"/>
      <c r="XX12" s="56"/>
      <c r="XY12" s="56"/>
      <c r="XZ12" s="56"/>
      <c r="YA12" s="56"/>
      <c r="YB12" s="56"/>
      <c r="YC12" s="56"/>
      <c r="YD12" s="56"/>
      <c r="YE12" s="56"/>
      <c r="YF12" s="56"/>
      <c r="YG12" s="56"/>
      <c r="YH12" s="56"/>
      <c r="YI12" s="56"/>
      <c r="YJ12" s="56"/>
      <c r="YK12" s="56"/>
      <c r="YL12" s="56"/>
      <c r="YM12" s="56"/>
      <c r="YN12" s="56"/>
      <c r="YO12" s="56"/>
      <c r="YP12" s="56"/>
      <c r="YQ12" s="56"/>
      <c r="YR12" s="56"/>
      <c r="YS12" s="56"/>
      <c r="YT12" s="56"/>
      <c r="YU12" s="56"/>
      <c r="YV12" s="56"/>
      <c r="YW12" s="56"/>
      <c r="YX12" s="56"/>
      <c r="YY12" s="56"/>
      <c r="YZ12" s="56"/>
      <c r="ZA12" s="56"/>
      <c r="ZB12" s="56"/>
      <c r="ZC12" s="56"/>
      <c r="ZD12" s="56"/>
      <c r="ZE12" s="56"/>
      <c r="ZF12" s="56"/>
      <c r="ZG12" s="56"/>
      <c r="ZH12" s="56"/>
      <c r="ZI12" s="56"/>
      <c r="ZJ12" s="56"/>
      <c r="ZK12" s="56"/>
      <c r="ZL12" s="56"/>
      <c r="ZM12" s="56"/>
      <c r="ZN12" s="56"/>
      <c r="ZO12" s="56"/>
      <c r="ZP12" s="56"/>
      <c r="ZQ12" s="56"/>
      <c r="ZR12" s="56"/>
      <c r="ZS12" s="56"/>
      <c r="ZT12" s="56"/>
      <c r="ZU12" s="56"/>
      <c r="ZV12" s="56"/>
      <c r="ZW12" s="56"/>
      <c r="ZX12" s="56"/>
      <c r="ZY12" s="56"/>
      <c r="ZZ12" s="56"/>
      <c r="AAA12" s="56"/>
      <c r="AAB12" s="56"/>
      <c r="AAC12" s="56"/>
      <c r="AAD12" s="56"/>
      <c r="AAE12" s="56"/>
      <c r="AAF12" s="56"/>
    </row>
    <row r="13" spans="1:708" s="57" customFormat="1" ht="54" customHeight="1" x14ac:dyDescent="0.25">
      <c r="A13" s="467" t="s">
        <v>47</v>
      </c>
      <c r="B13" s="467" t="s">
        <v>48</v>
      </c>
      <c r="C13" s="467" t="s">
        <v>49</v>
      </c>
      <c r="D13" s="467" t="s">
        <v>50</v>
      </c>
      <c r="E13" s="467" t="s">
        <v>90</v>
      </c>
      <c r="F13" s="467" t="s">
        <v>52</v>
      </c>
      <c r="G13" s="467" t="s">
        <v>53</v>
      </c>
      <c r="H13" s="467" t="s">
        <v>54</v>
      </c>
      <c r="I13" s="431" t="s">
        <v>55</v>
      </c>
      <c r="J13" s="454" t="s">
        <v>56</v>
      </c>
      <c r="K13" s="454" t="s">
        <v>104</v>
      </c>
      <c r="L13" s="454" t="s">
        <v>91</v>
      </c>
      <c r="M13" s="454" t="s">
        <v>130</v>
      </c>
      <c r="N13" s="454" t="s">
        <v>93</v>
      </c>
      <c r="O13" s="454"/>
      <c r="P13" s="455">
        <v>0.89</v>
      </c>
      <c r="Q13" s="49" t="s">
        <v>131</v>
      </c>
      <c r="R13" s="49" t="s">
        <v>132</v>
      </c>
      <c r="S13" s="50" t="s">
        <v>93</v>
      </c>
      <c r="T13" s="50"/>
      <c r="U13" s="67">
        <v>0.89</v>
      </c>
      <c r="V13" s="452"/>
      <c r="W13" s="448"/>
      <c r="X13" s="51" t="s">
        <v>105</v>
      </c>
      <c r="Y13" s="392">
        <f>(1/1)</f>
        <v>1</v>
      </c>
      <c r="Z13" s="393">
        <f>+P13</f>
        <v>0.89</v>
      </c>
      <c r="AA13" s="392">
        <f>Y13/Z13</f>
        <v>1.1235955056179776</v>
      </c>
      <c r="AB13" s="391" t="s">
        <v>133</v>
      </c>
      <c r="AC13" s="53">
        <f>(2/2)</f>
        <v>1</v>
      </c>
      <c r="AD13" s="67">
        <f t="shared" si="0"/>
        <v>0.89</v>
      </c>
      <c r="AE13" s="53">
        <f>+AC13/AD13</f>
        <v>1.1235955056179776</v>
      </c>
      <c r="AF13" s="50" t="s">
        <v>134</v>
      </c>
      <c r="AG13" s="466">
        <v>1</v>
      </c>
      <c r="AH13" s="469">
        <v>0.89</v>
      </c>
      <c r="AI13" s="466">
        <v>1.1235955056179776</v>
      </c>
      <c r="AJ13" s="465" t="s">
        <v>135</v>
      </c>
      <c r="AK13" s="55">
        <v>1</v>
      </c>
      <c r="AL13" s="69">
        <v>0.89</v>
      </c>
      <c r="AM13" s="55">
        <v>1.1235955056179776</v>
      </c>
      <c r="AN13" s="54" t="s">
        <v>136</v>
      </c>
      <c r="AO13" s="466">
        <f>(9/9)</f>
        <v>1</v>
      </c>
      <c r="AP13" s="469">
        <f>+P13</f>
        <v>0.89</v>
      </c>
      <c r="AQ13" s="466">
        <f>AO13/AP13</f>
        <v>1.1235955056179776</v>
      </c>
      <c r="AR13" s="465" t="s">
        <v>137</v>
      </c>
      <c r="AS13" s="55">
        <f>(3/3)</f>
        <v>1</v>
      </c>
      <c r="AT13" s="69">
        <f t="shared" si="1"/>
        <v>0.89</v>
      </c>
      <c r="AU13" s="55">
        <f>+AS13/AT13</f>
        <v>1.1235955056179776</v>
      </c>
      <c r="AV13" s="54" t="s">
        <v>138</v>
      </c>
      <c r="AW13" s="466">
        <f>(13/13)</f>
        <v>1</v>
      </c>
      <c r="AX13" s="469">
        <f>+P13</f>
        <v>0.89</v>
      </c>
      <c r="AY13" s="466">
        <f>AW13/AX13</f>
        <v>1.1235955056179776</v>
      </c>
      <c r="AZ13" s="465" t="s">
        <v>139</v>
      </c>
      <c r="BA13" s="55">
        <f>(3/3)</f>
        <v>1</v>
      </c>
      <c r="BB13" s="69">
        <f>+U13</f>
        <v>0.89</v>
      </c>
      <c r="BC13" s="55">
        <f>+BA13/BB13</f>
        <v>1.1235955056179776</v>
      </c>
      <c r="BD13" s="54" t="s">
        <v>140</v>
      </c>
      <c r="BE13" s="466">
        <f>(15/15)</f>
        <v>1</v>
      </c>
      <c r="BF13" s="469">
        <v>0.89</v>
      </c>
      <c r="BG13" s="466">
        <f>BE13/BF13</f>
        <v>1.1235955056179776</v>
      </c>
      <c r="BH13" s="465" t="s">
        <v>141</v>
      </c>
      <c r="BI13" s="55">
        <f>(3/3)</f>
        <v>1</v>
      </c>
      <c r="BJ13" s="69">
        <v>0.89</v>
      </c>
      <c r="BK13" s="55">
        <f>+BI13/BJ13</f>
        <v>1.1235955056179776</v>
      </c>
      <c r="BL13" s="54" t="s">
        <v>142</v>
      </c>
      <c r="BM13" s="466">
        <f>(16/16)</f>
        <v>1</v>
      </c>
      <c r="BN13" s="469">
        <v>0.89</v>
      </c>
      <c r="BO13" s="466">
        <f>BM13/BN13</f>
        <v>1.1235955056179776</v>
      </c>
      <c r="BP13" s="465" t="s">
        <v>143</v>
      </c>
      <c r="BQ13" s="55">
        <f>(3/3)</f>
        <v>1</v>
      </c>
      <c r="BR13" s="69">
        <v>0.89</v>
      </c>
      <c r="BS13" s="55">
        <f>+BQ13/BR13</f>
        <v>1.1235955056179776</v>
      </c>
      <c r="BT13" s="54" t="s">
        <v>144</v>
      </c>
      <c r="BU13" s="392">
        <f>(16/16)</f>
        <v>1</v>
      </c>
      <c r="BV13" s="393">
        <v>0.89</v>
      </c>
      <c r="BW13" s="392">
        <f>BU13/BV13</f>
        <v>1.1235955056179776</v>
      </c>
      <c r="BX13" s="391" t="s">
        <v>145</v>
      </c>
      <c r="BY13" s="53">
        <f>(4/4)</f>
        <v>1</v>
      </c>
      <c r="BZ13" s="67">
        <v>0.89</v>
      </c>
      <c r="CA13" s="53">
        <f>+BY13/BZ13</f>
        <v>1.1235955056179776</v>
      </c>
      <c r="CB13" s="50" t="s">
        <v>146</v>
      </c>
      <c r="CC13" s="392">
        <f>(16/16)</f>
        <v>1</v>
      </c>
      <c r="CD13" s="393">
        <v>0.89</v>
      </c>
      <c r="CE13" s="392">
        <f>CC13/CD13</f>
        <v>1.1235955056179776</v>
      </c>
      <c r="CF13" s="391" t="s">
        <v>147</v>
      </c>
      <c r="CG13" s="53">
        <f>(4/4)</f>
        <v>1</v>
      </c>
      <c r="CH13" s="67">
        <v>0.89</v>
      </c>
      <c r="CI13" s="53">
        <f>+CG13/CH13</f>
        <v>1.1235955056179776</v>
      </c>
      <c r="CJ13" s="50" t="s">
        <v>148</v>
      </c>
      <c r="CK13" s="392">
        <f>(16/16)</f>
        <v>1</v>
      </c>
      <c r="CL13" s="393">
        <v>0.89</v>
      </c>
      <c r="CM13" s="392">
        <f>CK13/CL13</f>
        <v>1.1235955056179776</v>
      </c>
      <c r="CN13" s="391" t="s">
        <v>603</v>
      </c>
      <c r="CO13" s="53">
        <f>(5/5)</f>
        <v>1</v>
      </c>
      <c r="CP13" s="68">
        <v>0.89</v>
      </c>
      <c r="CQ13" s="130">
        <f>+CO13/CP13</f>
        <v>1.1235955056179776</v>
      </c>
      <c r="CR13" s="52" t="s">
        <v>604</v>
      </c>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c r="EE13" s="56"/>
      <c r="EF13" s="56"/>
      <c r="EG13" s="56"/>
      <c r="EH13" s="56"/>
      <c r="EI13" s="56"/>
      <c r="EJ13" s="56"/>
      <c r="EK13" s="56"/>
      <c r="EL13" s="56"/>
      <c r="EM13" s="56"/>
      <c r="EN13" s="56"/>
      <c r="EO13" s="56"/>
      <c r="EP13" s="56"/>
      <c r="EQ13" s="56"/>
      <c r="ER13" s="56"/>
      <c r="ES13" s="56"/>
      <c r="ET13" s="56"/>
      <c r="EU13" s="56"/>
      <c r="EV13" s="56"/>
      <c r="EW13" s="56"/>
      <c r="EX13" s="56"/>
      <c r="EY13" s="56"/>
      <c r="EZ13" s="56"/>
      <c r="FA13" s="56"/>
      <c r="FB13" s="56"/>
      <c r="FC13" s="56"/>
      <c r="FD13" s="56"/>
      <c r="FE13" s="56"/>
      <c r="FF13" s="56"/>
      <c r="FG13" s="56"/>
      <c r="FH13" s="56"/>
      <c r="FI13" s="56"/>
      <c r="FJ13" s="56"/>
      <c r="FK13" s="56"/>
      <c r="FL13" s="56"/>
      <c r="FM13" s="56"/>
      <c r="FN13" s="56"/>
      <c r="FO13" s="56"/>
      <c r="FP13" s="56"/>
      <c r="FQ13" s="56"/>
      <c r="FR13" s="56"/>
      <c r="FS13" s="56"/>
      <c r="FT13" s="56"/>
      <c r="FU13" s="56"/>
      <c r="FV13" s="56"/>
      <c r="FW13" s="56"/>
      <c r="FX13" s="56"/>
      <c r="FY13" s="56"/>
      <c r="FZ13" s="56"/>
      <c r="GA13" s="56"/>
      <c r="GB13" s="56"/>
      <c r="GC13" s="56"/>
      <c r="GD13" s="56"/>
      <c r="GE13" s="56"/>
      <c r="GF13" s="56"/>
      <c r="GG13" s="56"/>
      <c r="GH13" s="56"/>
      <c r="GI13" s="56"/>
      <c r="GJ13" s="56"/>
      <c r="GK13" s="56"/>
      <c r="GL13" s="56"/>
      <c r="GM13" s="56"/>
      <c r="GN13" s="56"/>
      <c r="GO13" s="56"/>
      <c r="GP13" s="56"/>
      <c r="GQ13" s="56"/>
      <c r="GR13" s="56"/>
      <c r="GS13" s="56"/>
      <c r="GT13" s="56"/>
      <c r="GU13" s="56"/>
      <c r="GV13" s="56"/>
      <c r="GW13" s="56"/>
      <c r="GX13" s="56"/>
      <c r="GY13" s="56"/>
      <c r="GZ13" s="56"/>
      <c r="HA13" s="56"/>
      <c r="HB13" s="56"/>
      <c r="HC13" s="56"/>
      <c r="HD13" s="56"/>
      <c r="HE13" s="56"/>
      <c r="HF13" s="56"/>
      <c r="HG13" s="56"/>
      <c r="HH13" s="56"/>
      <c r="HI13" s="56"/>
      <c r="HJ13" s="56"/>
      <c r="HK13" s="56"/>
      <c r="HL13" s="56"/>
      <c r="HM13" s="56"/>
      <c r="HN13" s="56"/>
      <c r="HO13" s="56"/>
      <c r="HP13" s="56"/>
      <c r="HQ13" s="56"/>
      <c r="HR13" s="56"/>
      <c r="HS13" s="56"/>
      <c r="HT13" s="56"/>
      <c r="HU13" s="56"/>
      <c r="HV13" s="56"/>
      <c r="HW13" s="56"/>
      <c r="HX13" s="56"/>
      <c r="HY13" s="56"/>
      <c r="HZ13" s="56"/>
      <c r="IA13" s="56"/>
      <c r="IB13" s="56"/>
      <c r="IC13" s="56"/>
      <c r="ID13" s="56"/>
      <c r="IE13" s="56"/>
      <c r="IF13" s="56"/>
      <c r="IG13" s="56"/>
      <c r="IH13" s="56"/>
      <c r="II13" s="56"/>
      <c r="IJ13" s="56"/>
      <c r="IK13" s="56"/>
      <c r="IL13" s="56"/>
      <c r="IM13" s="56"/>
      <c r="IN13" s="56"/>
      <c r="IO13" s="56"/>
      <c r="IP13" s="56"/>
      <c r="IQ13" s="56"/>
      <c r="IR13" s="56"/>
      <c r="IS13" s="56"/>
      <c r="IT13" s="56"/>
      <c r="IU13" s="56"/>
      <c r="IV13" s="56"/>
      <c r="IW13" s="56"/>
      <c r="IX13" s="56"/>
      <c r="IY13" s="56"/>
      <c r="IZ13" s="56"/>
      <c r="JA13" s="56"/>
      <c r="JB13" s="56"/>
      <c r="JC13" s="56"/>
      <c r="JD13" s="56"/>
      <c r="JE13" s="56"/>
      <c r="JF13" s="56"/>
      <c r="JG13" s="56"/>
      <c r="JH13" s="56"/>
      <c r="JI13" s="56"/>
      <c r="JJ13" s="56"/>
      <c r="JK13" s="56"/>
      <c r="JL13" s="56"/>
      <c r="JM13" s="56"/>
      <c r="JN13" s="56"/>
      <c r="JO13" s="56"/>
      <c r="JP13" s="56"/>
      <c r="JQ13" s="56"/>
      <c r="JR13" s="56"/>
      <c r="JS13" s="56"/>
      <c r="JT13" s="56"/>
      <c r="JU13" s="56"/>
      <c r="JV13" s="56"/>
      <c r="JW13" s="56"/>
      <c r="JX13" s="56"/>
      <c r="JY13" s="56"/>
      <c r="JZ13" s="56"/>
      <c r="KA13" s="56"/>
      <c r="KB13" s="56"/>
      <c r="KC13" s="56"/>
      <c r="KD13" s="56"/>
      <c r="KE13" s="56"/>
      <c r="KF13" s="56"/>
      <c r="KG13" s="56"/>
      <c r="KH13" s="56"/>
      <c r="KI13" s="56"/>
      <c r="KJ13" s="56"/>
      <c r="KK13" s="56"/>
      <c r="KL13" s="56"/>
      <c r="KM13" s="56"/>
      <c r="KN13" s="56"/>
      <c r="KO13" s="56"/>
      <c r="KP13" s="56"/>
      <c r="KQ13" s="56"/>
      <c r="KR13" s="56"/>
      <c r="KS13" s="56"/>
      <c r="KT13" s="56"/>
      <c r="KU13" s="56"/>
      <c r="KV13" s="56"/>
      <c r="KW13" s="56"/>
      <c r="KX13" s="56"/>
      <c r="KY13" s="56"/>
      <c r="KZ13" s="56"/>
      <c r="LA13" s="56"/>
      <c r="LB13" s="56"/>
      <c r="LC13" s="56"/>
      <c r="LD13" s="56"/>
      <c r="LE13" s="56"/>
      <c r="LF13" s="56"/>
      <c r="LG13" s="56"/>
      <c r="LH13" s="56"/>
      <c r="LI13" s="56"/>
      <c r="LJ13" s="56"/>
      <c r="LK13" s="56"/>
      <c r="LL13" s="56"/>
      <c r="LM13" s="56"/>
      <c r="LN13" s="56"/>
      <c r="LO13" s="56"/>
      <c r="LP13" s="56"/>
      <c r="LQ13" s="56"/>
      <c r="LR13" s="56"/>
      <c r="LS13" s="56"/>
      <c r="LT13" s="56"/>
      <c r="LU13" s="56"/>
      <c r="LV13" s="56"/>
      <c r="LW13" s="56"/>
      <c r="LX13" s="56"/>
      <c r="LY13" s="56"/>
      <c r="LZ13" s="56"/>
      <c r="MA13" s="56"/>
      <c r="MB13" s="56"/>
      <c r="MC13" s="56"/>
      <c r="MD13" s="56"/>
      <c r="ME13" s="56"/>
      <c r="MF13" s="56"/>
      <c r="MG13" s="56"/>
      <c r="MH13" s="56"/>
      <c r="MI13" s="56"/>
      <c r="MJ13" s="56"/>
      <c r="MK13" s="56"/>
      <c r="ML13" s="56"/>
      <c r="MM13" s="56"/>
      <c r="MN13" s="56"/>
      <c r="MO13" s="56"/>
      <c r="MP13" s="56"/>
      <c r="MQ13" s="56"/>
      <c r="MR13" s="56"/>
      <c r="MS13" s="56"/>
      <c r="MT13" s="56"/>
      <c r="MU13" s="56"/>
      <c r="MV13" s="56"/>
      <c r="MW13" s="56"/>
      <c r="MX13" s="56"/>
      <c r="MY13" s="56"/>
      <c r="MZ13" s="56"/>
      <c r="NA13" s="56"/>
      <c r="NB13" s="56"/>
      <c r="NC13" s="56"/>
      <c r="ND13" s="56"/>
      <c r="NE13" s="56"/>
      <c r="NF13" s="56"/>
      <c r="NG13" s="56"/>
      <c r="NH13" s="56"/>
      <c r="NI13" s="56"/>
      <c r="NJ13" s="56"/>
      <c r="NK13" s="56"/>
      <c r="NL13" s="56"/>
      <c r="NM13" s="56"/>
      <c r="NN13" s="56"/>
      <c r="NO13" s="56"/>
      <c r="NP13" s="56"/>
      <c r="NQ13" s="56"/>
      <c r="NR13" s="56"/>
      <c r="NS13" s="56"/>
      <c r="NT13" s="56"/>
      <c r="NU13" s="56"/>
      <c r="NV13" s="56"/>
      <c r="NW13" s="56"/>
      <c r="NX13" s="56"/>
      <c r="NY13" s="56"/>
      <c r="NZ13" s="56"/>
      <c r="OA13" s="56"/>
      <c r="OB13" s="56"/>
      <c r="OC13" s="56"/>
      <c r="OD13" s="56"/>
      <c r="OE13" s="56"/>
      <c r="OF13" s="56"/>
      <c r="OG13" s="56"/>
      <c r="OH13" s="56"/>
      <c r="OI13" s="56"/>
      <c r="OJ13" s="56"/>
      <c r="OK13" s="56"/>
      <c r="OL13" s="56"/>
      <c r="OM13" s="56"/>
      <c r="ON13" s="56"/>
      <c r="OO13" s="56"/>
      <c r="OP13" s="56"/>
      <c r="OQ13" s="56"/>
      <c r="OR13" s="56"/>
      <c r="OS13" s="56"/>
      <c r="OT13" s="56"/>
      <c r="OU13" s="56"/>
      <c r="OV13" s="56"/>
      <c r="OW13" s="56"/>
      <c r="OX13" s="56"/>
      <c r="OY13" s="56"/>
      <c r="OZ13" s="56"/>
      <c r="PA13" s="56"/>
      <c r="PB13" s="56"/>
      <c r="PC13" s="56"/>
      <c r="PD13" s="56"/>
      <c r="PE13" s="56"/>
      <c r="PF13" s="56"/>
      <c r="PG13" s="56"/>
      <c r="PH13" s="56"/>
      <c r="PI13" s="56"/>
      <c r="PJ13" s="56"/>
      <c r="PK13" s="56"/>
      <c r="PL13" s="56"/>
      <c r="PM13" s="56"/>
      <c r="PN13" s="56"/>
      <c r="PO13" s="56"/>
      <c r="PP13" s="56"/>
      <c r="PQ13" s="56"/>
      <c r="PR13" s="56"/>
      <c r="PS13" s="56"/>
      <c r="PT13" s="56"/>
      <c r="PU13" s="56"/>
      <c r="PV13" s="56"/>
      <c r="PW13" s="56"/>
      <c r="PX13" s="56"/>
      <c r="PY13" s="56"/>
      <c r="PZ13" s="56"/>
      <c r="QA13" s="56"/>
      <c r="QB13" s="56"/>
      <c r="QC13" s="56"/>
      <c r="QD13" s="56"/>
      <c r="QE13" s="56"/>
      <c r="QF13" s="56"/>
      <c r="QG13" s="56"/>
      <c r="QH13" s="56"/>
      <c r="QI13" s="56"/>
      <c r="QJ13" s="56"/>
      <c r="QK13" s="56"/>
      <c r="QL13" s="56"/>
      <c r="QM13" s="56"/>
      <c r="QN13" s="56"/>
      <c r="QO13" s="56"/>
      <c r="QP13" s="56"/>
      <c r="QQ13" s="56"/>
      <c r="QR13" s="56"/>
      <c r="QS13" s="56"/>
      <c r="QT13" s="56"/>
      <c r="QU13" s="56"/>
      <c r="QV13" s="56"/>
      <c r="QW13" s="56"/>
      <c r="QX13" s="56"/>
      <c r="QY13" s="56"/>
      <c r="QZ13" s="56"/>
      <c r="RA13" s="56"/>
      <c r="RB13" s="56"/>
      <c r="RC13" s="56"/>
      <c r="RD13" s="56"/>
      <c r="RE13" s="56"/>
      <c r="RF13" s="56"/>
      <c r="RG13" s="56"/>
      <c r="RH13" s="56"/>
      <c r="RI13" s="56"/>
      <c r="RJ13" s="56"/>
      <c r="RK13" s="56"/>
      <c r="RL13" s="56"/>
      <c r="RM13" s="56"/>
      <c r="RN13" s="56"/>
      <c r="RO13" s="56"/>
      <c r="RP13" s="56"/>
      <c r="RQ13" s="56"/>
      <c r="RR13" s="56"/>
      <c r="RS13" s="56"/>
      <c r="RT13" s="56"/>
      <c r="RU13" s="56"/>
      <c r="RV13" s="56"/>
      <c r="RW13" s="56"/>
      <c r="RX13" s="56"/>
      <c r="RY13" s="56"/>
      <c r="RZ13" s="56"/>
      <c r="SA13" s="56"/>
      <c r="SB13" s="56"/>
      <c r="SC13" s="56"/>
      <c r="SD13" s="56"/>
      <c r="SE13" s="56"/>
      <c r="SF13" s="56"/>
      <c r="SG13" s="56"/>
      <c r="SH13" s="56"/>
      <c r="SI13" s="56"/>
      <c r="SJ13" s="56"/>
      <c r="SK13" s="56"/>
      <c r="SL13" s="56"/>
      <c r="SM13" s="56"/>
      <c r="SN13" s="56"/>
      <c r="SO13" s="56"/>
      <c r="SP13" s="56"/>
      <c r="SQ13" s="56"/>
      <c r="SR13" s="56"/>
      <c r="SS13" s="56"/>
      <c r="ST13" s="56"/>
      <c r="SU13" s="56"/>
      <c r="SV13" s="56"/>
      <c r="SW13" s="56"/>
      <c r="SX13" s="56"/>
      <c r="SY13" s="56"/>
      <c r="SZ13" s="56"/>
      <c r="TA13" s="56"/>
      <c r="TB13" s="56"/>
      <c r="TC13" s="56"/>
      <c r="TD13" s="56"/>
      <c r="TE13" s="56"/>
      <c r="TF13" s="56"/>
      <c r="TG13" s="56"/>
      <c r="TH13" s="56"/>
      <c r="TI13" s="56"/>
      <c r="TJ13" s="56"/>
      <c r="TK13" s="56"/>
      <c r="TL13" s="56"/>
      <c r="TM13" s="56"/>
      <c r="TN13" s="56"/>
      <c r="TO13" s="56"/>
      <c r="TP13" s="56"/>
      <c r="TQ13" s="56"/>
      <c r="TR13" s="56"/>
      <c r="TS13" s="56"/>
      <c r="TT13" s="56"/>
      <c r="TU13" s="56"/>
      <c r="TV13" s="56"/>
      <c r="TW13" s="56"/>
      <c r="TX13" s="56"/>
      <c r="TY13" s="56"/>
      <c r="TZ13" s="56"/>
      <c r="UA13" s="56"/>
      <c r="UB13" s="56"/>
      <c r="UC13" s="56"/>
      <c r="UD13" s="56"/>
      <c r="UE13" s="56"/>
      <c r="UF13" s="56"/>
      <c r="UG13" s="56"/>
      <c r="UH13" s="56"/>
      <c r="UI13" s="56"/>
      <c r="UJ13" s="56"/>
      <c r="UK13" s="56"/>
      <c r="UL13" s="56"/>
      <c r="UM13" s="56"/>
      <c r="UN13" s="56"/>
      <c r="UO13" s="56"/>
      <c r="UP13" s="56"/>
      <c r="UQ13" s="56"/>
      <c r="UR13" s="56"/>
      <c r="US13" s="56"/>
      <c r="UT13" s="56"/>
      <c r="UU13" s="56"/>
      <c r="UV13" s="56"/>
      <c r="UW13" s="56"/>
      <c r="UX13" s="56"/>
      <c r="UY13" s="56"/>
      <c r="UZ13" s="56"/>
      <c r="VA13" s="56"/>
      <c r="VB13" s="56"/>
      <c r="VC13" s="56"/>
      <c r="VD13" s="56"/>
      <c r="VE13" s="56"/>
      <c r="VF13" s="56"/>
      <c r="VG13" s="56"/>
      <c r="VH13" s="56"/>
      <c r="VI13" s="56"/>
      <c r="VJ13" s="56"/>
      <c r="VK13" s="56"/>
      <c r="VL13" s="56"/>
      <c r="VM13" s="56"/>
      <c r="VN13" s="56"/>
      <c r="VO13" s="56"/>
      <c r="VP13" s="56"/>
      <c r="VQ13" s="56"/>
      <c r="VR13" s="56"/>
      <c r="VS13" s="56"/>
      <c r="VT13" s="56"/>
      <c r="VU13" s="56"/>
      <c r="VV13" s="56"/>
      <c r="VW13" s="56"/>
      <c r="VX13" s="56"/>
      <c r="VY13" s="56"/>
      <c r="VZ13" s="56"/>
      <c r="WA13" s="56"/>
      <c r="WB13" s="56"/>
      <c r="WC13" s="56"/>
      <c r="WD13" s="56"/>
      <c r="WE13" s="56"/>
      <c r="WF13" s="56"/>
      <c r="WG13" s="56"/>
      <c r="WH13" s="56"/>
      <c r="WI13" s="56"/>
      <c r="WJ13" s="56"/>
      <c r="WK13" s="56"/>
      <c r="WL13" s="56"/>
      <c r="WM13" s="56"/>
      <c r="WN13" s="56"/>
      <c r="WO13" s="56"/>
      <c r="WP13" s="56"/>
      <c r="WQ13" s="56"/>
      <c r="WR13" s="56"/>
      <c r="WS13" s="56"/>
      <c r="WT13" s="56"/>
      <c r="WU13" s="56"/>
      <c r="WV13" s="56"/>
      <c r="WW13" s="56"/>
      <c r="WX13" s="56"/>
      <c r="WY13" s="56"/>
      <c r="WZ13" s="56"/>
      <c r="XA13" s="56"/>
      <c r="XB13" s="56"/>
      <c r="XC13" s="56"/>
      <c r="XD13" s="56"/>
      <c r="XE13" s="56"/>
      <c r="XF13" s="56"/>
      <c r="XG13" s="56"/>
      <c r="XH13" s="56"/>
      <c r="XI13" s="56"/>
      <c r="XJ13" s="56"/>
      <c r="XK13" s="56"/>
      <c r="XL13" s="56"/>
      <c r="XM13" s="56"/>
      <c r="XN13" s="56"/>
      <c r="XO13" s="56"/>
      <c r="XP13" s="56"/>
      <c r="XQ13" s="56"/>
      <c r="XR13" s="56"/>
      <c r="XS13" s="56"/>
      <c r="XT13" s="56"/>
      <c r="XU13" s="56"/>
      <c r="XV13" s="56"/>
      <c r="XW13" s="56"/>
      <c r="XX13" s="56"/>
      <c r="XY13" s="56"/>
      <c r="XZ13" s="56"/>
      <c r="YA13" s="56"/>
      <c r="YB13" s="56"/>
      <c r="YC13" s="56"/>
      <c r="YD13" s="56"/>
      <c r="YE13" s="56"/>
      <c r="YF13" s="56"/>
      <c r="YG13" s="56"/>
      <c r="YH13" s="56"/>
      <c r="YI13" s="56"/>
      <c r="YJ13" s="56"/>
      <c r="YK13" s="56"/>
      <c r="YL13" s="56"/>
      <c r="YM13" s="56"/>
      <c r="YN13" s="56"/>
      <c r="YO13" s="56"/>
      <c r="YP13" s="56"/>
      <c r="YQ13" s="56"/>
      <c r="YR13" s="56"/>
      <c r="YS13" s="56"/>
      <c r="YT13" s="56"/>
      <c r="YU13" s="56"/>
      <c r="YV13" s="56"/>
      <c r="YW13" s="56"/>
      <c r="YX13" s="56"/>
      <c r="YY13" s="56"/>
      <c r="YZ13" s="56"/>
      <c r="ZA13" s="56"/>
      <c r="ZB13" s="56"/>
      <c r="ZC13" s="56"/>
      <c r="ZD13" s="56"/>
      <c r="ZE13" s="56"/>
      <c r="ZF13" s="56"/>
      <c r="ZG13" s="56"/>
      <c r="ZH13" s="56"/>
      <c r="ZI13" s="56"/>
      <c r="ZJ13" s="56"/>
      <c r="ZK13" s="56"/>
      <c r="ZL13" s="56"/>
      <c r="ZM13" s="56"/>
      <c r="ZN13" s="56"/>
      <c r="ZO13" s="56"/>
      <c r="ZP13" s="56"/>
      <c r="ZQ13" s="56"/>
      <c r="ZR13" s="56"/>
      <c r="ZS13" s="56"/>
      <c r="ZT13" s="56"/>
      <c r="ZU13" s="56"/>
      <c r="ZV13" s="56"/>
      <c r="ZW13" s="56"/>
      <c r="ZX13" s="56"/>
      <c r="ZY13" s="56"/>
      <c r="ZZ13" s="56"/>
      <c r="AAA13" s="56"/>
      <c r="AAB13" s="56"/>
      <c r="AAC13" s="56"/>
      <c r="AAD13" s="56"/>
      <c r="AAE13" s="56"/>
      <c r="AAF13" s="56"/>
    </row>
    <row r="14" spans="1:708" s="64" customFormat="1" ht="54" customHeight="1" x14ac:dyDescent="0.25">
      <c r="A14" s="468"/>
      <c r="B14" s="468"/>
      <c r="C14" s="468"/>
      <c r="D14" s="468"/>
      <c r="E14" s="468"/>
      <c r="F14" s="468"/>
      <c r="G14" s="468"/>
      <c r="H14" s="468"/>
      <c r="I14" s="450"/>
      <c r="J14" s="454"/>
      <c r="K14" s="454"/>
      <c r="L14" s="454"/>
      <c r="M14" s="454"/>
      <c r="N14" s="454"/>
      <c r="O14" s="454"/>
      <c r="P14" s="455"/>
      <c r="Q14" s="58" t="s">
        <v>149</v>
      </c>
      <c r="R14" s="58" t="s">
        <v>150</v>
      </c>
      <c r="S14" s="59" t="s">
        <v>93</v>
      </c>
      <c r="T14" s="59"/>
      <c r="U14" s="71">
        <v>0.89</v>
      </c>
      <c r="V14" s="453"/>
      <c r="W14" s="448"/>
      <c r="X14" s="60" t="s">
        <v>105</v>
      </c>
      <c r="Y14" s="392"/>
      <c r="Z14" s="391"/>
      <c r="AA14" s="392"/>
      <c r="AB14" s="391"/>
      <c r="AC14" s="61">
        <f>0/3</f>
        <v>0</v>
      </c>
      <c r="AD14" s="71">
        <f t="shared" si="0"/>
        <v>0.89</v>
      </c>
      <c r="AE14" s="61">
        <f>+AC14/AD14</f>
        <v>0</v>
      </c>
      <c r="AF14" s="59" t="s">
        <v>151</v>
      </c>
      <c r="AG14" s="466"/>
      <c r="AH14" s="465"/>
      <c r="AI14" s="466"/>
      <c r="AJ14" s="465"/>
      <c r="AK14" s="63">
        <v>0</v>
      </c>
      <c r="AL14" s="72">
        <v>0.89</v>
      </c>
      <c r="AM14" s="63">
        <v>0</v>
      </c>
      <c r="AN14" s="62" t="s">
        <v>152</v>
      </c>
      <c r="AO14" s="466"/>
      <c r="AP14" s="465"/>
      <c r="AQ14" s="466"/>
      <c r="AR14" s="465"/>
      <c r="AS14" s="63">
        <f>0/9</f>
        <v>0</v>
      </c>
      <c r="AT14" s="72">
        <f t="shared" si="1"/>
        <v>0.89</v>
      </c>
      <c r="AU14" s="63">
        <f>+AS14/AT14</f>
        <v>0</v>
      </c>
      <c r="AV14" s="62" t="s">
        <v>153</v>
      </c>
      <c r="AW14" s="466"/>
      <c r="AX14" s="465"/>
      <c r="AY14" s="466"/>
      <c r="AZ14" s="465"/>
      <c r="BA14" s="63">
        <f>(0/9)</f>
        <v>0</v>
      </c>
      <c r="BB14" s="72">
        <f>+U14</f>
        <v>0.89</v>
      </c>
      <c r="BC14" s="63">
        <f>+BA14/BB14</f>
        <v>0</v>
      </c>
      <c r="BD14" s="62" t="s">
        <v>154</v>
      </c>
      <c r="BE14" s="466"/>
      <c r="BF14" s="465"/>
      <c r="BG14" s="466"/>
      <c r="BH14" s="465"/>
      <c r="BI14" s="63">
        <f>(0/9)</f>
        <v>0</v>
      </c>
      <c r="BJ14" s="72">
        <v>0.89</v>
      </c>
      <c r="BK14" s="63">
        <f>+BI14/BJ14</f>
        <v>0</v>
      </c>
      <c r="BL14" s="62" t="s">
        <v>155</v>
      </c>
      <c r="BM14" s="466"/>
      <c r="BN14" s="465"/>
      <c r="BO14" s="466"/>
      <c r="BP14" s="465"/>
      <c r="BQ14" s="470"/>
      <c r="BR14" s="471"/>
      <c r="BS14" s="471"/>
      <c r="BT14" s="472"/>
      <c r="BU14" s="392"/>
      <c r="BV14" s="391"/>
      <c r="BW14" s="392"/>
      <c r="BX14" s="391"/>
      <c r="BY14" s="394"/>
      <c r="BZ14" s="395"/>
      <c r="CA14" s="395"/>
      <c r="CB14" s="396"/>
      <c r="CC14" s="392"/>
      <c r="CD14" s="391"/>
      <c r="CE14" s="392"/>
      <c r="CF14" s="391"/>
      <c r="CG14" s="394"/>
      <c r="CH14" s="395"/>
      <c r="CI14" s="395"/>
      <c r="CJ14" s="396"/>
      <c r="CK14" s="392"/>
      <c r="CL14" s="391"/>
      <c r="CM14" s="392"/>
      <c r="CN14" s="391"/>
      <c r="CO14" s="394"/>
      <c r="CP14" s="395"/>
      <c r="CQ14" s="395"/>
      <c r="CR14" s="396"/>
      <c r="CS14" s="56"/>
      <c r="CT14" s="56"/>
      <c r="CU14" s="56"/>
      <c r="CV14" s="56"/>
      <c r="CW14" s="56"/>
      <c r="CX14" s="56"/>
      <c r="CY14" s="56"/>
      <c r="CZ14" s="56"/>
      <c r="DA14" s="56"/>
      <c r="DB14" s="56"/>
      <c r="DC14" s="56"/>
      <c r="DD14" s="56"/>
      <c r="DE14" s="56"/>
      <c r="DF14" s="56"/>
      <c r="DG14" s="56"/>
      <c r="DH14" s="56"/>
      <c r="DI14" s="56"/>
      <c r="DJ14" s="56"/>
      <c r="DK14" s="56"/>
      <c r="DL14" s="56"/>
      <c r="DM14" s="56"/>
      <c r="DN14" s="56"/>
      <c r="DO14" s="56"/>
      <c r="DP14" s="56"/>
      <c r="DQ14" s="56"/>
      <c r="DR14" s="56"/>
      <c r="DS14" s="56"/>
      <c r="DT14" s="56"/>
      <c r="DU14" s="56"/>
      <c r="DV14" s="56"/>
      <c r="DW14" s="56"/>
      <c r="DX14" s="56"/>
      <c r="DY14" s="56"/>
      <c r="DZ14" s="56"/>
      <c r="EA14" s="56"/>
      <c r="EB14" s="56"/>
      <c r="EC14" s="56"/>
      <c r="ED14" s="56"/>
      <c r="EE14" s="56"/>
      <c r="EF14" s="56"/>
      <c r="EG14" s="56"/>
      <c r="EH14" s="56"/>
      <c r="EI14" s="56"/>
      <c r="EJ14" s="56"/>
      <c r="EK14" s="56"/>
      <c r="EL14" s="56"/>
      <c r="EM14" s="56"/>
      <c r="EN14" s="56"/>
      <c r="EO14" s="56"/>
      <c r="EP14" s="56"/>
      <c r="EQ14" s="56"/>
      <c r="ER14" s="56"/>
      <c r="ES14" s="56"/>
      <c r="ET14" s="56"/>
      <c r="EU14" s="56"/>
      <c r="EV14" s="56"/>
      <c r="EW14" s="56"/>
      <c r="EX14" s="56"/>
      <c r="EY14" s="56"/>
      <c r="EZ14" s="56"/>
      <c r="FA14" s="56"/>
      <c r="FB14" s="56"/>
      <c r="FC14" s="56"/>
      <c r="FD14" s="56"/>
      <c r="FE14" s="56"/>
      <c r="FF14" s="56"/>
      <c r="FG14" s="56"/>
      <c r="FH14" s="56"/>
      <c r="FI14" s="56"/>
      <c r="FJ14" s="56"/>
      <c r="FK14" s="56"/>
      <c r="FL14" s="56"/>
      <c r="FM14" s="56"/>
      <c r="FN14" s="56"/>
      <c r="FO14" s="56"/>
      <c r="FP14" s="56"/>
      <c r="FQ14" s="56"/>
      <c r="FR14" s="56"/>
      <c r="FS14" s="56"/>
      <c r="FT14" s="56"/>
      <c r="FU14" s="56"/>
      <c r="FV14" s="56"/>
      <c r="FW14" s="56"/>
      <c r="FX14" s="56"/>
      <c r="FY14" s="56"/>
      <c r="FZ14" s="56"/>
      <c r="GA14" s="56"/>
      <c r="GB14" s="56"/>
      <c r="GC14" s="56"/>
      <c r="GD14" s="56"/>
      <c r="GE14" s="56"/>
      <c r="GF14" s="56"/>
      <c r="GG14" s="56"/>
      <c r="GH14" s="56"/>
      <c r="GI14" s="56"/>
      <c r="GJ14" s="56"/>
      <c r="GK14" s="56"/>
      <c r="GL14" s="56"/>
      <c r="GM14" s="56"/>
      <c r="GN14" s="56"/>
      <c r="GO14" s="56"/>
      <c r="GP14" s="56"/>
      <c r="GQ14" s="56"/>
      <c r="GR14" s="56"/>
      <c r="GS14" s="56"/>
      <c r="GT14" s="56"/>
      <c r="GU14" s="56"/>
      <c r="GV14" s="56"/>
      <c r="GW14" s="56"/>
      <c r="GX14" s="56"/>
      <c r="GY14" s="56"/>
      <c r="GZ14" s="56"/>
      <c r="HA14" s="56"/>
      <c r="HB14" s="56"/>
      <c r="HC14" s="56"/>
      <c r="HD14" s="56"/>
      <c r="HE14" s="56"/>
      <c r="HF14" s="56"/>
      <c r="HG14" s="56"/>
      <c r="HH14" s="56"/>
      <c r="HI14" s="56"/>
      <c r="HJ14" s="56"/>
      <c r="HK14" s="56"/>
      <c r="HL14" s="56"/>
      <c r="HM14" s="56"/>
      <c r="HN14" s="56"/>
      <c r="HO14" s="56"/>
      <c r="HP14" s="56"/>
      <c r="HQ14" s="56"/>
      <c r="HR14" s="56"/>
      <c r="HS14" s="56"/>
      <c r="HT14" s="56"/>
      <c r="HU14" s="56"/>
      <c r="HV14" s="56"/>
      <c r="HW14" s="56"/>
      <c r="HX14" s="56"/>
      <c r="HY14" s="56"/>
      <c r="HZ14" s="56"/>
      <c r="IA14" s="56"/>
      <c r="IB14" s="56"/>
      <c r="IC14" s="56"/>
      <c r="ID14" s="56"/>
      <c r="IE14" s="56"/>
      <c r="IF14" s="56"/>
      <c r="IG14" s="56"/>
      <c r="IH14" s="56"/>
      <c r="II14" s="56"/>
      <c r="IJ14" s="56"/>
      <c r="IK14" s="56"/>
      <c r="IL14" s="56"/>
      <c r="IM14" s="56"/>
      <c r="IN14" s="56"/>
      <c r="IO14" s="56"/>
      <c r="IP14" s="56"/>
      <c r="IQ14" s="56"/>
      <c r="IR14" s="56"/>
      <c r="IS14" s="56"/>
      <c r="IT14" s="56"/>
      <c r="IU14" s="56"/>
      <c r="IV14" s="56"/>
      <c r="IW14" s="56"/>
      <c r="IX14" s="56"/>
      <c r="IY14" s="56"/>
      <c r="IZ14" s="56"/>
      <c r="JA14" s="56"/>
      <c r="JB14" s="56"/>
      <c r="JC14" s="56"/>
      <c r="JD14" s="56"/>
      <c r="JE14" s="56"/>
      <c r="JF14" s="56"/>
      <c r="JG14" s="56"/>
      <c r="JH14" s="56"/>
      <c r="JI14" s="56"/>
      <c r="JJ14" s="56"/>
      <c r="JK14" s="56"/>
      <c r="JL14" s="56"/>
      <c r="JM14" s="56"/>
      <c r="JN14" s="56"/>
      <c r="JO14" s="56"/>
      <c r="JP14" s="56"/>
      <c r="JQ14" s="56"/>
      <c r="JR14" s="56"/>
      <c r="JS14" s="56"/>
      <c r="JT14" s="56"/>
      <c r="JU14" s="56"/>
      <c r="JV14" s="56"/>
      <c r="JW14" s="56"/>
      <c r="JX14" s="56"/>
      <c r="JY14" s="56"/>
      <c r="JZ14" s="56"/>
      <c r="KA14" s="56"/>
      <c r="KB14" s="56"/>
      <c r="KC14" s="56"/>
      <c r="KD14" s="56"/>
      <c r="KE14" s="56"/>
      <c r="KF14" s="56"/>
      <c r="KG14" s="56"/>
      <c r="KH14" s="56"/>
      <c r="KI14" s="56"/>
      <c r="KJ14" s="56"/>
      <c r="KK14" s="56"/>
      <c r="KL14" s="56"/>
      <c r="KM14" s="56"/>
      <c r="KN14" s="56"/>
      <c r="KO14" s="56"/>
      <c r="KP14" s="56"/>
      <c r="KQ14" s="56"/>
      <c r="KR14" s="56"/>
      <c r="KS14" s="56"/>
      <c r="KT14" s="56"/>
      <c r="KU14" s="56"/>
      <c r="KV14" s="56"/>
      <c r="KW14" s="56"/>
      <c r="KX14" s="56"/>
      <c r="KY14" s="56"/>
      <c r="KZ14" s="56"/>
      <c r="LA14" s="56"/>
      <c r="LB14" s="56"/>
      <c r="LC14" s="56"/>
      <c r="LD14" s="56"/>
      <c r="LE14" s="56"/>
      <c r="LF14" s="56"/>
      <c r="LG14" s="56"/>
      <c r="LH14" s="56"/>
      <c r="LI14" s="56"/>
      <c r="LJ14" s="56"/>
      <c r="LK14" s="56"/>
      <c r="LL14" s="56"/>
      <c r="LM14" s="56"/>
      <c r="LN14" s="56"/>
      <c r="LO14" s="56"/>
      <c r="LP14" s="56"/>
      <c r="LQ14" s="56"/>
      <c r="LR14" s="56"/>
      <c r="LS14" s="56"/>
      <c r="LT14" s="56"/>
      <c r="LU14" s="56"/>
      <c r="LV14" s="56"/>
      <c r="LW14" s="56"/>
      <c r="LX14" s="56"/>
      <c r="LY14" s="56"/>
      <c r="LZ14" s="56"/>
      <c r="MA14" s="56"/>
      <c r="MB14" s="56"/>
      <c r="MC14" s="56"/>
      <c r="MD14" s="56"/>
      <c r="ME14" s="56"/>
      <c r="MF14" s="56"/>
      <c r="MG14" s="56"/>
      <c r="MH14" s="56"/>
      <c r="MI14" s="56"/>
      <c r="MJ14" s="56"/>
      <c r="MK14" s="56"/>
      <c r="ML14" s="56"/>
      <c r="MM14" s="56"/>
      <c r="MN14" s="56"/>
      <c r="MO14" s="56"/>
      <c r="MP14" s="56"/>
      <c r="MQ14" s="56"/>
      <c r="MR14" s="56"/>
      <c r="MS14" s="56"/>
      <c r="MT14" s="56"/>
      <c r="MU14" s="56"/>
      <c r="MV14" s="56"/>
      <c r="MW14" s="56"/>
      <c r="MX14" s="56"/>
      <c r="MY14" s="56"/>
      <c r="MZ14" s="56"/>
      <c r="NA14" s="56"/>
      <c r="NB14" s="56"/>
      <c r="NC14" s="56"/>
      <c r="ND14" s="56"/>
      <c r="NE14" s="56"/>
      <c r="NF14" s="56"/>
      <c r="NG14" s="56"/>
      <c r="NH14" s="56"/>
      <c r="NI14" s="56"/>
      <c r="NJ14" s="56"/>
      <c r="NK14" s="56"/>
      <c r="NL14" s="56"/>
      <c r="NM14" s="56"/>
      <c r="NN14" s="56"/>
      <c r="NO14" s="56"/>
      <c r="NP14" s="56"/>
      <c r="NQ14" s="56"/>
      <c r="NR14" s="56"/>
      <c r="NS14" s="56"/>
      <c r="NT14" s="56"/>
      <c r="NU14" s="56"/>
      <c r="NV14" s="56"/>
      <c r="NW14" s="56"/>
      <c r="NX14" s="56"/>
      <c r="NY14" s="56"/>
      <c r="NZ14" s="56"/>
      <c r="OA14" s="56"/>
      <c r="OB14" s="56"/>
      <c r="OC14" s="56"/>
      <c r="OD14" s="56"/>
      <c r="OE14" s="56"/>
      <c r="OF14" s="56"/>
      <c r="OG14" s="56"/>
      <c r="OH14" s="56"/>
      <c r="OI14" s="56"/>
      <c r="OJ14" s="56"/>
      <c r="OK14" s="56"/>
      <c r="OL14" s="56"/>
      <c r="OM14" s="56"/>
      <c r="ON14" s="56"/>
      <c r="OO14" s="56"/>
      <c r="OP14" s="56"/>
      <c r="OQ14" s="56"/>
      <c r="OR14" s="56"/>
      <c r="OS14" s="56"/>
      <c r="OT14" s="56"/>
      <c r="OU14" s="56"/>
      <c r="OV14" s="56"/>
      <c r="OW14" s="56"/>
      <c r="OX14" s="56"/>
      <c r="OY14" s="56"/>
      <c r="OZ14" s="56"/>
      <c r="PA14" s="56"/>
      <c r="PB14" s="56"/>
      <c r="PC14" s="56"/>
      <c r="PD14" s="56"/>
      <c r="PE14" s="56"/>
      <c r="PF14" s="56"/>
      <c r="PG14" s="56"/>
      <c r="PH14" s="56"/>
      <c r="PI14" s="56"/>
      <c r="PJ14" s="56"/>
      <c r="PK14" s="56"/>
      <c r="PL14" s="56"/>
      <c r="PM14" s="56"/>
      <c r="PN14" s="56"/>
      <c r="PO14" s="56"/>
      <c r="PP14" s="56"/>
      <c r="PQ14" s="56"/>
      <c r="PR14" s="56"/>
      <c r="PS14" s="56"/>
      <c r="PT14" s="56"/>
      <c r="PU14" s="56"/>
      <c r="PV14" s="56"/>
      <c r="PW14" s="56"/>
      <c r="PX14" s="56"/>
      <c r="PY14" s="56"/>
      <c r="PZ14" s="56"/>
      <c r="QA14" s="56"/>
      <c r="QB14" s="56"/>
      <c r="QC14" s="56"/>
      <c r="QD14" s="56"/>
      <c r="QE14" s="56"/>
      <c r="QF14" s="56"/>
      <c r="QG14" s="56"/>
      <c r="QH14" s="56"/>
      <c r="QI14" s="56"/>
      <c r="QJ14" s="56"/>
      <c r="QK14" s="56"/>
      <c r="QL14" s="56"/>
      <c r="QM14" s="56"/>
      <c r="QN14" s="56"/>
      <c r="QO14" s="56"/>
      <c r="QP14" s="56"/>
      <c r="QQ14" s="56"/>
      <c r="QR14" s="56"/>
      <c r="QS14" s="56"/>
      <c r="QT14" s="56"/>
      <c r="QU14" s="56"/>
      <c r="QV14" s="56"/>
      <c r="QW14" s="56"/>
      <c r="QX14" s="56"/>
      <c r="QY14" s="56"/>
      <c r="QZ14" s="56"/>
      <c r="RA14" s="56"/>
      <c r="RB14" s="56"/>
      <c r="RC14" s="56"/>
      <c r="RD14" s="56"/>
      <c r="RE14" s="56"/>
      <c r="RF14" s="56"/>
      <c r="RG14" s="56"/>
      <c r="RH14" s="56"/>
      <c r="RI14" s="56"/>
      <c r="RJ14" s="56"/>
      <c r="RK14" s="56"/>
      <c r="RL14" s="56"/>
      <c r="RM14" s="56"/>
      <c r="RN14" s="56"/>
      <c r="RO14" s="56"/>
      <c r="RP14" s="56"/>
      <c r="RQ14" s="56"/>
      <c r="RR14" s="56"/>
      <c r="RS14" s="56"/>
      <c r="RT14" s="56"/>
      <c r="RU14" s="56"/>
      <c r="RV14" s="56"/>
      <c r="RW14" s="56"/>
      <c r="RX14" s="56"/>
      <c r="RY14" s="56"/>
      <c r="RZ14" s="56"/>
      <c r="SA14" s="56"/>
      <c r="SB14" s="56"/>
      <c r="SC14" s="56"/>
      <c r="SD14" s="56"/>
      <c r="SE14" s="56"/>
      <c r="SF14" s="56"/>
      <c r="SG14" s="56"/>
      <c r="SH14" s="56"/>
      <c r="SI14" s="56"/>
      <c r="SJ14" s="56"/>
      <c r="SK14" s="56"/>
      <c r="SL14" s="56"/>
      <c r="SM14" s="56"/>
      <c r="SN14" s="56"/>
      <c r="SO14" s="56"/>
      <c r="SP14" s="56"/>
      <c r="SQ14" s="56"/>
      <c r="SR14" s="56"/>
      <c r="SS14" s="56"/>
      <c r="ST14" s="56"/>
      <c r="SU14" s="56"/>
      <c r="SV14" s="56"/>
      <c r="SW14" s="56"/>
      <c r="SX14" s="56"/>
      <c r="SY14" s="56"/>
      <c r="SZ14" s="56"/>
      <c r="TA14" s="56"/>
      <c r="TB14" s="56"/>
      <c r="TC14" s="56"/>
      <c r="TD14" s="56"/>
      <c r="TE14" s="56"/>
      <c r="TF14" s="56"/>
      <c r="TG14" s="56"/>
      <c r="TH14" s="56"/>
      <c r="TI14" s="56"/>
      <c r="TJ14" s="56"/>
      <c r="TK14" s="56"/>
      <c r="TL14" s="56"/>
      <c r="TM14" s="56"/>
      <c r="TN14" s="56"/>
      <c r="TO14" s="56"/>
      <c r="TP14" s="56"/>
      <c r="TQ14" s="56"/>
      <c r="TR14" s="56"/>
      <c r="TS14" s="56"/>
      <c r="TT14" s="56"/>
      <c r="TU14" s="56"/>
      <c r="TV14" s="56"/>
      <c r="TW14" s="56"/>
      <c r="TX14" s="56"/>
      <c r="TY14" s="56"/>
      <c r="TZ14" s="56"/>
      <c r="UA14" s="56"/>
      <c r="UB14" s="56"/>
      <c r="UC14" s="56"/>
      <c r="UD14" s="56"/>
      <c r="UE14" s="56"/>
      <c r="UF14" s="56"/>
      <c r="UG14" s="56"/>
      <c r="UH14" s="56"/>
      <c r="UI14" s="56"/>
      <c r="UJ14" s="56"/>
      <c r="UK14" s="56"/>
      <c r="UL14" s="56"/>
      <c r="UM14" s="56"/>
      <c r="UN14" s="56"/>
      <c r="UO14" s="56"/>
      <c r="UP14" s="56"/>
      <c r="UQ14" s="56"/>
      <c r="UR14" s="56"/>
      <c r="US14" s="56"/>
      <c r="UT14" s="56"/>
      <c r="UU14" s="56"/>
      <c r="UV14" s="56"/>
      <c r="UW14" s="56"/>
      <c r="UX14" s="56"/>
      <c r="UY14" s="56"/>
      <c r="UZ14" s="56"/>
      <c r="VA14" s="56"/>
      <c r="VB14" s="56"/>
      <c r="VC14" s="56"/>
      <c r="VD14" s="56"/>
      <c r="VE14" s="56"/>
      <c r="VF14" s="56"/>
      <c r="VG14" s="56"/>
      <c r="VH14" s="56"/>
      <c r="VI14" s="56"/>
      <c r="VJ14" s="56"/>
      <c r="VK14" s="56"/>
      <c r="VL14" s="56"/>
      <c r="VM14" s="56"/>
      <c r="VN14" s="56"/>
      <c r="VO14" s="56"/>
      <c r="VP14" s="56"/>
      <c r="VQ14" s="56"/>
      <c r="VR14" s="56"/>
      <c r="VS14" s="56"/>
      <c r="VT14" s="56"/>
      <c r="VU14" s="56"/>
      <c r="VV14" s="56"/>
      <c r="VW14" s="56"/>
      <c r="VX14" s="56"/>
      <c r="VY14" s="56"/>
      <c r="VZ14" s="56"/>
      <c r="WA14" s="56"/>
      <c r="WB14" s="56"/>
      <c r="WC14" s="56"/>
      <c r="WD14" s="56"/>
      <c r="WE14" s="56"/>
      <c r="WF14" s="56"/>
      <c r="WG14" s="56"/>
      <c r="WH14" s="56"/>
      <c r="WI14" s="56"/>
      <c r="WJ14" s="56"/>
      <c r="WK14" s="56"/>
      <c r="WL14" s="56"/>
      <c r="WM14" s="56"/>
      <c r="WN14" s="56"/>
      <c r="WO14" s="56"/>
      <c r="WP14" s="56"/>
      <c r="WQ14" s="56"/>
      <c r="WR14" s="56"/>
      <c r="WS14" s="56"/>
      <c r="WT14" s="56"/>
      <c r="WU14" s="56"/>
      <c r="WV14" s="56"/>
      <c r="WW14" s="56"/>
      <c r="WX14" s="56"/>
      <c r="WY14" s="56"/>
      <c r="WZ14" s="56"/>
      <c r="XA14" s="56"/>
      <c r="XB14" s="56"/>
      <c r="XC14" s="56"/>
      <c r="XD14" s="56"/>
      <c r="XE14" s="56"/>
      <c r="XF14" s="56"/>
      <c r="XG14" s="56"/>
      <c r="XH14" s="56"/>
      <c r="XI14" s="56"/>
      <c r="XJ14" s="56"/>
      <c r="XK14" s="56"/>
      <c r="XL14" s="56"/>
      <c r="XM14" s="56"/>
      <c r="XN14" s="56"/>
      <c r="XO14" s="56"/>
      <c r="XP14" s="56"/>
      <c r="XQ14" s="56"/>
      <c r="XR14" s="56"/>
      <c r="XS14" s="56"/>
      <c r="XT14" s="56"/>
      <c r="XU14" s="56"/>
      <c r="XV14" s="56"/>
      <c r="XW14" s="56"/>
      <c r="XX14" s="56"/>
      <c r="XY14" s="56"/>
      <c r="XZ14" s="56"/>
      <c r="YA14" s="56"/>
      <c r="YB14" s="56"/>
      <c r="YC14" s="56"/>
      <c r="YD14" s="56"/>
      <c r="YE14" s="56"/>
      <c r="YF14" s="56"/>
      <c r="YG14" s="56"/>
      <c r="YH14" s="56"/>
      <c r="YI14" s="56"/>
      <c r="YJ14" s="56"/>
      <c r="YK14" s="56"/>
      <c r="YL14" s="56"/>
      <c r="YM14" s="56"/>
      <c r="YN14" s="56"/>
      <c r="YO14" s="56"/>
      <c r="YP14" s="56"/>
      <c r="YQ14" s="56"/>
      <c r="YR14" s="56"/>
      <c r="YS14" s="56"/>
      <c r="YT14" s="56"/>
      <c r="YU14" s="56"/>
      <c r="YV14" s="56"/>
      <c r="YW14" s="56"/>
      <c r="YX14" s="56"/>
      <c r="YY14" s="56"/>
      <c r="YZ14" s="56"/>
      <c r="ZA14" s="56"/>
      <c r="ZB14" s="56"/>
      <c r="ZC14" s="56"/>
      <c r="ZD14" s="56"/>
      <c r="ZE14" s="56"/>
      <c r="ZF14" s="56"/>
      <c r="ZG14" s="56"/>
      <c r="ZH14" s="56"/>
      <c r="ZI14" s="56"/>
      <c r="ZJ14" s="56"/>
      <c r="ZK14" s="56"/>
      <c r="ZL14" s="56"/>
      <c r="ZM14" s="56"/>
      <c r="ZN14" s="56"/>
      <c r="ZO14" s="56"/>
      <c r="ZP14" s="56"/>
      <c r="ZQ14" s="56"/>
      <c r="ZR14" s="56"/>
      <c r="ZS14" s="56"/>
      <c r="ZT14" s="56"/>
      <c r="ZU14" s="56"/>
      <c r="ZV14" s="56"/>
      <c r="ZW14" s="56"/>
      <c r="ZX14" s="56"/>
      <c r="ZY14" s="56"/>
      <c r="ZZ14" s="56"/>
      <c r="AAA14" s="56"/>
      <c r="AAB14" s="56"/>
      <c r="AAC14" s="56"/>
      <c r="AAD14" s="56"/>
      <c r="AAE14" s="56"/>
      <c r="AAF14" s="56"/>
    </row>
    <row r="15" spans="1:708" s="18" customFormat="1" ht="70.5" customHeight="1" x14ac:dyDescent="0.25">
      <c r="A15" s="39"/>
      <c r="B15" s="39"/>
      <c r="C15" s="39"/>
      <c r="D15" s="39"/>
      <c r="E15" s="39"/>
      <c r="F15" s="39"/>
      <c r="G15" s="39"/>
      <c r="H15" s="39"/>
      <c r="I15" s="39"/>
      <c r="J15" s="39"/>
      <c r="K15" s="39"/>
      <c r="L15" s="39"/>
      <c r="M15" s="39"/>
      <c r="N15" s="39"/>
      <c r="O15" s="39"/>
      <c r="P15" s="40"/>
      <c r="Q15" s="39"/>
      <c r="R15" s="39"/>
      <c r="S15" s="40"/>
      <c r="T15" s="39"/>
      <c r="U15" s="39"/>
      <c r="V15" s="41"/>
      <c r="W15" s="448"/>
      <c r="X15" s="39"/>
      <c r="Y15" s="382" t="s">
        <v>102</v>
      </c>
      <c r="Z15" s="382"/>
      <c r="AA15" s="42">
        <f>AVERAGE(AA11:AA14)</f>
        <v>0.58054775280898885</v>
      </c>
      <c r="AB15" s="73"/>
      <c r="AC15" s="382" t="s">
        <v>103</v>
      </c>
      <c r="AD15" s="382"/>
      <c r="AE15" s="42">
        <f>AVERAGE(AE11:AE14)</f>
        <v>0.31423220973782773</v>
      </c>
      <c r="AF15" s="44"/>
      <c r="AG15" s="459" t="s">
        <v>102</v>
      </c>
      <c r="AH15" s="459"/>
      <c r="AI15" s="42">
        <f>AVERAGE(AI11:AI14)</f>
        <v>0.61179775280898885</v>
      </c>
      <c r="AJ15" s="74"/>
      <c r="AK15" s="459" t="s">
        <v>103</v>
      </c>
      <c r="AL15" s="459"/>
      <c r="AM15" s="42">
        <f>AVERAGE(AM11:AM14)</f>
        <v>0.32673220973782774</v>
      </c>
      <c r="AN15" s="45"/>
      <c r="AO15" s="382" t="s">
        <v>102</v>
      </c>
      <c r="AP15" s="382"/>
      <c r="AQ15" s="42">
        <f>AVERAGE(AQ11:AQ14)</f>
        <v>0.63054775280898878</v>
      </c>
      <c r="AR15" s="73"/>
      <c r="AS15" s="382" t="s">
        <v>103</v>
      </c>
      <c r="AT15" s="382"/>
      <c r="AU15" s="42">
        <f>AVERAGE(AU11:AU14)</f>
        <v>0.3350655430711611</v>
      </c>
      <c r="AV15" s="44"/>
      <c r="AW15" s="459" t="s">
        <v>102</v>
      </c>
      <c r="AX15" s="459"/>
      <c r="AY15" s="46">
        <f>AVERAGE(AY11:AY14)</f>
        <v>0.64929775280898883</v>
      </c>
      <c r="AZ15" s="74"/>
      <c r="BA15" s="459" t="s">
        <v>103</v>
      </c>
      <c r="BB15" s="459"/>
      <c r="BC15" s="46">
        <f>AVERAGE(BC11:BC14)</f>
        <v>0.3433988764044944</v>
      </c>
      <c r="BD15" s="45"/>
      <c r="BE15" s="459" t="s">
        <v>102</v>
      </c>
      <c r="BF15" s="459"/>
      <c r="BG15" s="46">
        <f>AVERAGE(BG11:BG14)</f>
        <v>0.66179775280898878</v>
      </c>
      <c r="BH15" s="74"/>
      <c r="BI15" s="382" t="s">
        <v>103</v>
      </c>
      <c r="BJ15" s="382"/>
      <c r="BK15" s="42">
        <f>AVERAGE(BK11:BK14)</f>
        <v>0.3433988764044944</v>
      </c>
      <c r="BL15" s="44"/>
      <c r="BM15" s="459" t="s">
        <v>102</v>
      </c>
      <c r="BN15" s="459"/>
      <c r="BO15" s="46">
        <f>AVERAGE(BO11:BO14)</f>
        <v>0.66179775280898878</v>
      </c>
      <c r="BP15" s="74"/>
      <c r="BQ15" s="459" t="s">
        <v>103</v>
      </c>
      <c r="BR15" s="459"/>
      <c r="BS15" s="46">
        <f>AVERAGE(BS11:BS14)</f>
        <v>0.45786516853932585</v>
      </c>
      <c r="BT15" s="45"/>
      <c r="BU15" s="382" t="s">
        <v>102</v>
      </c>
      <c r="BV15" s="382"/>
      <c r="BW15" s="42">
        <f>AVERAGE(BW11:BW14)</f>
        <v>0.66179775280898878</v>
      </c>
      <c r="BX15" s="73"/>
      <c r="BY15" s="382" t="s">
        <v>103</v>
      </c>
      <c r="BZ15" s="382"/>
      <c r="CA15" s="42">
        <f>AVERAGE(CA11:CA14)</f>
        <v>0.46527257594673327</v>
      </c>
      <c r="CB15" s="44"/>
      <c r="CC15" s="382" t="s">
        <v>102</v>
      </c>
      <c r="CD15" s="382"/>
      <c r="CE15" s="42">
        <f>AVERAGE(CE11:CE14)</f>
        <v>0.66179775280898878</v>
      </c>
      <c r="CF15" s="73"/>
      <c r="CG15" s="382" t="s">
        <v>103</v>
      </c>
      <c r="CH15" s="382"/>
      <c r="CI15" s="42">
        <f>AVERAGE(CI11:CI14)</f>
        <v>0.46527257594673327</v>
      </c>
      <c r="CJ15" s="44"/>
      <c r="CK15" s="382" t="s">
        <v>102</v>
      </c>
      <c r="CL15" s="382"/>
      <c r="CM15" s="42">
        <f>AVERAGE(CM11:CM14)</f>
        <v>0.66179775280898878</v>
      </c>
      <c r="CN15" s="73"/>
      <c r="CO15" s="382" t="s">
        <v>103</v>
      </c>
      <c r="CP15" s="382"/>
      <c r="CQ15" s="42">
        <f>AVERAGE(CQ11:CQ14)</f>
        <v>0.47267998335414063</v>
      </c>
      <c r="CR15" s="44"/>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c r="IX15" s="17"/>
      <c r="IY15" s="17"/>
      <c r="IZ15" s="17"/>
      <c r="JA15" s="17"/>
      <c r="JB15" s="17"/>
      <c r="JC15" s="17"/>
      <c r="JD15" s="17"/>
      <c r="JE15" s="17"/>
      <c r="JF15" s="17"/>
      <c r="JG15" s="17"/>
      <c r="JH15" s="17"/>
      <c r="JI15" s="17"/>
      <c r="JJ15" s="17"/>
      <c r="JK15" s="17"/>
      <c r="JL15" s="17"/>
      <c r="JM15" s="17"/>
      <c r="JN15" s="17"/>
      <c r="JO15" s="17"/>
      <c r="JP15" s="17"/>
      <c r="JQ15" s="17"/>
      <c r="JR15" s="17"/>
      <c r="JS15" s="17"/>
      <c r="JT15" s="17"/>
      <c r="JU15" s="17"/>
      <c r="JV15" s="17"/>
      <c r="JW15" s="17"/>
      <c r="JX15" s="17"/>
      <c r="JY15" s="17"/>
      <c r="JZ15" s="17"/>
      <c r="KA15" s="17"/>
      <c r="KB15" s="17"/>
      <c r="KC15" s="17"/>
      <c r="KD15" s="17"/>
      <c r="KE15" s="17"/>
      <c r="KF15" s="17"/>
      <c r="KG15" s="17"/>
      <c r="KH15" s="17"/>
      <c r="KI15" s="17"/>
      <c r="KJ15" s="17"/>
      <c r="KK15" s="17"/>
      <c r="KL15" s="17"/>
      <c r="KM15" s="17"/>
      <c r="KN15" s="17"/>
      <c r="KO15" s="17"/>
      <c r="KP15" s="17"/>
      <c r="KQ15" s="17"/>
      <c r="KR15" s="17"/>
      <c r="KS15" s="17"/>
      <c r="KT15" s="17"/>
      <c r="KU15" s="17"/>
      <c r="KV15" s="17"/>
      <c r="KW15" s="17"/>
      <c r="KX15" s="17"/>
      <c r="KY15" s="17"/>
      <c r="KZ15" s="17"/>
      <c r="LA15" s="17"/>
      <c r="LB15" s="17"/>
      <c r="LC15" s="17"/>
      <c r="LD15" s="17"/>
      <c r="LE15" s="17"/>
      <c r="LF15" s="17"/>
      <c r="LG15" s="17"/>
      <c r="LH15" s="17"/>
      <c r="LI15" s="17"/>
      <c r="LJ15" s="17"/>
      <c r="LK15" s="17"/>
      <c r="LL15" s="17"/>
      <c r="LM15" s="17"/>
      <c r="LN15" s="17"/>
      <c r="LO15" s="17"/>
      <c r="LP15" s="17"/>
      <c r="LQ15" s="17"/>
      <c r="LR15" s="17"/>
      <c r="LS15" s="17"/>
      <c r="LT15" s="17"/>
      <c r="LU15" s="17"/>
      <c r="LV15" s="17"/>
      <c r="LW15" s="17"/>
      <c r="LX15" s="17"/>
      <c r="LY15" s="17"/>
      <c r="LZ15" s="17"/>
      <c r="MA15" s="17"/>
      <c r="MB15" s="17"/>
      <c r="MC15" s="17"/>
      <c r="MD15" s="17"/>
      <c r="ME15" s="17"/>
      <c r="MF15" s="17"/>
      <c r="MG15" s="17"/>
      <c r="MH15" s="17"/>
      <c r="MI15" s="17"/>
      <c r="MJ15" s="17"/>
      <c r="MK15" s="17"/>
      <c r="ML15" s="17"/>
      <c r="MM15" s="17"/>
      <c r="MN15" s="17"/>
      <c r="MO15" s="17"/>
      <c r="MP15" s="17"/>
      <c r="MQ15" s="17"/>
      <c r="MR15" s="17"/>
      <c r="MS15" s="17"/>
      <c r="MT15" s="17"/>
      <c r="MU15" s="17"/>
      <c r="MV15" s="17"/>
      <c r="MW15" s="17"/>
      <c r="MX15" s="17"/>
      <c r="MY15" s="17"/>
      <c r="MZ15" s="17"/>
      <c r="NA15" s="17"/>
      <c r="NB15" s="17"/>
      <c r="NC15" s="17"/>
      <c r="ND15" s="17"/>
      <c r="NE15" s="17"/>
      <c r="NF15" s="17"/>
      <c r="NG15" s="17"/>
      <c r="NH15" s="17"/>
      <c r="NI15" s="17"/>
      <c r="NJ15" s="17"/>
      <c r="NK15" s="17"/>
      <c r="NL15" s="17"/>
      <c r="NM15" s="17"/>
      <c r="NN15" s="17"/>
      <c r="NO15" s="17"/>
      <c r="NP15" s="17"/>
      <c r="NQ15" s="17"/>
      <c r="NR15" s="17"/>
      <c r="NS15" s="17"/>
      <c r="NT15" s="17"/>
      <c r="NU15" s="17"/>
      <c r="NV15" s="17"/>
      <c r="NW15" s="17"/>
      <c r="NX15" s="17"/>
      <c r="NY15" s="17"/>
      <c r="NZ15" s="17"/>
      <c r="OA15" s="17"/>
      <c r="OB15" s="17"/>
      <c r="OC15" s="17"/>
      <c r="OD15" s="17"/>
      <c r="OE15" s="17"/>
      <c r="OF15" s="17"/>
      <c r="OG15" s="17"/>
      <c r="OH15" s="17"/>
      <c r="OI15" s="17"/>
      <c r="OJ15" s="17"/>
      <c r="OK15" s="17"/>
      <c r="OL15" s="17"/>
      <c r="OM15" s="17"/>
      <c r="ON15" s="17"/>
      <c r="OO15" s="17"/>
      <c r="OP15" s="17"/>
      <c r="OQ15" s="17"/>
      <c r="OR15" s="17"/>
      <c r="OS15" s="17"/>
      <c r="OT15" s="17"/>
      <c r="OU15" s="17"/>
      <c r="OV15" s="17"/>
      <c r="OW15" s="17"/>
      <c r="OX15" s="17"/>
      <c r="OY15" s="17"/>
      <c r="OZ15" s="17"/>
      <c r="PA15" s="17"/>
      <c r="PB15" s="17"/>
      <c r="PC15" s="17"/>
      <c r="PD15" s="17"/>
      <c r="PE15" s="17"/>
      <c r="PF15" s="17"/>
      <c r="PG15" s="17"/>
      <c r="PH15" s="17"/>
      <c r="PI15" s="17"/>
      <c r="PJ15" s="17"/>
      <c r="PK15" s="17"/>
      <c r="PL15" s="17"/>
      <c r="PM15" s="17"/>
      <c r="PN15" s="17"/>
      <c r="PO15" s="17"/>
      <c r="PP15" s="17"/>
      <c r="PQ15" s="17"/>
      <c r="PR15" s="17"/>
      <c r="PS15" s="17"/>
      <c r="PT15" s="17"/>
      <c r="PU15" s="17"/>
      <c r="PV15" s="17"/>
      <c r="PW15" s="17"/>
      <c r="PX15" s="17"/>
      <c r="PY15" s="17"/>
      <c r="PZ15" s="17"/>
      <c r="QA15" s="17"/>
      <c r="QB15" s="17"/>
      <c r="QC15" s="17"/>
      <c r="QD15" s="17"/>
      <c r="QE15" s="17"/>
      <c r="QF15" s="17"/>
      <c r="QG15" s="17"/>
      <c r="QH15" s="17"/>
      <c r="QI15" s="17"/>
      <c r="QJ15" s="17"/>
      <c r="QK15" s="17"/>
      <c r="QL15" s="17"/>
      <c r="QM15" s="17"/>
      <c r="QN15" s="17"/>
      <c r="QO15" s="17"/>
      <c r="QP15" s="17"/>
      <c r="QQ15" s="17"/>
      <c r="QR15" s="17"/>
      <c r="QS15" s="17"/>
      <c r="QT15" s="17"/>
      <c r="QU15" s="17"/>
      <c r="QV15" s="17"/>
      <c r="QW15" s="17"/>
      <c r="QX15" s="17"/>
      <c r="QY15" s="17"/>
      <c r="QZ15" s="17"/>
      <c r="RA15" s="17"/>
      <c r="RB15" s="17"/>
      <c r="RC15" s="17"/>
      <c r="RD15" s="17"/>
      <c r="RE15" s="17"/>
      <c r="RF15" s="17"/>
      <c r="RG15" s="17"/>
      <c r="RH15" s="17"/>
      <c r="RI15" s="17"/>
      <c r="RJ15" s="17"/>
      <c r="RK15" s="17"/>
      <c r="RL15" s="17"/>
      <c r="RM15" s="17"/>
      <c r="RN15" s="17"/>
      <c r="RO15" s="17"/>
      <c r="RP15" s="17"/>
      <c r="RQ15" s="17"/>
      <c r="RR15" s="17"/>
      <c r="RS15" s="17"/>
      <c r="RT15" s="17"/>
      <c r="RU15" s="17"/>
      <c r="RV15" s="17"/>
      <c r="RW15" s="17"/>
      <c r="RX15" s="17"/>
      <c r="RY15" s="17"/>
      <c r="RZ15" s="17"/>
      <c r="SA15" s="17"/>
      <c r="SB15" s="17"/>
      <c r="SC15" s="17"/>
      <c r="SD15" s="17"/>
      <c r="SE15" s="17"/>
      <c r="SF15" s="17"/>
      <c r="SG15" s="17"/>
      <c r="SH15" s="17"/>
      <c r="SI15" s="17"/>
      <c r="SJ15" s="17"/>
      <c r="SK15" s="17"/>
      <c r="SL15" s="17"/>
      <c r="SM15" s="17"/>
      <c r="SN15" s="17"/>
      <c r="SO15" s="17"/>
      <c r="SP15" s="17"/>
      <c r="SQ15" s="17"/>
      <c r="SR15" s="17"/>
      <c r="SS15" s="17"/>
      <c r="ST15" s="17"/>
      <c r="SU15" s="17"/>
      <c r="SV15" s="17"/>
      <c r="SW15" s="17"/>
      <c r="SX15" s="17"/>
      <c r="SY15" s="17"/>
      <c r="SZ15" s="17"/>
      <c r="TA15" s="17"/>
      <c r="TB15" s="17"/>
      <c r="TC15" s="17"/>
      <c r="TD15" s="17"/>
      <c r="TE15" s="17"/>
      <c r="TF15" s="17"/>
      <c r="TG15" s="17"/>
      <c r="TH15" s="17"/>
      <c r="TI15" s="17"/>
      <c r="TJ15" s="17"/>
      <c r="TK15" s="17"/>
      <c r="TL15" s="17"/>
      <c r="TM15" s="17"/>
      <c r="TN15" s="17"/>
      <c r="TO15" s="17"/>
      <c r="TP15" s="17"/>
      <c r="TQ15" s="17"/>
      <c r="TR15" s="17"/>
      <c r="TS15" s="17"/>
      <c r="TT15" s="17"/>
      <c r="TU15" s="17"/>
      <c r="TV15" s="17"/>
      <c r="TW15" s="17"/>
      <c r="TX15" s="17"/>
      <c r="TY15" s="17"/>
      <c r="TZ15" s="17"/>
      <c r="UA15" s="17"/>
      <c r="UB15" s="17"/>
      <c r="UC15" s="17"/>
      <c r="UD15" s="17"/>
      <c r="UE15" s="17"/>
      <c r="UF15" s="17"/>
      <c r="UG15" s="17"/>
      <c r="UH15" s="17"/>
      <c r="UI15" s="17"/>
      <c r="UJ15" s="17"/>
      <c r="UK15" s="17"/>
      <c r="UL15" s="17"/>
      <c r="UM15" s="17"/>
      <c r="UN15" s="17"/>
      <c r="UO15" s="17"/>
      <c r="UP15" s="17"/>
      <c r="UQ15" s="17"/>
      <c r="UR15" s="17"/>
      <c r="US15" s="17"/>
      <c r="UT15" s="17"/>
      <c r="UU15" s="17"/>
      <c r="UV15" s="17"/>
      <c r="UW15" s="17"/>
      <c r="UX15" s="17"/>
      <c r="UY15" s="17"/>
      <c r="UZ15" s="17"/>
      <c r="VA15" s="17"/>
      <c r="VB15" s="17"/>
      <c r="VC15" s="17"/>
      <c r="VD15" s="17"/>
      <c r="VE15" s="17"/>
      <c r="VF15" s="17"/>
      <c r="VG15" s="17"/>
      <c r="VH15" s="17"/>
      <c r="VI15" s="17"/>
      <c r="VJ15" s="17"/>
      <c r="VK15" s="17"/>
      <c r="VL15" s="17"/>
      <c r="VM15" s="17"/>
      <c r="VN15" s="17"/>
      <c r="VO15" s="17"/>
      <c r="VP15" s="17"/>
      <c r="VQ15" s="17"/>
      <c r="VR15" s="17"/>
      <c r="VS15" s="17"/>
      <c r="VT15" s="17"/>
      <c r="VU15" s="17"/>
      <c r="VV15" s="17"/>
      <c r="VW15" s="17"/>
      <c r="VX15" s="17"/>
      <c r="VY15" s="17"/>
      <c r="VZ15" s="17"/>
      <c r="WA15" s="17"/>
      <c r="WB15" s="17"/>
      <c r="WC15" s="17"/>
      <c r="WD15" s="17"/>
      <c r="WE15" s="17"/>
      <c r="WF15" s="17"/>
      <c r="WG15" s="17"/>
      <c r="WH15" s="17"/>
      <c r="WI15" s="17"/>
      <c r="WJ15" s="17"/>
      <c r="WK15" s="17"/>
      <c r="WL15" s="17"/>
      <c r="WM15" s="17"/>
      <c r="WN15" s="17"/>
      <c r="WO15" s="17"/>
      <c r="WP15" s="17"/>
      <c r="WQ15" s="17"/>
      <c r="WR15" s="17"/>
      <c r="WS15" s="17"/>
      <c r="WT15" s="17"/>
      <c r="WU15" s="17"/>
      <c r="WV15" s="17"/>
      <c r="WW15" s="17"/>
      <c r="WX15" s="17"/>
      <c r="WY15" s="17"/>
      <c r="WZ15" s="17"/>
      <c r="XA15" s="17"/>
      <c r="XB15" s="17"/>
      <c r="XC15" s="17"/>
      <c r="XD15" s="17"/>
      <c r="XE15" s="17"/>
      <c r="XF15" s="17"/>
      <c r="XG15" s="17"/>
      <c r="XH15" s="17"/>
      <c r="XI15" s="17"/>
      <c r="XJ15" s="17"/>
      <c r="XK15" s="17"/>
      <c r="XL15" s="17"/>
      <c r="XM15" s="17"/>
      <c r="XN15" s="17"/>
      <c r="XO15" s="17"/>
      <c r="XP15" s="17"/>
      <c r="XQ15" s="17"/>
      <c r="XR15" s="17"/>
      <c r="XS15" s="17"/>
      <c r="XT15" s="17"/>
      <c r="XU15" s="17"/>
      <c r="XV15" s="17"/>
      <c r="XW15" s="17"/>
      <c r="XX15" s="17"/>
      <c r="XY15" s="17"/>
      <c r="XZ15" s="17"/>
      <c r="YA15" s="17"/>
      <c r="YB15" s="17"/>
      <c r="YC15" s="17"/>
      <c r="YD15" s="17"/>
      <c r="YE15" s="17"/>
      <c r="YF15" s="17"/>
      <c r="YG15" s="17"/>
      <c r="YH15" s="17"/>
      <c r="YI15" s="17"/>
      <c r="YJ15" s="17"/>
      <c r="YK15" s="17"/>
      <c r="YL15" s="17"/>
      <c r="YM15" s="17"/>
      <c r="YN15" s="17"/>
      <c r="YO15" s="17"/>
      <c r="YP15" s="17"/>
      <c r="YQ15" s="17"/>
      <c r="YR15" s="17"/>
      <c r="YS15" s="17"/>
      <c r="YT15" s="17"/>
      <c r="YU15" s="17"/>
      <c r="YV15" s="17"/>
      <c r="YW15" s="17"/>
      <c r="YX15" s="17"/>
      <c r="YY15" s="17"/>
      <c r="YZ15" s="17"/>
      <c r="ZA15" s="17"/>
      <c r="ZB15" s="17"/>
      <c r="ZC15" s="17"/>
      <c r="ZD15" s="17"/>
      <c r="ZE15" s="17"/>
      <c r="ZF15" s="17"/>
      <c r="ZG15" s="17"/>
      <c r="ZH15" s="17"/>
      <c r="ZI15" s="17"/>
      <c r="ZJ15" s="17"/>
      <c r="ZK15" s="17"/>
      <c r="ZL15" s="17"/>
      <c r="ZM15" s="17"/>
      <c r="ZN15" s="17"/>
      <c r="ZO15" s="17"/>
      <c r="ZP15" s="17"/>
      <c r="ZQ15" s="17"/>
      <c r="ZR15" s="17"/>
      <c r="ZS15" s="17"/>
      <c r="ZT15" s="17"/>
      <c r="ZU15" s="17"/>
      <c r="ZV15" s="17"/>
      <c r="ZW15" s="17"/>
      <c r="ZX15" s="17"/>
      <c r="ZY15" s="17"/>
      <c r="ZZ15" s="17"/>
      <c r="AAA15" s="17"/>
      <c r="AAB15" s="17"/>
      <c r="AAC15" s="17"/>
      <c r="AAD15" s="17"/>
      <c r="AAE15" s="17"/>
      <c r="AAF15" s="17"/>
    </row>
    <row r="16" spans="1:708" ht="70.5" customHeight="1" x14ac:dyDescent="0.25">
      <c r="A16" s="461" t="s">
        <v>47</v>
      </c>
      <c r="B16" s="461" t="s">
        <v>48</v>
      </c>
      <c r="C16" s="461" t="s">
        <v>49</v>
      </c>
      <c r="D16" s="461" t="s">
        <v>50</v>
      </c>
      <c r="E16" s="461" t="s">
        <v>51</v>
      </c>
      <c r="F16" s="461" t="s">
        <v>52</v>
      </c>
      <c r="G16" s="461" t="s">
        <v>53</v>
      </c>
      <c r="H16" s="461" t="s">
        <v>54</v>
      </c>
      <c r="I16" s="461" t="s">
        <v>55</v>
      </c>
      <c r="J16" s="461" t="s">
        <v>56</v>
      </c>
      <c r="K16" s="461" t="s">
        <v>156</v>
      </c>
      <c r="L16" s="461" t="s">
        <v>58</v>
      </c>
      <c r="M16" s="461" t="s">
        <v>59</v>
      </c>
      <c r="N16" s="461" t="s">
        <v>60</v>
      </c>
      <c r="O16" s="461"/>
      <c r="P16" s="391">
        <v>57</v>
      </c>
      <c r="Q16" s="49" t="s">
        <v>61</v>
      </c>
      <c r="R16" s="49" t="s">
        <v>62</v>
      </c>
      <c r="S16" s="50" t="s">
        <v>60</v>
      </c>
      <c r="T16" s="50"/>
      <c r="U16" s="50">
        <v>46</v>
      </c>
      <c r="V16" s="451">
        <v>408100784</v>
      </c>
      <c r="W16" s="448"/>
      <c r="X16" s="51" t="s">
        <v>105</v>
      </c>
      <c r="Y16" s="391">
        <v>2</v>
      </c>
      <c r="Z16" s="391">
        <f>+P16</f>
        <v>57</v>
      </c>
      <c r="AA16" s="392">
        <f>+Y16/Z16</f>
        <v>3.5087719298245612E-2</v>
      </c>
      <c r="AB16" s="391" t="s">
        <v>157</v>
      </c>
      <c r="AC16" s="50">
        <v>1</v>
      </c>
      <c r="AD16" s="50">
        <f t="shared" ref="AD16:AD19" si="2">+U16</f>
        <v>46</v>
      </c>
      <c r="AE16" s="53">
        <f>+AC16/AD16</f>
        <v>2.1739130434782608E-2</v>
      </c>
      <c r="AF16" s="50" t="s">
        <v>158</v>
      </c>
      <c r="AG16" s="465">
        <v>4</v>
      </c>
      <c r="AH16" s="465">
        <v>57</v>
      </c>
      <c r="AI16" s="466">
        <v>7.0175438596491224E-2</v>
      </c>
      <c r="AJ16" s="465" t="s">
        <v>159</v>
      </c>
      <c r="AK16" s="54">
        <v>7</v>
      </c>
      <c r="AL16" s="54">
        <v>46</v>
      </c>
      <c r="AM16" s="55">
        <v>0.15217391304347827</v>
      </c>
      <c r="AN16" s="54" t="s">
        <v>160</v>
      </c>
      <c r="AO16" s="465">
        <v>7</v>
      </c>
      <c r="AP16" s="465">
        <f>+P16</f>
        <v>57</v>
      </c>
      <c r="AQ16" s="466">
        <f>+AO16/AP16</f>
        <v>0.12280701754385964</v>
      </c>
      <c r="AR16" s="465" t="s">
        <v>161</v>
      </c>
      <c r="AS16" s="54">
        <v>8</v>
      </c>
      <c r="AT16" s="54">
        <f t="shared" ref="AT16:AT19" si="3">+U16</f>
        <v>46</v>
      </c>
      <c r="AU16" s="55">
        <f>+AS16/AT16</f>
        <v>0.17391304347826086</v>
      </c>
      <c r="AV16" s="54" t="s">
        <v>162</v>
      </c>
      <c r="AW16" s="465">
        <v>8</v>
      </c>
      <c r="AX16" s="465">
        <f>+P16</f>
        <v>57</v>
      </c>
      <c r="AY16" s="466">
        <f>+AW16/AX16</f>
        <v>0.14035087719298245</v>
      </c>
      <c r="AZ16" s="465" t="s">
        <v>163</v>
      </c>
      <c r="BA16" s="54">
        <v>8</v>
      </c>
      <c r="BB16" s="54">
        <f>+U16</f>
        <v>46</v>
      </c>
      <c r="BC16" s="55">
        <f>+BA16/BB16</f>
        <v>0.17391304347826086</v>
      </c>
      <c r="BD16" s="54" t="s">
        <v>164</v>
      </c>
      <c r="BE16" s="465">
        <v>10</v>
      </c>
      <c r="BF16" s="465">
        <v>57</v>
      </c>
      <c r="BG16" s="466">
        <f>+BE16/BF16</f>
        <v>0.17543859649122806</v>
      </c>
      <c r="BH16" s="465" t="s">
        <v>165</v>
      </c>
      <c r="BI16" s="54">
        <v>8</v>
      </c>
      <c r="BJ16" s="54">
        <v>46</v>
      </c>
      <c r="BK16" s="55">
        <f>+BI16/BJ16</f>
        <v>0.17391304347826086</v>
      </c>
      <c r="BL16" s="54" t="s">
        <v>166</v>
      </c>
      <c r="BM16" s="465">
        <v>12</v>
      </c>
      <c r="BN16" s="465">
        <v>57</v>
      </c>
      <c r="BO16" s="466">
        <f>+BM16/BN16</f>
        <v>0.21052631578947367</v>
      </c>
      <c r="BP16" s="465" t="s">
        <v>167</v>
      </c>
      <c r="BQ16" s="54">
        <v>8</v>
      </c>
      <c r="BR16" s="54">
        <v>46</v>
      </c>
      <c r="BS16" s="55">
        <f>+BQ16/BR16</f>
        <v>0.17391304347826086</v>
      </c>
      <c r="BT16" s="54" t="s">
        <v>168</v>
      </c>
      <c r="BU16" s="391">
        <v>12</v>
      </c>
      <c r="BV16" s="391">
        <v>57</v>
      </c>
      <c r="BW16" s="392">
        <f>+BU16/BV16</f>
        <v>0.21052631578947367</v>
      </c>
      <c r="BX16" s="391" t="s">
        <v>169</v>
      </c>
      <c r="BY16" s="50">
        <v>11</v>
      </c>
      <c r="BZ16" s="50">
        <v>46</v>
      </c>
      <c r="CA16" s="53">
        <f>+BY16/BZ16</f>
        <v>0.2391304347826087</v>
      </c>
      <c r="CB16" s="50" t="s">
        <v>170</v>
      </c>
      <c r="CC16" s="391">
        <v>12</v>
      </c>
      <c r="CD16" s="391">
        <v>57</v>
      </c>
      <c r="CE16" s="392">
        <f>+CC16/CD16</f>
        <v>0.21052631578947367</v>
      </c>
      <c r="CF16" s="391" t="s">
        <v>171</v>
      </c>
      <c r="CG16" s="50">
        <v>16</v>
      </c>
      <c r="CH16" s="50">
        <v>46</v>
      </c>
      <c r="CI16" s="53">
        <f>+CG16/CH16</f>
        <v>0.34782608695652173</v>
      </c>
      <c r="CJ16" s="50" t="s">
        <v>172</v>
      </c>
      <c r="CK16" s="391">
        <v>14</v>
      </c>
      <c r="CL16" s="391">
        <v>57</v>
      </c>
      <c r="CM16" s="392">
        <f>+CK16/CL16</f>
        <v>0.24561403508771928</v>
      </c>
      <c r="CN16" s="391" t="s">
        <v>605</v>
      </c>
      <c r="CO16" s="52">
        <v>19</v>
      </c>
      <c r="CP16" s="52">
        <v>46</v>
      </c>
      <c r="CQ16" s="53">
        <f>+CO16/CP16</f>
        <v>0.41304347826086957</v>
      </c>
      <c r="CR16" s="52" t="s">
        <v>606</v>
      </c>
    </row>
    <row r="17" spans="1:708" ht="70.5" customHeight="1" x14ac:dyDescent="0.25">
      <c r="A17" s="462"/>
      <c r="B17" s="462"/>
      <c r="C17" s="462"/>
      <c r="D17" s="462"/>
      <c r="E17" s="462"/>
      <c r="F17" s="462"/>
      <c r="G17" s="462"/>
      <c r="H17" s="462"/>
      <c r="I17" s="462"/>
      <c r="J17" s="462"/>
      <c r="K17" s="462"/>
      <c r="L17" s="462"/>
      <c r="M17" s="462"/>
      <c r="N17" s="462"/>
      <c r="O17" s="462"/>
      <c r="P17" s="391"/>
      <c r="Q17" s="58" t="s">
        <v>80</v>
      </c>
      <c r="R17" s="58" t="s">
        <v>81</v>
      </c>
      <c r="S17" s="59" t="s">
        <v>60</v>
      </c>
      <c r="T17" s="59"/>
      <c r="U17" s="59">
        <v>59</v>
      </c>
      <c r="V17" s="452"/>
      <c r="W17" s="448"/>
      <c r="X17" s="60" t="s">
        <v>105</v>
      </c>
      <c r="Y17" s="391"/>
      <c r="Z17" s="391"/>
      <c r="AA17" s="392"/>
      <c r="AB17" s="391"/>
      <c r="AC17" s="59">
        <v>0</v>
      </c>
      <c r="AD17" s="59">
        <f t="shared" si="2"/>
        <v>59</v>
      </c>
      <c r="AE17" s="61">
        <f>+AC17/AD17</f>
        <v>0</v>
      </c>
      <c r="AF17" s="59" t="s">
        <v>173</v>
      </c>
      <c r="AG17" s="465"/>
      <c r="AH17" s="465"/>
      <c r="AI17" s="466"/>
      <c r="AJ17" s="465"/>
      <c r="AK17" s="62">
        <v>3</v>
      </c>
      <c r="AL17" s="62">
        <v>59</v>
      </c>
      <c r="AM17" s="63">
        <v>5.0847457627118647E-2</v>
      </c>
      <c r="AN17" s="62" t="s">
        <v>174</v>
      </c>
      <c r="AO17" s="465"/>
      <c r="AP17" s="465"/>
      <c r="AQ17" s="466"/>
      <c r="AR17" s="465"/>
      <c r="AS17" s="62">
        <v>6</v>
      </c>
      <c r="AT17" s="62">
        <f t="shared" si="3"/>
        <v>59</v>
      </c>
      <c r="AU17" s="63">
        <f>+AS17/AT17</f>
        <v>0.10169491525423729</v>
      </c>
      <c r="AV17" s="62" t="s">
        <v>175</v>
      </c>
      <c r="AW17" s="465"/>
      <c r="AX17" s="465"/>
      <c r="AY17" s="466"/>
      <c r="AZ17" s="465"/>
      <c r="BA17" s="62">
        <v>7</v>
      </c>
      <c r="BB17" s="62">
        <f>+U17</f>
        <v>59</v>
      </c>
      <c r="BC17" s="63">
        <f>+BA17/BB17</f>
        <v>0.11864406779661017</v>
      </c>
      <c r="BD17" s="62" t="s">
        <v>176</v>
      </c>
      <c r="BE17" s="465"/>
      <c r="BF17" s="465"/>
      <c r="BG17" s="466"/>
      <c r="BH17" s="465"/>
      <c r="BI17" s="62">
        <v>10</v>
      </c>
      <c r="BJ17" s="62">
        <v>59</v>
      </c>
      <c r="BK17" s="63">
        <f>+BI17/BJ17</f>
        <v>0.16949152542372881</v>
      </c>
      <c r="BL17" s="62" t="s">
        <v>177</v>
      </c>
      <c r="BM17" s="465"/>
      <c r="BN17" s="465"/>
      <c r="BO17" s="466"/>
      <c r="BP17" s="465"/>
      <c r="BQ17" s="62">
        <v>10</v>
      </c>
      <c r="BR17" s="62">
        <v>59</v>
      </c>
      <c r="BS17" s="63">
        <f>+BQ17/BR17</f>
        <v>0.16949152542372881</v>
      </c>
      <c r="BT17" s="62" t="s">
        <v>178</v>
      </c>
      <c r="BU17" s="391"/>
      <c r="BV17" s="391"/>
      <c r="BW17" s="392"/>
      <c r="BX17" s="391"/>
      <c r="BY17" s="59">
        <v>10</v>
      </c>
      <c r="BZ17" s="59">
        <v>59</v>
      </c>
      <c r="CA17" s="61">
        <f>+BY17/BZ17</f>
        <v>0.16949152542372881</v>
      </c>
      <c r="CB17" s="59" t="s">
        <v>179</v>
      </c>
      <c r="CC17" s="391"/>
      <c r="CD17" s="391"/>
      <c r="CE17" s="392"/>
      <c r="CF17" s="391"/>
      <c r="CG17" s="59">
        <v>10</v>
      </c>
      <c r="CH17" s="59">
        <v>59</v>
      </c>
      <c r="CI17" s="61">
        <f>+CG17/CH17</f>
        <v>0.16949152542372881</v>
      </c>
      <c r="CJ17" s="59" t="s">
        <v>180</v>
      </c>
      <c r="CK17" s="391"/>
      <c r="CL17" s="391"/>
      <c r="CM17" s="392"/>
      <c r="CN17" s="391"/>
      <c r="CO17" s="65">
        <v>11</v>
      </c>
      <c r="CP17" s="65">
        <v>59</v>
      </c>
      <c r="CQ17" s="66">
        <f>+CO17/CP17</f>
        <v>0.1864406779661017</v>
      </c>
      <c r="CR17" s="65" t="s">
        <v>607</v>
      </c>
    </row>
    <row r="18" spans="1:708" ht="69.75" customHeight="1" x14ac:dyDescent="0.25">
      <c r="A18" s="467" t="s">
        <v>47</v>
      </c>
      <c r="B18" s="467" t="s">
        <v>48</v>
      </c>
      <c r="C18" s="467" t="s">
        <v>49</v>
      </c>
      <c r="D18" s="467" t="s">
        <v>50</v>
      </c>
      <c r="E18" s="467" t="s">
        <v>90</v>
      </c>
      <c r="F18" s="467" t="s">
        <v>52</v>
      </c>
      <c r="G18" s="467" t="s">
        <v>53</v>
      </c>
      <c r="H18" s="467" t="s">
        <v>54</v>
      </c>
      <c r="I18" s="467" t="s">
        <v>55</v>
      </c>
      <c r="J18" s="467" t="s">
        <v>56</v>
      </c>
      <c r="K18" s="467" t="s">
        <v>156</v>
      </c>
      <c r="L18" s="467" t="s">
        <v>91</v>
      </c>
      <c r="M18" s="467" t="s">
        <v>130</v>
      </c>
      <c r="N18" s="467" t="s">
        <v>93</v>
      </c>
      <c r="O18" s="467"/>
      <c r="P18" s="455">
        <v>0.89</v>
      </c>
      <c r="Q18" s="49" t="s">
        <v>131</v>
      </c>
      <c r="R18" s="49" t="s">
        <v>132</v>
      </c>
      <c r="S18" s="50" t="s">
        <v>93</v>
      </c>
      <c r="T18" s="50"/>
      <c r="U18" s="67">
        <v>0.89</v>
      </c>
      <c r="V18" s="452"/>
      <c r="W18" s="448"/>
      <c r="X18" s="51" t="s">
        <v>105</v>
      </c>
      <c r="Y18" s="392">
        <f>3/3</f>
        <v>1</v>
      </c>
      <c r="Z18" s="393">
        <f>+P18</f>
        <v>0.89</v>
      </c>
      <c r="AA18" s="393">
        <f>Y18/Z18</f>
        <v>1.1235955056179776</v>
      </c>
      <c r="AB18" s="391" t="s">
        <v>181</v>
      </c>
      <c r="AC18" s="53">
        <f>1/1</f>
        <v>1</v>
      </c>
      <c r="AD18" s="67">
        <f t="shared" si="2"/>
        <v>0.89</v>
      </c>
      <c r="AE18" s="53">
        <f>+AC18/AD18</f>
        <v>1.1235955056179776</v>
      </c>
      <c r="AF18" s="50" t="s">
        <v>182</v>
      </c>
      <c r="AG18" s="466">
        <v>1</v>
      </c>
      <c r="AH18" s="469">
        <v>0.89</v>
      </c>
      <c r="AI18" s="469">
        <v>1.1235955056179776</v>
      </c>
      <c r="AJ18" s="465" t="s">
        <v>183</v>
      </c>
      <c r="AK18" s="55">
        <v>1</v>
      </c>
      <c r="AL18" s="69">
        <v>0.89</v>
      </c>
      <c r="AM18" s="55">
        <v>1.1235955056179776</v>
      </c>
      <c r="AN18" s="54" t="s">
        <v>184</v>
      </c>
      <c r="AO18" s="466">
        <f>7/7</f>
        <v>1</v>
      </c>
      <c r="AP18" s="469">
        <f>+P18</f>
        <v>0.89</v>
      </c>
      <c r="AQ18" s="469">
        <f>AO18/AP18</f>
        <v>1.1235955056179776</v>
      </c>
      <c r="AR18" s="465" t="s">
        <v>185</v>
      </c>
      <c r="AS18" s="55">
        <f>8/8</f>
        <v>1</v>
      </c>
      <c r="AT18" s="69">
        <f t="shared" si="3"/>
        <v>0.89</v>
      </c>
      <c r="AU18" s="55">
        <f>+AS18/AT18</f>
        <v>1.1235955056179776</v>
      </c>
      <c r="AV18" s="54" t="s">
        <v>186</v>
      </c>
      <c r="AW18" s="466">
        <f>(10/10)</f>
        <v>1</v>
      </c>
      <c r="AX18" s="469">
        <f>+P18</f>
        <v>0.89</v>
      </c>
      <c r="AY18" s="469">
        <f>AW18/AX18</f>
        <v>1.1235955056179776</v>
      </c>
      <c r="AZ18" s="465" t="s">
        <v>187</v>
      </c>
      <c r="BA18" s="55">
        <f>(8/8)</f>
        <v>1</v>
      </c>
      <c r="BB18" s="69">
        <f>+U18</f>
        <v>0.89</v>
      </c>
      <c r="BC18" s="55">
        <f>+BA18/BB18</f>
        <v>1.1235955056179776</v>
      </c>
      <c r="BD18" s="54" t="s">
        <v>188</v>
      </c>
      <c r="BE18" s="466">
        <f>(11/11)</f>
        <v>1</v>
      </c>
      <c r="BF18" s="469">
        <v>0.89</v>
      </c>
      <c r="BG18" s="469">
        <f>BE18/BF18</f>
        <v>1.1235955056179776</v>
      </c>
      <c r="BH18" s="465" t="s">
        <v>189</v>
      </c>
      <c r="BI18" s="55">
        <f>(8/8)</f>
        <v>1</v>
      </c>
      <c r="BJ18" s="69">
        <v>0.89</v>
      </c>
      <c r="BK18" s="55">
        <f>+BI18/BJ18</f>
        <v>1.1235955056179776</v>
      </c>
      <c r="BL18" s="54" t="s">
        <v>190</v>
      </c>
      <c r="BM18" s="466">
        <f>(13/13)</f>
        <v>1</v>
      </c>
      <c r="BN18" s="469">
        <v>0.89</v>
      </c>
      <c r="BO18" s="469">
        <f>BM18/BN18</f>
        <v>1.1235955056179776</v>
      </c>
      <c r="BP18" s="465" t="s">
        <v>191</v>
      </c>
      <c r="BQ18" s="55">
        <f>(8/8)</f>
        <v>1</v>
      </c>
      <c r="BR18" s="69">
        <v>0.89</v>
      </c>
      <c r="BS18" s="55">
        <f>+BQ18/BR18</f>
        <v>1.1235955056179776</v>
      </c>
      <c r="BT18" s="54" t="s">
        <v>192</v>
      </c>
      <c r="BU18" s="392">
        <f>(14/14)</f>
        <v>1</v>
      </c>
      <c r="BV18" s="393">
        <v>0.89</v>
      </c>
      <c r="BW18" s="393">
        <f>BU18/BV18</f>
        <v>1.1235955056179776</v>
      </c>
      <c r="BX18" s="391" t="s">
        <v>193</v>
      </c>
      <c r="BY18" s="53">
        <f>(10/10)</f>
        <v>1</v>
      </c>
      <c r="BZ18" s="67">
        <v>0.89</v>
      </c>
      <c r="CA18" s="53">
        <f>+BY18/BZ18</f>
        <v>1.1235955056179776</v>
      </c>
      <c r="CB18" s="50" t="s">
        <v>194</v>
      </c>
      <c r="CC18" s="392">
        <f>(14/14)</f>
        <v>1</v>
      </c>
      <c r="CD18" s="393">
        <v>0.89</v>
      </c>
      <c r="CE18" s="393">
        <f>CC18/CD18</f>
        <v>1.1235955056179776</v>
      </c>
      <c r="CF18" s="391" t="s">
        <v>195</v>
      </c>
      <c r="CG18" s="53">
        <f>(13/13)</f>
        <v>1</v>
      </c>
      <c r="CH18" s="67">
        <v>0.89</v>
      </c>
      <c r="CI18" s="53">
        <f>+CG18/CH18</f>
        <v>1.1235955056179776</v>
      </c>
      <c r="CJ18" s="50" t="s">
        <v>196</v>
      </c>
      <c r="CK18" s="392">
        <f>(14/14)</f>
        <v>1</v>
      </c>
      <c r="CL18" s="393">
        <v>0.89</v>
      </c>
      <c r="CM18" s="393">
        <f>CK18/CL18</f>
        <v>1.1235955056179776</v>
      </c>
      <c r="CN18" s="391" t="s">
        <v>608</v>
      </c>
      <c r="CO18" s="53">
        <f>(18/18)</f>
        <v>1</v>
      </c>
      <c r="CP18" s="68">
        <v>0.89</v>
      </c>
      <c r="CQ18" s="130">
        <f>+CO18/CP18</f>
        <v>1.1235955056179776</v>
      </c>
      <c r="CR18" s="52" t="s">
        <v>609</v>
      </c>
    </row>
    <row r="19" spans="1:708" ht="70.5" customHeight="1" x14ac:dyDescent="0.25">
      <c r="A19" s="468"/>
      <c r="B19" s="468"/>
      <c r="C19" s="468"/>
      <c r="D19" s="468"/>
      <c r="E19" s="468"/>
      <c r="F19" s="468"/>
      <c r="G19" s="468"/>
      <c r="H19" s="468"/>
      <c r="I19" s="468"/>
      <c r="J19" s="468"/>
      <c r="K19" s="468"/>
      <c r="L19" s="468"/>
      <c r="M19" s="468"/>
      <c r="N19" s="468"/>
      <c r="O19" s="468"/>
      <c r="P19" s="455"/>
      <c r="Q19" s="58" t="s">
        <v>149</v>
      </c>
      <c r="R19" s="58" t="s">
        <v>150</v>
      </c>
      <c r="S19" s="59" t="s">
        <v>93</v>
      </c>
      <c r="T19" s="59"/>
      <c r="U19" s="71">
        <v>0.89</v>
      </c>
      <c r="V19" s="453"/>
      <c r="W19" s="448"/>
      <c r="X19" s="60" t="s">
        <v>105</v>
      </c>
      <c r="Y19" s="392"/>
      <c r="Z19" s="391"/>
      <c r="AA19" s="391"/>
      <c r="AB19" s="391"/>
      <c r="AC19" s="61">
        <f>0/1</f>
        <v>0</v>
      </c>
      <c r="AD19" s="71">
        <f t="shared" si="2"/>
        <v>0.89</v>
      </c>
      <c r="AE19" s="61">
        <f>+AC19/AD19</f>
        <v>0</v>
      </c>
      <c r="AF19" s="59" t="s">
        <v>197</v>
      </c>
      <c r="AG19" s="466"/>
      <c r="AH19" s="465"/>
      <c r="AI19" s="465"/>
      <c r="AJ19" s="465"/>
      <c r="AK19" s="63">
        <v>0.25</v>
      </c>
      <c r="AL19" s="72">
        <v>0.89</v>
      </c>
      <c r="AM19" s="63">
        <v>0.2808988764044944</v>
      </c>
      <c r="AN19" s="62" t="s">
        <v>198</v>
      </c>
      <c r="AO19" s="466"/>
      <c r="AP19" s="465"/>
      <c r="AQ19" s="465"/>
      <c r="AR19" s="465"/>
      <c r="AS19" s="63">
        <f>1/7</f>
        <v>0.14285714285714285</v>
      </c>
      <c r="AT19" s="72">
        <f t="shared" si="3"/>
        <v>0.89</v>
      </c>
      <c r="AU19" s="63">
        <f>+AS19/AT19</f>
        <v>0.16051364365971107</v>
      </c>
      <c r="AV19" s="62" t="s">
        <v>199</v>
      </c>
      <c r="AW19" s="466"/>
      <c r="AX19" s="465"/>
      <c r="AY19" s="465"/>
      <c r="AZ19" s="465"/>
      <c r="BA19" s="63">
        <f>(1/7)</f>
        <v>0.14285714285714285</v>
      </c>
      <c r="BB19" s="72">
        <f>+U19</f>
        <v>0.89</v>
      </c>
      <c r="BC19" s="63">
        <f>+BA19/BB19</f>
        <v>0.16051364365971107</v>
      </c>
      <c r="BD19" s="62" t="s">
        <v>200</v>
      </c>
      <c r="BE19" s="466"/>
      <c r="BF19" s="465"/>
      <c r="BG19" s="465"/>
      <c r="BH19" s="465"/>
      <c r="BI19" s="63">
        <f>(1/10)</f>
        <v>0.1</v>
      </c>
      <c r="BJ19" s="72">
        <v>0.89</v>
      </c>
      <c r="BK19" s="63">
        <f>+BI19/BJ19</f>
        <v>0.11235955056179776</v>
      </c>
      <c r="BL19" s="62" t="s">
        <v>201</v>
      </c>
      <c r="BM19" s="466"/>
      <c r="BN19" s="465"/>
      <c r="BO19" s="465"/>
      <c r="BP19" s="465"/>
      <c r="BQ19" s="470"/>
      <c r="BR19" s="471"/>
      <c r="BS19" s="471"/>
      <c r="BT19" s="472"/>
      <c r="BU19" s="392"/>
      <c r="BV19" s="391"/>
      <c r="BW19" s="391"/>
      <c r="BX19" s="391"/>
      <c r="BY19" s="394"/>
      <c r="BZ19" s="395"/>
      <c r="CA19" s="395"/>
      <c r="CB19" s="396"/>
      <c r="CC19" s="392"/>
      <c r="CD19" s="391"/>
      <c r="CE19" s="391"/>
      <c r="CF19" s="391"/>
      <c r="CG19" s="394"/>
      <c r="CH19" s="395"/>
      <c r="CI19" s="395"/>
      <c r="CJ19" s="396"/>
      <c r="CK19" s="392"/>
      <c r="CL19" s="391"/>
      <c r="CM19" s="391"/>
      <c r="CN19" s="391"/>
      <c r="CO19" s="394"/>
      <c r="CP19" s="395"/>
      <c r="CQ19" s="395"/>
      <c r="CR19" s="396"/>
    </row>
    <row r="20" spans="1:708" s="18" customFormat="1" ht="70.5" customHeight="1" x14ac:dyDescent="0.25">
      <c r="A20" s="39"/>
      <c r="B20" s="39"/>
      <c r="C20" s="39"/>
      <c r="D20" s="39"/>
      <c r="E20" s="39"/>
      <c r="F20" s="39"/>
      <c r="G20" s="39"/>
      <c r="H20" s="39"/>
      <c r="I20" s="39"/>
      <c r="J20" s="39"/>
      <c r="K20" s="39"/>
      <c r="L20" s="39"/>
      <c r="M20" s="39"/>
      <c r="N20" s="39"/>
      <c r="O20" s="39"/>
      <c r="P20" s="40"/>
      <c r="Q20" s="39"/>
      <c r="R20" s="39"/>
      <c r="S20" s="40"/>
      <c r="T20" s="39"/>
      <c r="U20" s="39"/>
      <c r="V20" s="41"/>
      <c r="W20" s="448"/>
      <c r="X20" s="39"/>
      <c r="Y20" s="382" t="s">
        <v>102</v>
      </c>
      <c r="Z20" s="382"/>
      <c r="AA20" s="42">
        <f>AVERAGE(AA16:AA19)</f>
        <v>0.57934161245811167</v>
      </c>
      <c r="AB20" s="73"/>
      <c r="AC20" s="382" t="s">
        <v>103</v>
      </c>
      <c r="AD20" s="382"/>
      <c r="AE20" s="42">
        <f>AVERAGE(AE16:AE19)</f>
        <v>0.28633365901319008</v>
      </c>
      <c r="AF20" s="44"/>
      <c r="AG20" s="459" t="s">
        <v>102</v>
      </c>
      <c r="AH20" s="459"/>
      <c r="AI20" s="42">
        <f>AVERAGE(AI16:AI19)</f>
        <v>0.59688547210723442</v>
      </c>
      <c r="AJ20" s="74"/>
      <c r="AK20" s="459" t="s">
        <v>103</v>
      </c>
      <c r="AL20" s="459"/>
      <c r="AM20" s="42">
        <f>AVERAGE(AM16:AM19)</f>
        <v>0.40187893817326725</v>
      </c>
      <c r="AN20" s="45"/>
      <c r="AO20" s="382" t="s">
        <v>102</v>
      </c>
      <c r="AP20" s="382"/>
      <c r="AQ20" s="42">
        <f>AVERAGE(AQ16:AQ19)</f>
        <v>0.6232012615809186</v>
      </c>
      <c r="AR20" s="73"/>
      <c r="AS20" s="382" t="s">
        <v>103</v>
      </c>
      <c r="AT20" s="382"/>
      <c r="AU20" s="42">
        <f>AVERAGE(AU16:AU19)</f>
        <v>0.3899292770025467</v>
      </c>
      <c r="AV20" s="44"/>
      <c r="AW20" s="459" t="s">
        <v>102</v>
      </c>
      <c r="AX20" s="459"/>
      <c r="AY20" s="46">
        <f>AVERAGE(AY16:AY19)</f>
        <v>0.63197319140548003</v>
      </c>
      <c r="AZ20" s="74"/>
      <c r="BA20" s="459" t="s">
        <v>103</v>
      </c>
      <c r="BB20" s="459"/>
      <c r="BC20" s="46">
        <f>AVERAGE(BC16:BC19)</f>
        <v>0.39416656513813991</v>
      </c>
      <c r="BD20" s="45"/>
      <c r="BE20" s="459" t="s">
        <v>102</v>
      </c>
      <c r="BF20" s="459"/>
      <c r="BG20" s="46">
        <f>AVERAGE(BG16:BG19)</f>
        <v>0.64951705105460289</v>
      </c>
      <c r="BH20" s="74"/>
      <c r="BI20" s="382" t="s">
        <v>103</v>
      </c>
      <c r="BJ20" s="382"/>
      <c r="BK20" s="42">
        <f>AVERAGE(BK16:BK19)</f>
        <v>0.39483990627044124</v>
      </c>
      <c r="BL20" s="44"/>
      <c r="BM20" s="459" t="s">
        <v>102</v>
      </c>
      <c r="BN20" s="459"/>
      <c r="BO20" s="46">
        <f>AVERAGE(BO16:BO19)</f>
        <v>0.66706091070372564</v>
      </c>
      <c r="BP20" s="74"/>
      <c r="BQ20" s="459" t="s">
        <v>103</v>
      </c>
      <c r="BR20" s="459"/>
      <c r="BS20" s="46">
        <f>AVERAGE(BS16:BS19)</f>
        <v>0.48900002483998906</v>
      </c>
      <c r="BT20" s="45"/>
      <c r="BU20" s="382" t="s">
        <v>102</v>
      </c>
      <c r="BV20" s="382"/>
      <c r="BW20" s="42">
        <f>AVERAGE(BW16:BW19)</f>
        <v>0.66706091070372564</v>
      </c>
      <c r="BX20" s="73"/>
      <c r="BY20" s="382" t="s">
        <v>103</v>
      </c>
      <c r="BZ20" s="382"/>
      <c r="CA20" s="42">
        <f>AVERAGE(CA16:CA19)</f>
        <v>0.51073915527477165</v>
      </c>
      <c r="CB20" s="44"/>
      <c r="CC20" s="382" t="s">
        <v>102</v>
      </c>
      <c r="CD20" s="382"/>
      <c r="CE20" s="42">
        <f>AVERAGE(CE16:CE19)</f>
        <v>0.66706091070372564</v>
      </c>
      <c r="CF20" s="73"/>
      <c r="CG20" s="382" t="s">
        <v>103</v>
      </c>
      <c r="CH20" s="382"/>
      <c r="CI20" s="42">
        <f>AVERAGE(CI16:CI19)</f>
        <v>0.54697103933274271</v>
      </c>
      <c r="CJ20" s="44"/>
      <c r="CK20" s="382" t="s">
        <v>102</v>
      </c>
      <c r="CL20" s="382"/>
      <c r="CM20" s="42">
        <f>AVERAGE(CM16:CM19)</f>
        <v>0.68460477035284839</v>
      </c>
      <c r="CN20" s="73"/>
      <c r="CO20" s="382" t="s">
        <v>103</v>
      </c>
      <c r="CP20" s="382"/>
      <c r="CQ20" s="42">
        <f>AVERAGE(CQ16:CQ19)</f>
        <v>0.57435988728164966</v>
      </c>
      <c r="CR20" s="44"/>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c r="IV20" s="17"/>
      <c r="IW20" s="17"/>
      <c r="IX20" s="17"/>
      <c r="IY20" s="17"/>
      <c r="IZ20" s="17"/>
      <c r="JA20" s="17"/>
      <c r="JB20" s="17"/>
      <c r="JC20" s="17"/>
      <c r="JD20" s="17"/>
      <c r="JE20" s="17"/>
      <c r="JF20" s="17"/>
      <c r="JG20" s="17"/>
      <c r="JH20" s="17"/>
      <c r="JI20" s="17"/>
      <c r="JJ20" s="17"/>
      <c r="JK20" s="17"/>
      <c r="JL20" s="17"/>
      <c r="JM20" s="17"/>
      <c r="JN20" s="17"/>
      <c r="JO20" s="17"/>
      <c r="JP20" s="17"/>
      <c r="JQ20" s="17"/>
      <c r="JR20" s="17"/>
      <c r="JS20" s="17"/>
      <c r="JT20" s="17"/>
      <c r="JU20" s="17"/>
      <c r="JV20" s="17"/>
      <c r="JW20" s="17"/>
      <c r="JX20" s="17"/>
      <c r="JY20" s="17"/>
      <c r="JZ20" s="17"/>
      <c r="KA20" s="17"/>
      <c r="KB20" s="17"/>
      <c r="KC20" s="17"/>
      <c r="KD20" s="17"/>
      <c r="KE20" s="17"/>
      <c r="KF20" s="17"/>
      <c r="KG20" s="17"/>
      <c r="KH20" s="17"/>
      <c r="KI20" s="17"/>
      <c r="KJ20" s="17"/>
      <c r="KK20" s="17"/>
      <c r="KL20" s="17"/>
      <c r="KM20" s="17"/>
      <c r="KN20" s="17"/>
      <c r="KO20" s="17"/>
      <c r="KP20" s="17"/>
      <c r="KQ20" s="17"/>
      <c r="KR20" s="17"/>
      <c r="KS20" s="17"/>
      <c r="KT20" s="17"/>
      <c r="KU20" s="17"/>
      <c r="KV20" s="17"/>
      <c r="KW20" s="17"/>
      <c r="KX20" s="17"/>
      <c r="KY20" s="17"/>
      <c r="KZ20" s="17"/>
      <c r="LA20" s="17"/>
      <c r="LB20" s="17"/>
      <c r="LC20" s="17"/>
      <c r="LD20" s="17"/>
      <c r="LE20" s="17"/>
      <c r="LF20" s="17"/>
      <c r="LG20" s="17"/>
      <c r="LH20" s="17"/>
      <c r="LI20" s="17"/>
      <c r="LJ20" s="17"/>
      <c r="LK20" s="17"/>
      <c r="LL20" s="17"/>
      <c r="LM20" s="17"/>
      <c r="LN20" s="17"/>
      <c r="LO20" s="17"/>
      <c r="LP20" s="17"/>
      <c r="LQ20" s="17"/>
      <c r="LR20" s="17"/>
      <c r="LS20" s="17"/>
      <c r="LT20" s="17"/>
      <c r="LU20" s="17"/>
      <c r="LV20" s="17"/>
      <c r="LW20" s="17"/>
      <c r="LX20" s="17"/>
      <c r="LY20" s="17"/>
      <c r="LZ20" s="17"/>
      <c r="MA20" s="17"/>
      <c r="MB20" s="17"/>
      <c r="MC20" s="17"/>
      <c r="MD20" s="17"/>
      <c r="ME20" s="17"/>
      <c r="MF20" s="17"/>
      <c r="MG20" s="17"/>
      <c r="MH20" s="17"/>
      <c r="MI20" s="17"/>
      <c r="MJ20" s="17"/>
      <c r="MK20" s="17"/>
      <c r="ML20" s="17"/>
      <c r="MM20" s="17"/>
      <c r="MN20" s="17"/>
      <c r="MO20" s="17"/>
      <c r="MP20" s="17"/>
      <c r="MQ20" s="17"/>
      <c r="MR20" s="17"/>
      <c r="MS20" s="17"/>
      <c r="MT20" s="17"/>
      <c r="MU20" s="17"/>
      <c r="MV20" s="17"/>
      <c r="MW20" s="17"/>
      <c r="MX20" s="17"/>
      <c r="MY20" s="17"/>
      <c r="MZ20" s="17"/>
      <c r="NA20" s="17"/>
      <c r="NB20" s="17"/>
      <c r="NC20" s="17"/>
      <c r="ND20" s="17"/>
      <c r="NE20" s="17"/>
      <c r="NF20" s="17"/>
      <c r="NG20" s="17"/>
      <c r="NH20" s="17"/>
      <c r="NI20" s="17"/>
      <c r="NJ20" s="17"/>
      <c r="NK20" s="17"/>
      <c r="NL20" s="17"/>
      <c r="NM20" s="17"/>
      <c r="NN20" s="17"/>
      <c r="NO20" s="17"/>
      <c r="NP20" s="17"/>
      <c r="NQ20" s="17"/>
      <c r="NR20" s="17"/>
      <c r="NS20" s="17"/>
      <c r="NT20" s="17"/>
      <c r="NU20" s="17"/>
      <c r="NV20" s="17"/>
      <c r="NW20" s="17"/>
      <c r="NX20" s="17"/>
      <c r="NY20" s="17"/>
      <c r="NZ20" s="17"/>
      <c r="OA20" s="17"/>
      <c r="OB20" s="17"/>
      <c r="OC20" s="17"/>
      <c r="OD20" s="17"/>
      <c r="OE20" s="17"/>
      <c r="OF20" s="17"/>
      <c r="OG20" s="17"/>
      <c r="OH20" s="17"/>
      <c r="OI20" s="17"/>
      <c r="OJ20" s="17"/>
      <c r="OK20" s="17"/>
      <c r="OL20" s="17"/>
      <c r="OM20" s="17"/>
      <c r="ON20" s="17"/>
      <c r="OO20" s="17"/>
      <c r="OP20" s="17"/>
      <c r="OQ20" s="17"/>
      <c r="OR20" s="17"/>
      <c r="OS20" s="17"/>
      <c r="OT20" s="17"/>
      <c r="OU20" s="17"/>
      <c r="OV20" s="17"/>
      <c r="OW20" s="17"/>
      <c r="OX20" s="17"/>
      <c r="OY20" s="17"/>
      <c r="OZ20" s="17"/>
      <c r="PA20" s="17"/>
      <c r="PB20" s="17"/>
      <c r="PC20" s="17"/>
      <c r="PD20" s="17"/>
      <c r="PE20" s="17"/>
      <c r="PF20" s="17"/>
      <c r="PG20" s="17"/>
      <c r="PH20" s="17"/>
      <c r="PI20" s="17"/>
      <c r="PJ20" s="17"/>
      <c r="PK20" s="17"/>
      <c r="PL20" s="17"/>
      <c r="PM20" s="17"/>
      <c r="PN20" s="17"/>
      <c r="PO20" s="17"/>
      <c r="PP20" s="17"/>
      <c r="PQ20" s="17"/>
      <c r="PR20" s="17"/>
      <c r="PS20" s="17"/>
      <c r="PT20" s="17"/>
      <c r="PU20" s="17"/>
      <c r="PV20" s="17"/>
      <c r="PW20" s="17"/>
      <c r="PX20" s="17"/>
      <c r="PY20" s="17"/>
      <c r="PZ20" s="17"/>
      <c r="QA20" s="17"/>
      <c r="QB20" s="17"/>
      <c r="QC20" s="17"/>
      <c r="QD20" s="17"/>
      <c r="QE20" s="17"/>
      <c r="QF20" s="17"/>
      <c r="QG20" s="17"/>
      <c r="QH20" s="17"/>
      <c r="QI20" s="17"/>
      <c r="QJ20" s="17"/>
      <c r="QK20" s="17"/>
      <c r="QL20" s="17"/>
      <c r="QM20" s="17"/>
      <c r="QN20" s="17"/>
      <c r="QO20" s="17"/>
      <c r="QP20" s="17"/>
      <c r="QQ20" s="17"/>
      <c r="QR20" s="17"/>
      <c r="QS20" s="17"/>
      <c r="QT20" s="17"/>
      <c r="QU20" s="17"/>
      <c r="QV20" s="17"/>
      <c r="QW20" s="17"/>
      <c r="QX20" s="17"/>
      <c r="QY20" s="17"/>
      <c r="QZ20" s="17"/>
      <c r="RA20" s="17"/>
      <c r="RB20" s="17"/>
      <c r="RC20" s="17"/>
      <c r="RD20" s="17"/>
      <c r="RE20" s="17"/>
      <c r="RF20" s="17"/>
      <c r="RG20" s="17"/>
      <c r="RH20" s="17"/>
      <c r="RI20" s="17"/>
      <c r="RJ20" s="17"/>
      <c r="RK20" s="17"/>
      <c r="RL20" s="17"/>
      <c r="RM20" s="17"/>
      <c r="RN20" s="17"/>
      <c r="RO20" s="17"/>
      <c r="RP20" s="17"/>
      <c r="RQ20" s="17"/>
      <c r="RR20" s="17"/>
      <c r="RS20" s="17"/>
      <c r="RT20" s="17"/>
      <c r="RU20" s="17"/>
      <c r="RV20" s="17"/>
      <c r="RW20" s="17"/>
      <c r="RX20" s="17"/>
      <c r="RY20" s="17"/>
      <c r="RZ20" s="17"/>
      <c r="SA20" s="17"/>
      <c r="SB20" s="17"/>
      <c r="SC20" s="17"/>
      <c r="SD20" s="17"/>
      <c r="SE20" s="17"/>
      <c r="SF20" s="17"/>
      <c r="SG20" s="17"/>
      <c r="SH20" s="17"/>
      <c r="SI20" s="17"/>
      <c r="SJ20" s="17"/>
      <c r="SK20" s="17"/>
      <c r="SL20" s="17"/>
      <c r="SM20" s="17"/>
      <c r="SN20" s="17"/>
      <c r="SO20" s="17"/>
      <c r="SP20" s="17"/>
      <c r="SQ20" s="17"/>
      <c r="SR20" s="17"/>
      <c r="SS20" s="17"/>
      <c r="ST20" s="17"/>
      <c r="SU20" s="17"/>
      <c r="SV20" s="17"/>
      <c r="SW20" s="17"/>
      <c r="SX20" s="17"/>
      <c r="SY20" s="17"/>
      <c r="SZ20" s="17"/>
      <c r="TA20" s="17"/>
      <c r="TB20" s="17"/>
      <c r="TC20" s="17"/>
      <c r="TD20" s="17"/>
      <c r="TE20" s="17"/>
      <c r="TF20" s="17"/>
      <c r="TG20" s="17"/>
      <c r="TH20" s="17"/>
      <c r="TI20" s="17"/>
      <c r="TJ20" s="17"/>
      <c r="TK20" s="17"/>
      <c r="TL20" s="17"/>
      <c r="TM20" s="17"/>
      <c r="TN20" s="17"/>
      <c r="TO20" s="17"/>
      <c r="TP20" s="17"/>
      <c r="TQ20" s="17"/>
      <c r="TR20" s="17"/>
      <c r="TS20" s="17"/>
      <c r="TT20" s="17"/>
      <c r="TU20" s="17"/>
      <c r="TV20" s="17"/>
      <c r="TW20" s="17"/>
      <c r="TX20" s="17"/>
      <c r="TY20" s="17"/>
      <c r="TZ20" s="17"/>
      <c r="UA20" s="17"/>
      <c r="UB20" s="17"/>
      <c r="UC20" s="17"/>
      <c r="UD20" s="17"/>
      <c r="UE20" s="17"/>
      <c r="UF20" s="17"/>
      <c r="UG20" s="17"/>
      <c r="UH20" s="17"/>
      <c r="UI20" s="17"/>
      <c r="UJ20" s="17"/>
      <c r="UK20" s="17"/>
      <c r="UL20" s="17"/>
      <c r="UM20" s="17"/>
      <c r="UN20" s="17"/>
      <c r="UO20" s="17"/>
      <c r="UP20" s="17"/>
      <c r="UQ20" s="17"/>
      <c r="UR20" s="17"/>
      <c r="US20" s="17"/>
      <c r="UT20" s="17"/>
      <c r="UU20" s="17"/>
      <c r="UV20" s="17"/>
      <c r="UW20" s="17"/>
      <c r="UX20" s="17"/>
      <c r="UY20" s="17"/>
      <c r="UZ20" s="17"/>
      <c r="VA20" s="17"/>
      <c r="VB20" s="17"/>
      <c r="VC20" s="17"/>
      <c r="VD20" s="17"/>
      <c r="VE20" s="17"/>
      <c r="VF20" s="17"/>
      <c r="VG20" s="17"/>
      <c r="VH20" s="17"/>
      <c r="VI20" s="17"/>
      <c r="VJ20" s="17"/>
      <c r="VK20" s="17"/>
      <c r="VL20" s="17"/>
      <c r="VM20" s="17"/>
      <c r="VN20" s="17"/>
      <c r="VO20" s="17"/>
      <c r="VP20" s="17"/>
      <c r="VQ20" s="17"/>
      <c r="VR20" s="17"/>
      <c r="VS20" s="17"/>
      <c r="VT20" s="17"/>
      <c r="VU20" s="17"/>
      <c r="VV20" s="17"/>
      <c r="VW20" s="17"/>
      <c r="VX20" s="17"/>
      <c r="VY20" s="17"/>
      <c r="VZ20" s="17"/>
      <c r="WA20" s="17"/>
      <c r="WB20" s="17"/>
      <c r="WC20" s="17"/>
      <c r="WD20" s="17"/>
      <c r="WE20" s="17"/>
      <c r="WF20" s="17"/>
      <c r="WG20" s="17"/>
      <c r="WH20" s="17"/>
      <c r="WI20" s="17"/>
      <c r="WJ20" s="17"/>
      <c r="WK20" s="17"/>
      <c r="WL20" s="17"/>
      <c r="WM20" s="17"/>
      <c r="WN20" s="17"/>
      <c r="WO20" s="17"/>
      <c r="WP20" s="17"/>
      <c r="WQ20" s="17"/>
      <c r="WR20" s="17"/>
      <c r="WS20" s="17"/>
      <c r="WT20" s="17"/>
      <c r="WU20" s="17"/>
      <c r="WV20" s="17"/>
      <c r="WW20" s="17"/>
      <c r="WX20" s="17"/>
      <c r="WY20" s="17"/>
      <c r="WZ20" s="17"/>
      <c r="XA20" s="17"/>
      <c r="XB20" s="17"/>
      <c r="XC20" s="17"/>
      <c r="XD20" s="17"/>
      <c r="XE20" s="17"/>
      <c r="XF20" s="17"/>
      <c r="XG20" s="17"/>
      <c r="XH20" s="17"/>
      <c r="XI20" s="17"/>
      <c r="XJ20" s="17"/>
      <c r="XK20" s="17"/>
      <c r="XL20" s="17"/>
      <c r="XM20" s="17"/>
      <c r="XN20" s="17"/>
      <c r="XO20" s="17"/>
      <c r="XP20" s="17"/>
      <c r="XQ20" s="17"/>
      <c r="XR20" s="17"/>
      <c r="XS20" s="17"/>
      <c r="XT20" s="17"/>
      <c r="XU20" s="17"/>
      <c r="XV20" s="17"/>
      <c r="XW20" s="17"/>
      <c r="XX20" s="17"/>
      <c r="XY20" s="17"/>
      <c r="XZ20" s="17"/>
      <c r="YA20" s="17"/>
      <c r="YB20" s="17"/>
      <c r="YC20" s="17"/>
      <c r="YD20" s="17"/>
      <c r="YE20" s="17"/>
      <c r="YF20" s="17"/>
      <c r="YG20" s="17"/>
      <c r="YH20" s="17"/>
      <c r="YI20" s="17"/>
      <c r="YJ20" s="17"/>
      <c r="YK20" s="17"/>
      <c r="YL20" s="17"/>
      <c r="YM20" s="17"/>
      <c r="YN20" s="17"/>
      <c r="YO20" s="17"/>
      <c r="YP20" s="17"/>
      <c r="YQ20" s="17"/>
      <c r="YR20" s="17"/>
      <c r="YS20" s="17"/>
      <c r="YT20" s="17"/>
      <c r="YU20" s="17"/>
      <c r="YV20" s="17"/>
      <c r="YW20" s="17"/>
      <c r="YX20" s="17"/>
      <c r="YY20" s="17"/>
      <c r="YZ20" s="17"/>
      <c r="ZA20" s="17"/>
      <c r="ZB20" s="17"/>
      <c r="ZC20" s="17"/>
      <c r="ZD20" s="17"/>
      <c r="ZE20" s="17"/>
      <c r="ZF20" s="17"/>
      <c r="ZG20" s="17"/>
      <c r="ZH20" s="17"/>
      <c r="ZI20" s="17"/>
      <c r="ZJ20" s="17"/>
      <c r="ZK20" s="17"/>
      <c r="ZL20" s="17"/>
      <c r="ZM20" s="17"/>
      <c r="ZN20" s="17"/>
      <c r="ZO20" s="17"/>
      <c r="ZP20" s="17"/>
      <c r="ZQ20" s="17"/>
      <c r="ZR20" s="17"/>
      <c r="ZS20" s="17"/>
      <c r="ZT20" s="17"/>
      <c r="ZU20" s="17"/>
      <c r="ZV20" s="17"/>
      <c r="ZW20" s="17"/>
      <c r="ZX20" s="17"/>
      <c r="ZY20" s="17"/>
      <c r="ZZ20" s="17"/>
      <c r="AAA20" s="17"/>
      <c r="AAB20" s="17"/>
      <c r="AAC20" s="17"/>
      <c r="AAD20" s="17"/>
      <c r="AAE20" s="17"/>
      <c r="AAF20" s="17"/>
    </row>
    <row r="21" spans="1:708" ht="61.5" customHeight="1" x14ac:dyDescent="0.25">
      <c r="A21" s="461" t="s">
        <v>47</v>
      </c>
      <c r="B21" s="461" t="s">
        <v>48</v>
      </c>
      <c r="C21" s="461" t="s">
        <v>49</v>
      </c>
      <c r="D21" s="461" t="s">
        <v>50</v>
      </c>
      <c r="E21" s="461" t="s">
        <v>51</v>
      </c>
      <c r="F21" s="461" t="s">
        <v>52</v>
      </c>
      <c r="G21" s="461" t="s">
        <v>53</v>
      </c>
      <c r="H21" s="461" t="s">
        <v>54</v>
      </c>
      <c r="I21" s="461" t="s">
        <v>55</v>
      </c>
      <c r="J21" s="461" t="s">
        <v>56</v>
      </c>
      <c r="K21" s="461" t="s">
        <v>202</v>
      </c>
      <c r="L21" s="461" t="s">
        <v>58</v>
      </c>
      <c r="M21" s="461" t="s">
        <v>59</v>
      </c>
      <c r="N21" s="461" t="s">
        <v>60</v>
      </c>
      <c r="O21" s="461"/>
      <c r="P21" s="461">
        <v>47</v>
      </c>
      <c r="Q21" s="49" t="s">
        <v>61</v>
      </c>
      <c r="R21" s="49" t="s">
        <v>62</v>
      </c>
      <c r="S21" s="50" t="s">
        <v>60</v>
      </c>
      <c r="T21" s="50"/>
      <c r="U21" s="50">
        <v>27</v>
      </c>
      <c r="V21" s="451">
        <v>308957672</v>
      </c>
      <c r="W21" s="448"/>
      <c r="X21" s="50" t="s">
        <v>203</v>
      </c>
      <c r="Y21" s="391">
        <v>3</v>
      </c>
      <c r="Z21" s="391">
        <f>+P21</f>
        <v>47</v>
      </c>
      <c r="AA21" s="392">
        <f>+Y21/Z21</f>
        <v>6.3829787234042548E-2</v>
      </c>
      <c r="AB21" s="391" t="s">
        <v>204</v>
      </c>
      <c r="AC21" s="50">
        <v>0</v>
      </c>
      <c r="AD21" s="50">
        <f t="shared" ref="AD21:AD24" si="4">+U21</f>
        <v>27</v>
      </c>
      <c r="AE21" s="53">
        <f t="shared" ref="AE21:AE24" si="5">+AC21/AD21</f>
        <v>0</v>
      </c>
      <c r="AF21" s="50" t="s">
        <v>205</v>
      </c>
      <c r="AG21" s="465">
        <v>7</v>
      </c>
      <c r="AH21" s="465">
        <v>47</v>
      </c>
      <c r="AI21" s="466">
        <v>0.14893617021276595</v>
      </c>
      <c r="AJ21" s="465" t="s">
        <v>206</v>
      </c>
      <c r="AK21" s="54">
        <v>2</v>
      </c>
      <c r="AL21" s="54">
        <v>27</v>
      </c>
      <c r="AM21" s="55">
        <v>7.407407407407407E-2</v>
      </c>
      <c r="AN21" s="54" t="s">
        <v>207</v>
      </c>
      <c r="AO21" s="465">
        <v>9</v>
      </c>
      <c r="AP21" s="465">
        <f>+P21</f>
        <v>47</v>
      </c>
      <c r="AQ21" s="466">
        <f>+AO21/AP21</f>
        <v>0.19148936170212766</v>
      </c>
      <c r="AR21" s="465" t="s">
        <v>208</v>
      </c>
      <c r="AS21" s="54">
        <v>3</v>
      </c>
      <c r="AT21" s="54">
        <f t="shared" ref="AT21:AT24" si="6">+U21</f>
        <v>27</v>
      </c>
      <c r="AU21" s="55">
        <f t="shared" ref="AU21:AU24" si="7">+AS21/AT21</f>
        <v>0.1111111111111111</v>
      </c>
      <c r="AV21" s="54" t="s">
        <v>209</v>
      </c>
      <c r="AW21" s="465">
        <v>9</v>
      </c>
      <c r="AX21" s="465">
        <f>+P21</f>
        <v>47</v>
      </c>
      <c r="AY21" s="466">
        <f>+AW21/AX21</f>
        <v>0.19148936170212766</v>
      </c>
      <c r="AZ21" s="465" t="s">
        <v>210</v>
      </c>
      <c r="BA21" s="54">
        <v>3</v>
      </c>
      <c r="BB21" s="54">
        <f>+U21</f>
        <v>27</v>
      </c>
      <c r="BC21" s="55">
        <f t="shared" ref="BC21:BC24" si="8">+BA21/BB21</f>
        <v>0.1111111111111111</v>
      </c>
      <c r="BD21" s="54" t="s">
        <v>211</v>
      </c>
      <c r="BE21" s="465">
        <v>10</v>
      </c>
      <c r="BF21" s="465">
        <v>47</v>
      </c>
      <c r="BG21" s="466">
        <f>+BE21/BF21</f>
        <v>0.21276595744680851</v>
      </c>
      <c r="BH21" s="465" t="s">
        <v>212</v>
      </c>
      <c r="BI21" s="54">
        <v>3</v>
      </c>
      <c r="BJ21" s="54">
        <v>27</v>
      </c>
      <c r="BK21" s="55">
        <f t="shared" ref="BK21:BK24" si="9">+BI21/BJ21</f>
        <v>0.1111111111111111</v>
      </c>
      <c r="BL21" s="54" t="s">
        <v>213</v>
      </c>
      <c r="BM21" s="465">
        <v>11</v>
      </c>
      <c r="BN21" s="465">
        <v>47</v>
      </c>
      <c r="BO21" s="466">
        <f>+BM21/BN21</f>
        <v>0.23404255319148937</v>
      </c>
      <c r="BP21" s="465" t="s">
        <v>214</v>
      </c>
      <c r="BQ21" s="54">
        <v>3</v>
      </c>
      <c r="BR21" s="54">
        <v>27</v>
      </c>
      <c r="BS21" s="55">
        <f t="shared" ref="BS21:BS23" si="10">+BQ21/BR21</f>
        <v>0.1111111111111111</v>
      </c>
      <c r="BT21" s="54" t="s">
        <v>215</v>
      </c>
      <c r="BU21" s="391">
        <v>14</v>
      </c>
      <c r="BV21" s="391">
        <v>47</v>
      </c>
      <c r="BW21" s="392">
        <f>+BU21/BV21</f>
        <v>0.2978723404255319</v>
      </c>
      <c r="BX21" s="391" t="s">
        <v>216</v>
      </c>
      <c r="BY21" s="50">
        <v>3</v>
      </c>
      <c r="BZ21" s="50">
        <v>27</v>
      </c>
      <c r="CA21" s="53">
        <f t="shared" ref="CA21:CA23" si="11">+BY21/BZ21</f>
        <v>0.1111111111111111</v>
      </c>
      <c r="CB21" s="50" t="s">
        <v>217</v>
      </c>
      <c r="CC21" s="391">
        <v>15</v>
      </c>
      <c r="CD21" s="391">
        <v>47</v>
      </c>
      <c r="CE21" s="392">
        <f>+CC21/CD21</f>
        <v>0.31914893617021278</v>
      </c>
      <c r="CF21" s="391" t="s">
        <v>218</v>
      </c>
      <c r="CG21" s="50">
        <v>5</v>
      </c>
      <c r="CH21" s="50">
        <v>27</v>
      </c>
      <c r="CI21" s="53">
        <f t="shared" ref="CI21:CI23" si="12">+CG21/CH21</f>
        <v>0.18518518518518517</v>
      </c>
      <c r="CJ21" s="50" t="s">
        <v>219</v>
      </c>
      <c r="CK21" s="391">
        <v>15</v>
      </c>
      <c r="CL21" s="391">
        <v>47</v>
      </c>
      <c r="CM21" s="392">
        <f>+CK21/CL21</f>
        <v>0.31914893617021278</v>
      </c>
      <c r="CN21" s="391" t="s">
        <v>610</v>
      </c>
      <c r="CO21" s="52">
        <v>6</v>
      </c>
      <c r="CP21" s="52">
        <v>27</v>
      </c>
      <c r="CQ21" s="53">
        <f t="shared" ref="CQ21:CQ23" si="13">+CO21/CP21</f>
        <v>0.22222222222222221</v>
      </c>
      <c r="CR21" s="52" t="s">
        <v>611</v>
      </c>
    </row>
    <row r="22" spans="1:708" ht="61.5" customHeight="1" x14ac:dyDescent="0.25">
      <c r="A22" s="462"/>
      <c r="B22" s="462"/>
      <c r="C22" s="462"/>
      <c r="D22" s="462"/>
      <c r="E22" s="462"/>
      <c r="F22" s="462"/>
      <c r="G22" s="462"/>
      <c r="H22" s="462"/>
      <c r="I22" s="462"/>
      <c r="J22" s="462"/>
      <c r="K22" s="462"/>
      <c r="L22" s="462"/>
      <c r="M22" s="462"/>
      <c r="N22" s="462"/>
      <c r="O22" s="462"/>
      <c r="P22" s="462"/>
      <c r="Q22" s="58" t="s">
        <v>80</v>
      </c>
      <c r="R22" s="58" t="s">
        <v>81</v>
      </c>
      <c r="S22" s="59" t="s">
        <v>60</v>
      </c>
      <c r="T22" s="59"/>
      <c r="U22" s="59">
        <v>37</v>
      </c>
      <c r="V22" s="452"/>
      <c r="W22" s="448"/>
      <c r="X22" s="59" t="s">
        <v>220</v>
      </c>
      <c r="Y22" s="391"/>
      <c r="Z22" s="391"/>
      <c r="AA22" s="392"/>
      <c r="AB22" s="391"/>
      <c r="AC22" s="59">
        <v>3</v>
      </c>
      <c r="AD22" s="59">
        <f t="shared" si="4"/>
        <v>37</v>
      </c>
      <c r="AE22" s="61">
        <f t="shared" si="5"/>
        <v>8.1081081081081086E-2</v>
      </c>
      <c r="AF22" s="59" t="s">
        <v>221</v>
      </c>
      <c r="AG22" s="465"/>
      <c r="AH22" s="465"/>
      <c r="AI22" s="466"/>
      <c r="AJ22" s="465"/>
      <c r="AK22" s="62">
        <v>7</v>
      </c>
      <c r="AL22" s="62">
        <v>37</v>
      </c>
      <c r="AM22" s="63">
        <v>0.1891891891891892</v>
      </c>
      <c r="AN22" s="62" t="s">
        <v>222</v>
      </c>
      <c r="AO22" s="465"/>
      <c r="AP22" s="465"/>
      <c r="AQ22" s="466"/>
      <c r="AR22" s="465"/>
      <c r="AS22" s="62">
        <v>8</v>
      </c>
      <c r="AT22" s="62">
        <f t="shared" si="6"/>
        <v>37</v>
      </c>
      <c r="AU22" s="63">
        <f t="shared" si="7"/>
        <v>0.21621621621621623</v>
      </c>
      <c r="AV22" s="62" t="s">
        <v>223</v>
      </c>
      <c r="AW22" s="465"/>
      <c r="AX22" s="465"/>
      <c r="AY22" s="466"/>
      <c r="AZ22" s="465"/>
      <c r="BA22" s="62">
        <v>8</v>
      </c>
      <c r="BB22" s="62">
        <f>+U22</f>
        <v>37</v>
      </c>
      <c r="BC22" s="63">
        <f t="shared" si="8"/>
        <v>0.21621621621621623</v>
      </c>
      <c r="BD22" s="62" t="s">
        <v>224</v>
      </c>
      <c r="BE22" s="465"/>
      <c r="BF22" s="465"/>
      <c r="BG22" s="466"/>
      <c r="BH22" s="465"/>
      <c r="BI22" s="62">
        <v>9</v>
      </c>
      <c r="BJ22" s="62">
        <v>37</v>
      </c>
      <c r="BK22" s="63">
        <f t="shared" si="9"/>
        <v>0.24324324324324326</v>
      </c>
      <c r="BL22" s="62" t="s">
        <v>225</v>
      </c>
      <c r="BM22" s="465"/>
      <c r="BN22" s="465"/>
      <c r="BO22" s="466"/>
      <c r="BP22" s="465"/>
      <c r="BQ22" s="62">
        <v>12</v>
      </c>
      <c r="BR22" s="62">
        <v>37</v>
      </c>
      <c r="BS22" s="63">
        <f t="shared" si="10"/>
        <v>0.32432432432432434</v>
      </c>
      <c r="BT22" s="62" t="s">
        <v>226</v>
      </c>
      <c r="BU22" s="391"/>
      <c r="BV22" s="391"/>
      <c r="BW22" s="392"/>
      <c r="BX22" s="391"/>
      <c r="BY22" s="59">
        <v>13</v>
      </c>
      <c r="BZ22" s="59">
        <v>37</v>
      </c>
      <c r="CA22" s="61">
        <f t="shared" si="11"/>
        <v>0.35135135135135137</v>
      </c>
      <c r="CB22" s="59" t="s">
        <v>227</v>
      </c>
      <c r="CC22" s="391"/>
      <c r="CD22" s="391"/>
      <c r="CE22" s="392"/>
      <c r="CF22" s="391"/>
      <c r="CG22" s="59">
        <v>14</v>
      </c>
      <c r="CH22" s="59">
        <v>37</v>
      </c>
      <c r="CI22" s="61">
        <f t="shared" si="12"/>
        <v>0.3783783783783784</v>
      </c>
      <c r="CJ22" s="59" t="s">
        <v>228</v>
      </c>
      <c r="CK22" s="391"/>
      <c r="CL22" s="391"/>
      <c r="CM22" s="392"/>
      <c r="CN22" s="391"/>
      <c r="CO22" s="65">
        <v>14</v>
      </c>
      <c r="CP22" s="65">
        <v>37</v>
      </c>
      <c r="CQ22" s="66">
        <f t="shared" si="13"/>
        <v>0.3783783783783784</v>
      </c>
      <c r="CR22" s="65" t="s">
        <v>612</v>
      </c>
    </row>
    <row r="23" spans="1:708" ht="70.5" customHeight="1" x14ac:dyDescent="0.25">
      <c r="A23" s="467" t="s">
        <v>47</v>
      </c>
      <c r="B23" s="467" t="s">
        <v>48</v>
      </c>
      <c r="C23" s="467" t="s">
        <v>49</v>
      </c>
      <c r="D23" s="467" t="s">
        <v>50</v>
      </c>
      <c r="E23" s="467" t="s">
        <v>90</v>
      </c>
      <c r="F23" s="467" t="s">
        <v>52</v>
      </c>
      <c r="G23" s="467" t="s">
        <v>53</v>
      </c>
      <c r="H23" s="467" t="s">
        <v>54</v>
      </c>
      <c r="I23" s="467" t="s">
        <v>55</v>
      </c>
      <c r="J23" s="467" t="s">
        <v>56</v>
      </c>
      <c r="K23" s="467" t="s">
        <v>202</v>
      </c>
      <c r="L23" s="467" t="s">
        <v>91</v>
      </c>
      <c r="M23" s="467" t="s">
        <v>130</v>
      </c>
      <c r="N23" s="467" t="s">
        <v>93</v>
      </c>
      <c r="O23" s="467"/>
      <c r="P23" s="473">
        <v>0.89</v>
      </c>
      <c r="Q23" s="49" t="s">
        <v>131</v>
      </c>
      <c r="R23" s="49" t="s">
        <v>132</v>
      </c>
      <c r="S23" s="50" t="s">
        <v>93</v>
      </c>
      <c r="T23" s="50"/>
      <c r="U23" s="67">
        <v>0.89</v>
      </c>
      <c r="V23" s="452"/>
      <c r="W23" s="448"/>
      <c r="X23" s="50" t="s">
        <v>220</v>
      </c>
      <c r="Y23" s="392">
        <f>3/3</f>
        <v>1</v>
      </c>
      <c r="Z23" s="393">
        <f>+P23</f>
        <v>0.89</v>
      </c>
      <c r="AA23" s="392">
        <f>+Y23/Z23</f>
        <v>1.1235955056179776</v>
      </c>
      <c r="AB23" s="391" t="s">
        <v>229</v>
      </c>
      <c r="AC23" s="53">
        <v>0</v>
      </c>
      <c r="AD23" s="67">
        <f t="shared" si="4"/>
        <v>0.89</v>
      </c>
      <c r="AE23" s="53">
        <f t="shared" si="5"/>
        <v>0</v>
      </c>
      <c r="AF23" s="50" t="s">
        <v>230</v>
      </c>
      <c r="AG23" s="466">
        <v>1</v>
      </c>
      <c r="AH23" s="469">
        <v>0.89</v>
      </c>
      <c r="AI23" s="466">
        <v>1.1235955056179776</v>
      </c>
      <c r="AJ23" s="465" t="s">
        <v>231</v>
      </c>
      <c r="AK23" s="55">
        <v>1</v>
      </c>
      <c r="AL23" s="69">
        <v>0.89</v>
      </c>
      <c r="AM23" s="55">
        <v>1.1235955056179776</v>
      </c>
      <c r="AN23" s="54" t="s">
        <v>232</v>
      </c>
      <c r="AO23" s="466">
        <f>7/7</f>
        <v>1</v>
      </c>
      <c r="AP23" s="469">
        <f>+P23</f>
        <v>0.89</v>
      </c>
      <c r="AQ23" s="466">
        <f>+AO23/AP23</f>
        <v>1.1235955056179776</v>
      </c>
      <c r="AR23" s="465" t="s">
        <v>233</v>
      </c>
      <c r="AS23" s="55">
        <f>+(2/2)</f>
        <v>1</v>
      </c>
      <c r="AT23" s="69">
        <f t="shared" si="6"/>
        <v>0.89</v>
      </c>
      <c r="AU23" s="55">
        <f t="shared" si="7"/>
        <v>1.1235955056179776</v>
      </c>
      <c r="AV23" s="54" t="s">
        <v>234</v>
      </c>
      <c r="AW23" s="466">
        <f>(7/7)</f>
        <v>1</v>
      </c>
      <c r="AX23" s="469">
        <f>+P23</f>
        <v>0.89</v>
      </c>
      <c r="AY23" s="466">
        <f>+AW23/AX23</f>
        <v>1.1235955056179776</v>
      </c>
      <c r="AZ23" s="465" t="s">
        <v>235</v>
      </c>
      <c r="BA23" s="55">
        <f>(2/2)</f>
        <v>1</v>
      </c>
      <c r="BB23" s="69">
        <f>+U23</f>
        <v>0.89</v>
      </c>
      <c r="BC23" s="55">
        <f t="shared" si="8"/>
        <v>1.1235955056179776</v>
      </c>
      <c r="BD23" s="54" t="s">
        <v>236</v>
      </c>
      <c r="BE23" s="466">
        <f>(8/8)</f>
        <v>1</v>
      </c>
      <c r="BF23" s="469">
        <v>0.89</v>
      </c>
      <c r="BG23" s="466">
        <f>+BE23/BF23</f>
        <v>1.1235955056179776</v>
      </c>
      <c r="BH23" s="465" t="s">
        <v>237</v>
      </c>
      <c r="BI23" s="55">
        <f>(2/2)</f>
        <v>1</v>
      </c>
      <c r="BJ23" s="69">
        <v>0.89</v>
      </c>
      <c r="BK23" s="55">
        <f t="shared" si="9"/>
        <v>1.1235955056179776</v>
      </c>
      <c r="BL23" s="54" t="s">
        <v>238</v>
      </c>
      <c r="BM23" s="466">
        <f>(9/9)</f>
        <v>1</v>
      </c>
      <c r="BN23" s="469">
        <v>0.89</v>
      </c>
      <c r="BO23" s="466">
        <f>+BM23/BN23</f>
        <v>1.1235955056179776</v>
      </c>
      <c r="BP23" s="465" t="s">
        <v>239</v>
      </c>
      <c r="BQ23" s="55">
        <f>(2/2)</f>
        <v>1</v>
      </c>
      <c r="BR23" s="69">
        <v>0.89</v>
      </c>
      <c r="BS23" s="55">
        <f t="shared" si="10"/>
        <v>1.1235955056179776</v>
      </c>
      <c r="BT23" s="54" t="s">
        <v>240</v>
      </c>
      <c r="BU23" s="392">
        <f>(11/11)</f>
        <v>1</v>
      </c>
      <c r="BV23" s="393">
        <v>0.89</v>
      </c>
      <c r="BW23" s="392">
        <f>+BU23/BV23</f>
        <v>1.1235955056179776</v>
      </c>
      <c r="BX23" s="391" t="s">
        <v>241</v>
      </c>
      <c r="BY23" s="53">
        <f>(2/2)</f>
        <v>1</v>
      </c>
      <c r="BZ23" s="67">
        <v>0.89</v>
      </c>
      <c r="CA23" s="53">
        <f t="shared" si="11"/>
        <v>1.1235955056179776</v>
      </c>
      <c r="CB23" s="50" t="s">
        <v>242</v>
      </c>
      <c r="CC23" s="392">
        <f>(12/12)</f>
        <v>1</v>
      </c>
      <c r="CD23" s="393">
        <v>0.89</v>
      </c>
      <c r="CE23" s="392">
        <f>+CC23/CD23</f>
        <v>1.1235955056179776</v>
      </c>
      <c r="CF23" s="392" t="s">
        <v>243</v>
      </c>
      <c r="CG23" s="53">
        <f>(2/2)</f>
        <v>1</v>
      </c>
      <c r="CH23" s="67">
        <v>0.89</v>
      </c>
      <c r="CI23" s="53">
        <f t="shared" si="12"/>
        <v>1.1235955056179776</v>
      </c>
      <c r="CJ23" s="50" t="s">
        <v>244</v>
      </c>
      <c r="CK23" s="392">
        <f>(12/12)</f>
        <v>1</v>
      </c>
      <c r="CL23" s="393">
        <v>0.89</v>
      </c>
      <c r="CM23" s="392">
        <f>+CK23/CL23</f>
        <v>1.1235955056179776</v>
      </c>
      <c r="CN23" s="392" t="s">
        <v>613</v>
      </c>
      <c r="CO23" s="53">
        <f>(4/4)</f>
        <v>1</v>
      </c>
      <c r="CP23" s="68">
        <v>0.89</v>
      </c>
      <c r="CQ23" s="130">
        <f t="shared" si="13"/>
        <v>1.1235955056179776</v>
      </c>
      <c r="CR23" s="52" t="s">
        <v>614</v>
      </c>
    </row>
    <row r="24" spans="1:708" ht="70.5" customHeight="1" x14ac:dyDescent="0.25">
      <c r="A24" s="468"/>
      <c r="B24" s="468"/>
      <c r="C24" s="468"/>
      <c r="D24" s="468"/>
      <c r="E24" s="468"/>
      <c r="F24" s="468"/>
      <c r="G24" s="468"/>
      <c r="H24" s="468"/>
      <c r="I24" s="468"/>
      <c r="J24" s="468"/>
      <c r="K24" s="468"/>
      <c r="L24" s="468"/>
      <c r="M24" s="468"/>
      <c r="N24" s="468"/>
      <c r="O24" s="468"/>
      <c r="P24" s="474"/>
      <c r="Q24" s="58" t="s">
        <v>149</v>
      </c>
      <c r="R24" s="58" t="s">
        <v>150</v>
      </c>
      <c r="S24" s="59" t="s">
        <v>93</v>
      </c>
      <c r="T24" s="59"/>
      <c r="U24" s="71">
        <v>0.89</v>
      </c>
      <c r="V24" s="453"/>
      <c r="W24" s="448"/>
      <c r="X24" s="59" t="s">
        <v>220</v>
      </c>
      <c r="Y24" s="392"/>
      <c r="Z24" s="391"/>
      <c r="AA24" s="392"/>
      <c r="AB24" s="391"/>
      <c r="AC24" s="61">
        <f>(1/6)</f>
        <v>0.16666666666666666</v>
      </c>
      <c r="AD24" s="71">
        <f t="shared" si="4"/>
        <v>0.89</v>
      </c>
      <c r="AE24" s="61">
        <f t="shared" si="5"/>
        <v>0.18726591760299624</v>
      </c>
      <c r="AF24" s="59" t="s">
        <v>245</v>
      </c>
      <c r="AG24" s="466"/>
      <c r="AH24" s="465"/>
      <c r="AI24" s="466"/>
      <c r="AJ24" s="465"/>
      <c r="AK24" s="63">
        <v>0.14285714285714285</v>
      </c>
      <c r="AL24" s="72">
        <v>0.89</v>
      </c>
      <c r="AM24" s="63">
        <v>0.16051364365971107</v>
      </c>
      <c r="AN24" s="62" t="s">
        <v>246</v>
      </c>
      <c r="AO24" s="466"/>
      <c r="AP24" s="465"/>
      <c r="AQ24" s="466"/>
      <c r="AR24" s="465"/>
      <c r="AS24" s="63">
        <f>(0/7)</f>
        <v>0</v>
      </c>
      <c r="AT24" s="72">
        <f t="shared" si="6"/>
        <v>0.89</v>
      </c>
      <c r="AU24" s="63">
        <f t="shared" si="7"/>
        <v>0</v>
      </c>
      <c r="AV24" s="62" t="s">
        <v>247</v>
      </c>
      <c r="AW24" s="466"/>
      <c r="AX24" s="465"/>
      <c r="AY24" s="466"/>
      <c r="AZ24" s="465"/>
      <c r="BA24" s="63">
        <f>(0/7)</f>
        <v>0</v>
      </c>
      <c r="BB24" s="72">
        <f>+U24</f>
        <v>0.89</v>
      </c>
      <c r="BC24" s="63">
        <f t="shared" si="8"/>
        <v>0</v>
      </c>
      <c r="BD24" s="62" t="s">
        <v>248</v>
      </c>
      <c r="BE24" s="466"/>
      <c r="BF24" s="465"/>
      <c r="BG24" s="466"/>
      <c r="BH24" s="465"/>
      <c r="BI24" s="63">
        <f>(0/7)</f>
        <v>0</v>
      </c>
      <c r="BJ24" s="72">
        <v>0.89</v>
      </c>
      <c r="BK24" s="63">
        <f t="shared" si="9"/>
        <v>0</v>
      </c>
      <c r="BL24" s="62" t="s">
        <v>249</v>
      </c>
      <c r="BM24" s="466"/>
      <c r="BN24" s="465"/>
      <c r="BO24" s="466"/>
      <c r="BP24" s="465"/>
      <c r="BQ24" s="470"/>
      <c r="BR24" s="471"/>
      <c r="BS24" s="471"/>
      <c r="BT24" s="472"/>
      <c r="BU24" s="392"/>
      <c r="BV24" s="391"/>
      <c r="BW24" s="392"/>
      <c r="BX24" s="391"/>
      <c r="BY24" s="394"/>
      <c r="BZ24" s="395"/>
      <c r="CA24" s="395"/>
      <c r="CB24" s="396"/>
      <c r="CC24" s="392"/>
      <c r="CD24" s="391"/>
      <c r="CE24" s="392"/>
      <c r="CF24" s="392"/>
      <c r="CG24" s="394"/>
      <c r="CH24" s="395"/>
      <c r="CI24" s="395"/>
      <c r="CJ24" s="396"/>
      <c r="CK24" s="392"/>
      <c r="CL24" s="391"/>
      <c r="CM24" s="392"/>
      <c r="CN24" s="392"/>
      <c r="CO24" s="394"/>
      <c r="CP24" s="395"/>
      <c r="CQ24" s="395"/>
      <c r="CR24" s="396"/>
    </row>
    <row r="25" spans="1:708" s="18" customFormat="1" ht="62.25" customHeight="1" x14ac:dyDescent="0.25">
      <c r="A25" s="39"/>
      <c r="B25" s="39"/>
      <c r="C25" s="39"/>
      <c r="D25" s="39"/>
      <c r="E25" s="39"/>
      <c r="F25" s="39"/>
      <c r="G25" s="39"/>
      <c r="H25" s="39"/>
      <c r="I25" s="39"/>
      <c r="J25" s="39"/>
      <c r="K25" s="39"/>
      <c r="L25" s="39"/>
      <c r="M25" s="39"/>
      <c r="N25" s="39"/>
      <c r="O25" s="39"/>
      <c r="P25" s="40"/>
      <c r="Q25" s="39"/>
      <c r="R25" s="39"/>
      <c r="S25" s="40"/>
      <c r="T25" s="39"/>
      <c r="U25" s="39"/>
      <c r="V25" s="41"/>
      <c r="W25" s="448"/>
      <c r="X25" s="39"/>
      <c r="Y25" s="382" t="s">
        <v>102</v>
      </c>
      <c r="Z25" s="382"/>
      <c r="AA25" s="42">
        <f>AVERAGE(AA21:AA24)</f>
        <v>0.59371264642601007</v>
      </c>
      <c r="AB25" s="73"/>
      <c r="AC25" s="382" t="s">
        <v>103</v>
      </c>
      <c r="AD25" s="382"/>
      <c r="AE25" s="42">
        <f>AVERAGE(AE21:AE24)</f>
        <v>6.7086749671019325E-2</v>
      </c>
      <c r="AF25" s="44"/>
      <c r="AG25" s="459" t="s">
        <v>102</v>
      </c>
      <c r="AH25" s="459"/>
      <c r="AI25" s="42">
        <f>AVERAGE(AI21:AI24)</f>
        <v>0.63626583791537183</v>
      </c>
      <c r="AJ25" s="74"/>
      <c r="AK25" s="459" t="s">
        <v>103</v>
      </c>
      <c r="AL25" s="459"/>
      <c r="AM25" s="42">
        <f>AVERAGE(AM21:AM24)</f>
        <v>0.38684310313523795</v>
      </c>
      <c r="AN25" s="45"/>
      <c r="AO25" s="382" t="s">
        <v>102</v>
      </c>
      <c r="AP25" s="382"/>
      <c r="AQ25" s="42">
        <f>AVERAGE(AQ21:AQ24)</f>
        <v>0.65754243366005261</v>
      </c>
      <c r="AR25" s="73"/>
      <c r="AS25" s="382" t="s">
        <v>103</v>
      </c>
      <c r="AT25" s="382"/>
      <c r="AU25" s="42">
        <f>AVERAGE(AU21:AU24)</f>
        <v>0.36273070823632625</v>
      </c>
      <c r="AV25" s="44"/>
      <c r="AW25" s="459" t="s">
        <v>102</v>
      </c>
      <c r="AX25" s="459"/>
      <c r="AY25" s="46">
        <f>AVERAGE(AY21:AY24)</f>
        <v>0.65754243366005261</v>
      </c>
      <c r="AZ25" s="74"/>
      <c r="BA25" s="459" t="s">
        <v>103</v>
      </c>
      <c r="BB25" s="459"/>
      <c r="BC25" s="46">
        <f>AVERAGE(BC21:BC24)</f>
        <v>0.36273070823632625</v>
      </c>
      <c r="BD25" s="45"/>
      <c r="BE25" s="459" t="s">
        <v>102</v>
      </c>
      <c r="BF25" s="459"/>
      <c r="BG25" s="46">
        <f>AVERAGE(BG21:BG24)</f>
        <v>0.6681807315323931</v>
      </c>
      <c r="BH25" s="74"/>
      <c r="BI25" s="382" t="s">
        <v>103</v>
      </c>
      <c r="BJ25" s="382"/>
      <c r="BK25" s="42">
        <f>AVERAGE(BK21:BK24)</f>
        <v>0.36948746499308299</v>
      </c>
      <c r="BL25" s="44"/>
      <c r="BM25" s="459" t="s">
        <v>102</v>
      </c>
      <c r="BN25" s="459"/>
      <c r="BO25" s="46">
        <f>AVERAGE(BO21:BO24)</f>
        <v>0.67881902940473349</v>
      </c>
      <c r="BP25" s="74"/>
      <c r="BQ25" s="459" t="s">
        <v>103</v>
      </c>
      <c r="BR25" s="459"/>
      <c r="BS25" s="46">
        <f>AVERAGE(BS21:BS24)</f>
        <v>0.51967698035113774</v>
      </c>
      <c r="BT25" s="45"/>
      <c r="BU25" s="382" t="s">
        <v>102</v>
      </c>
      <c r="BV25" s="382"/>
      <c r="BW25" s="42">
        <f>AVERAGE(BW21:BW24)</f>
        <v>0.71073392302175475</v>
      </c>
      <c r="BX25" s="73"/>
      <c r="BY25" s="382" t="s">
        <v>103</v>
      </c>
      <c r="BZ25" s="382"/>
      <c r="CA25" s="42">
        <f>AVERAGE(CA21:CA24)</f>
        <v>0.52868598936014666</v>
      </c>
      <c r="CB25" s="44"/>
      <c r="CC25" s="382" t="s">
        <v>102</v>
      </c>
      <c r="CD25" s="382"/>
      <c r="CE25" s="42">
        <f>AVERAGE(CE21:CE24)</f>
        <v>0.72137222089409514</v>
      </c>
      <c r="CF25" s="73"/>
      <c r="CG25" s="382" t="s">
        <v>103</v>
      </c>
      <c r="CH25" s="382"/>
      <c r="CI25" s="42">
        <f>AVERAGE(CI21:CI24)</f>
        <v>0.56238635639384704</v>
      </c>
      <c r="CJ25" s="44"/>
      <c r="CK25" s="382" t="s">
        <v>102</v>
      </c>
      <c r="CL25" s="382"/>
      <c r="CM25" s="42">
        <f>AVERAGE(CM21:CM24)</f>
        <v>0.72137222089409514</v>
      </c>
      <c r="CN25" s="131"/>
      <c r="CO25" s="382" t="s">
        <v>103</v>
      </c>
      <c r="CP25" s="382"/>
      <c r="CQ25" s="42">
        <f>AVERAGE(CQ21:CQ24)</f>
        <v>0.57473203540619278</v>
      </c>
      <c r="CR25" s="44"/>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c r="DS25" s="17"/>
      <c r="DT25" s="17"/>
      <c r="DU25" s="17"/>
      <c r="DV25" s="17"/>
      <c r="DW25" s="17"/>
      <c r="DX25" s="17"/>
      <c r="DY25" s="17"/>
      <c r="DZ25" s="17"/>
      <c r="EA25" s="17"/>
      <c r="EB25" s="17"/>
      <c r="EC25" s="17"/>
      <c r="ED25" s="17"/>
      <c r="EE25" s="17"/>
      <c r="EF25" s="17"/>
      <c r="EG25" s="17"/>
      <c r="EH25" s="17"/>
      <c r="EI25" s="17"/>
      <c r="EJ25" s="17"/>
      <c r="EK25" s="17"/>
      <c r="EL25" s="17"/>
      <c r="EM25" s="17"/>
      <c r="EN25" s="17"/>
      <c r="EO25" s="17"/>
      <c r="EP25" s="17"/>
      <c r="EQ25" s="17"/>
      <c r="ER25" s="17"/>
      <c r="ES25" s="17"/>
      <c r="ET25" s="17"/>
      <c r="EU25" s="17"/>
      <c r="EV25" s="17"/>
      <c r="EW25" s="17"/>
      <c r="EX25" s="17"/>
      <c r="EY25" s="17"/>
      <c r="EZ25" s="17"/>
      <c r="FA25" s="17"/>
      <c r="FB25" s="17"/>
      <c r="FC25" s="17"/>
      <c r="FD25" s="17"/>
      <c r="FE25" s="17"/>
      <c r="FF25" s="17"/>
      <c r="FG25" s="17"/>
      <c r="FH25" s="17"/>
      <c r="FI25" s="17"/>
      <c r="FJ25" s="17"/>
      <c r="FK25" s="17"/>
      <c r="FL25" s="17"/>
      <c r="FM25" s="17"/>
      <c r="FN25" s="17"/>
      <c r="FO25" s="17"/>
      <c r="FP25" s="17"/>
      <c r="FQ25" s="17"/>
      <c r="FR25" s="17"/>
      <c r="FS25" s="17"/>
      <c r="FT25" s="17"/>
      <c r="FU25" s="17"/>
      <c r="FV25" s="17"/>
      <c r="FW25" s="17"/>
      <c r="FX25" s="17"/>
      <c r="FY25" s="17"/>
      <c r="FZ25" s="17"/>
      <c r="GA25" s="17"/>
      <c r="GB25" s="17"/>
      <c r="GC25" s="17"/>
      <c r="GD25" s="17"/>
      <c r="GE25" s="17"/>
      <c r="GF25" s="17"/>
      <c r="GG25" s="17"/>
      <c r="GH25" s="17"/>
      <c r="GI25" s="17"/>
      <c r="GJ25" s="17"/>
      <c r="GK25" s="17"/>
      <c r="GL25" s="17"/>
      <c r="GM25" s="17"/>
      <c r="GN25" s="17"/>
      <c r="GO25" s="17"/>
      <c r="GP25" s="17"/>
      <c r="GQ25" s="17"/>
      <c r="GR25" s="17"/>
      <c r="GS25" s="17"/>
      <c r="GT25" s="17"/>
      <c r="GU25" s="17"/>
      <c r="GV25" s="17"/>
      <c r="GW25" s="17"/>
      <c r="GX25" s="17"/>
      <c r="GY25" s="17"/>
      <c r="GZ25" s="17"/>
      <c r="HA25" s="17"/>
      <c r="HB25" s="17"/>
      <c r="HC25" s="17"/>
      <c r="HD25" s="17"/>
      <c r="HE25" s="17"/>
      <c r="HF25" s="17"/>
      <c r="HG25" s="17"/>
      <c r="HH25" s="17"/>
      <c r="HI25" s="17"/>
      <c r="HJ25" s="17"/>
      <c r="HK25" s="17"/>
      <c r="HL25" s="17"/>
      <c r="HM25" s="17"/>
      <c r="HN25" s="17"/>
      <c r="HO25" s="17"/>
      <c r="HP25" s="17"/>
      <c r="HQ25" s="17"/>
      <c r="HR25" s="17"/>
      <c r="HS25" s="17"/>
      <c r="HT25" s="17"/>
      <c r="HU25" s="17"/>
      <c r="HV25" s="17"/>
      <c r="HW25" s="17"/>
      <c r="HX25" s="17"/>
      <c r="HY25" s="17"/>
      <c r="HZ25" s="17"/>
      <c r="IA25" s="17"/>
      <c r="IB25" s="17"/>
      <c r="IC25" s="17"/>
      <c r="ID25" s="17"/>
      <c r="IE25" s="17"/>
      <c r="IF25" s="17"/>
      <c r="IG25" s="17"/>
      <c r="IH25" s="17"/>
      <c r="II25" s="17"/>
      <c r="IJ25" s="17"/>
      <c r="IK25" s="17"/>
      <c r="IL25" s="17"/>
      <c r="IM25" s="17"/>
      <c r="IN25" s="17"/>
      <c r="IO25" s="17"/>
      <c r="IP25" s="17"/>
      <c r="IQ25" s="17"/>
      <c r="IR25" s="17"/>
      <c r="IS25" s="17"/>
      <c r="IT25" s="17"/>
      <c r="IU25" s="17"/>
      <c r="IV25" s="17"/>
      <c r="IW25" s="17"/>
      <c r="IX25" s="17"/>
      <c r="IY25" s="17"/>
      <c r="IZ25" s="17"/>
      <c r="JA25" s="17"/>
      <c r="JB25" s="17"/>
      <c r="JC25" s="17"/>
      <c r="JD25" s="17"/>
      <c r="JE25" s="17"/>
      <c r="JF25" s="17"/>
      <c r="JG25" s="17"/>
      <c r="JH25" s="17"/>
      <c r="JI25" s="17"/>
      <c r="JJ25" s="17"/>
      <c r="JK25" s="17"/>
      <c r="JL25" s="17"/>
      <c r="JM25" s="17"/>
      <c r="JN25" s="17"/>
      <c r="JO25" s="17"/>
      <c r="JP25" s="17"/>
      <c r="JQ25" s="17"/>
      <c r="JR25" s="17"/>
      <c r="JS25" s="17"/>
      <c r="JT25" s="17"/>
      <c r="JU25" s="17"/>
      <c r="JV25" s="17"/>
      <c r="JW25" s="17"/>
      <c r="JX25" s="17"/>
      <c r="JY25" s="17"/>
      <c r="JZ25" s="17"/>
      <c r="KA25" s="17"/>
      <c r="KB25" s="17"/>
      <c r="KC25" s="17"/>
      <c r="KD25" s="17"/>
      <c r="KE25" s="17"/>
      <c r="KF25" s="17"/>
      <c r="KG25" s="17"/>
      <c r="KH25" s="17"/>
      <c r="KI25" s="17"/>
      <c r="KJ25" s="17"/>
      <c r="KK25" s="17"/>
      <c r="KL25" s="17"/>
      <c r="KM25" s="17"/>
      <c r="KN25" s="17"/>
      <c r="KO25" s="17"/>
      <c r="KP25" s="17"/>
      <c r="KQ25" s="17"/>
      <c r="KR25" s="17"/>
      <c r="KS25" s="17"/>
      <c r="KT25" s="17"/>
      <c r="KU25" s="17"/>
      <c r="KV25" s="17"/>
      <c r="KW25" s="17"/>
      <c r="KX25" s="17"/>
      <c r="KY25" s="17"/>
      <c r="KZ25" s="17"/>
      <c r="LA25" s="17"/>
      <c r="LB25" s="17"/>
      <c r="LC25" s="17"/>
      <c r="LD25" s="17"/>
      <c r="LE25" s="17"/>
      <c r="LF25" s="17"/>
      <c r="LG25" s="17"/>
      <c r="LH25" s="17"/>
      <c r="LI25" s="17"/>
      <c r="LJ25" s="17"/>
      <c r="LK25" s="17"/>
      <c r="LL25" s="17"/>
      <c r="LM25" s="17"/>
      <c r="LN25" s="17"/>
      <c r="LO25" s="17"/>
      <c r="LP25" s="17"/>
      <c r="LQ25" s="17"/>
      <c r="LR25" s="17"/>
      <c r="LS25" s="17"/>
      <c r="LT25" s="17"/>
      <c r="LU25" s="17"/>
      <c r="LV25" s="17"/>
      <c r="LW25" s="17"/>
      <c r="LX25" s="17"/>
      <c r="LY25" s="17"/>
      <c r="LZ25" s="17"/>
      <c r="MA25" s="17"/>
      <c r="MB25" s="17"/>
      <c r="MC25" s="17"/>
      <c r="MD25" s="17"/>
      <c r="ME25" s="17"/>
      <c r="MF25" s="17"/>
      <c r="MG25" s="17"/>
      <c r="MH25" s="17"/>
      <c r="MI25" s="17"/>
      <c r="MJ25" s="17"/>
      <c r="MK25" s="17"/>
      <c r="ML25" s="17"/>
      <c r="MM25" s="17"/>
      <c r="MN25" s="17"/>
      <c r="MO25" s="17"/>
      <c r="MP25" s="17"/>
      <c r="MQ25" s="17"/>
      <c r="MR25" s="17"/>
      <c r="MS25" s="17"/>
      <c r="MT25" s="17"/>
      <c r="MU25" s="17"/>
      <c r="MV25" s="17"/>
      <c r="MW25" s="17"/>
      <c r="MX25" s="17"/>
      <c r="MY25" s="17"/>
      <c r="MZ25" s="17"/>
      <c r="NA25" s="17"/>
      <c r="NB25" s="17"/>
      <c r="NC25" s="17"/>
      <c r="ND25" s="17"/>
      <c r="NE25" s="17"/>
      <c r="NF25" s="17"/>
      <c r="NG25" s="17"/>
      <c r="NH25" s="17"/>
      <c r="NI25" s="17"/>
      <c r="NJ25" s="17"/>
      <c r="NK25" s="17"/>
      <c r="NL25" s="17"/>
      <c r="NM25" s="17"/>
      <c r="NN25" s="17"/>
      <c r="NO25" s="17"/>
      <c r="NP25" s="17"/>
      <c r="NQ25" s="17"/>
      <c r="NR25" s="17"/>
      <c r="NS25" s="17"/>
      <c r="NT25" s="17"/>
      <c r="NU25" s="17"/>
      <c r="NV25" s="17"/>
      <c r="NW25" s="17"/>
      <c r="NX25" s="17"/>
      <c r="NY25" s="17"/>
      <c r="NZ25" s="17"/>
      <c r="OA25" s="17"/>
      <c r="OB25" s="17"/>
      <c r="OC25" s="17"/>
      <c r="OD25" s="17"/>
      <c r="OE25" s="17"/>
      <c r="OF25" s="17"/>
      <c r="OG25" s="17"/>
      <c r="OH25" s="17"/>
      <c r="OI25" s="17"/>
      <c r="OJ25" s="17"/>
      <c r="OK25" s="17"/>
      <c r="OL25" s="17"/>
      <c r="OM25" s="17"/>
      <c r="ON25" s="17"/>
      <c r="OO25" s="17"/>
      <c r="OP25" s="17"/>
      <c r="OQ25" s="17"/>
      <c r="OR25" s="17"/>
      <c r="OS25" s="17"/>
      <c r="OT25" s="17"/>
      <c r="OU25" s="17"/>
      <c r="OV25" s="17"/>
      <c r="OW25" s="17"/>
      <c r="OX25" s="17"/>
      <c r="OY25" s="17"/>
      <c r="OZ25" s="17"/>
      <c r="PA25" s="17"/>
      <c r="PB25" s="17"/>
      <c r="PC25" s="17"/>
      <c r="PD25" s="17"/>
      <c r="PE25" s="17"/>
      <c r="PF25" s="17"/>
      <c r="PG25" s="17"/>
      <c r="PH25" s="17"/>
      <c r="PI25" s="17"/>
      <c r="PJ25" s="17"/>
      <c r="PK25" s="17"/>
      <c r="PL25" s="17"/>
      <c r="PM25" s="17"/>
      <c r="PN25" s="17"/>
      <c r="PO25" s="17"/>
      <c r="PP25" s="17"/>
      <c r="PQ25" s="17"/>
      <c r="PR25" s="17"/>
      <c r="PS25" s="17"/>
      <c r="PT25" s="17"/>
      <c r="PU25" s="17"/>
      <c r="PV25" s="17"/>
      <c r="PW25" s="17"/>
      <c r="PX25" s="17"/>
      <c r="PY25" s="17"/>
      <c r="PZ25" s="17"/>
      <c r="QA25" s="17"/>
      <c r="QB25" s="17"/>
      <c r="QC25" s="17"/>
      <c r="QD25" s="17"/>
      <c r="QE25" s="17"/>
      <c r="QF25" s="17"/>
      <c r="QG25" s="17"/>
      <c r="QH25" s="17"/>
      <c r="QI25" s="17"/>
      <c r="QJ25" s="17"/>
      <c r="QK25" s="17"/>
      <c r="QL25" s="17"/>
      <c r="QM25" s="17"/>
      <c r="QN25" s="17"/>
      <c r="QO25" s="17"/>
      <c r="QP25" s="17"/>
      <c r="QQ25" s="17"/>
      <c r="QR25" s="17"/>
      <c r="QS25" s="17"/>
      <c r="QT25" s="17"/>
      <c r="QU25" s="17"/>
      <c r="QV25" s="17"/>
      <c r="QW25" s="17"/>
      <c r="QX25" s="17"/>
      <c r="QY25" s="17"/>
      <c r="QZ25" s="17"/>
      <c r="RA25" s="17"/>
      <c r="RB25" s="17"/>
      <c r="RC25" s="17"/>
      <c r="RD25" s="17"/>
      <c r="RE25" s="17"/>
      <c r="RF25" s="17"/>
      <c r="RG25" s="17"/>
      <c r="RH25" s="17"/>
      <c r="RI25" s="17"/>
      <c r="RJ25" s="17"/>
      <c r="RK25" s="17"/>
      <c r="RL25" s="17"/>
      <c r="RM25" s="17"/>
      <c r="RN25" s="17"/>
      <c r="RO25" s="17"/>
      <c r="RP25" s="17"/>
      <c r="RQ25" s="17"/>
      <c r="RR25" s="17"/>
      <c r="RS25" s="17"/>
      <c r="RT25" s="17"/>
      <c r="RU25" s="17"/>
      <c r="RV25" s="17"/>
      <c r="RW25" s="17"/>
      <c r="RX25" s="17"/>
      <c r="RY25" s="17"/>
      <c r="RZ25" s="17"/>
      <c r="SA25" s="17"/>
      <c r="SB25" s="17"/>
      <c r="SC25" s="17"/>
      <c r="SD25" s="17"/>
      <c r="SE25" s="17"/>
      <c r="SF25" s="17"/>
      <c r="SG25" s="17"/>
      <c r="SH25" s="17"/>
      <c r="SI25" s="17"/>
      <c r="SJ25" s="17"/>
      <c r="SK25" s="17"/>
      <c r="SL25" s="17"/>
      <c r="SM25" s="17"/>
      <c r="SN25" s="17"/>
      <c r="SO25" s="17"/>
      <c r="SP25" s="17"/>
      <c r="SQ25" s="17"/>
      <c r="SR25" s="17"/>
      <c r="SS25" s="17"/>
      <c r="ST25" s="17"/>
      <c r="SU25" s="17"/>
      <c r="SV25" s="17"/>
      <c r="SW25" s="17"/>
      <c r="SX25" s="17"/>
      <c r="SY25" s="17"/>
      <c r="SZ25" s="17"/>
      <c r="TA25" s="17"/>
      <c r="TB25" s="17"/>
      <c r="TC25" s="17"/>
      <c r="TD25" s="17"/>
      <c r="TE25" s="17"/>
      <c r="TF25" s="17"/>
      <c r="TG25" s="17"/>
      <c r="TH25" s="17"/>
      <c r="TI25" s="17"/>
      <c r="TJ25" s="17"/>
      <c r="TK25" s="17"/>
      <c r="TL25" s="17"/>
      <c r="TM25" s="17"/>
      <c r="TN25" s="17"/>
      <c r="TO25" s="17"/>
      <c r="TP25" s="17"/>
      <c r="TQ25" s="17"/>
      <c r="TR25" s="17"/>
      <c r="TS25" s="17"/>
      <c r="TT25" s="17"/>
      <c r="TU25" s="17"/>
      <c r="TV25" s="17"/>
      <c r="TW25" s="17"/>
      <c r="TX25" s="17"/>
      <c r="TY25" s="17"/>
      <c r="TZ25" s="17"/>
      <c r="UA25" s="17"/>
      <c r="UB25" s="17"/>
      <c r="UC25" s="17"/>
      <c r="UD25" s="17"/>
      <c r="UE25" s="17"/>
      <c r="UF25" s="17"/>
      <c r="UG25" s="17"/>
      <c r="UH25" s="17"/>
      <c r="UI25" s="17"/>
      <c r="UJ25" s="17"/>
      <c r="UK25" s="17"/>
      <c r="UL25" s="17"/>
      <c r="UM25" s="17"/>
      <c r="UN25" s="17"/>
      <c r="UO25" s="17"/>
      <c r="UP25" s="17"/>
      <c r="UQ25" s="17"/>
      <c r="UR25" s="17"/>
      <c r="US25" s="17"/>
      <c r="UT25" s="17"/>
      <c r="UU25" s="17"/>
      <c r="UV25" s="17"/>
      <c r="UW25" s="17"/>
      <c r="UX25" s="17"/>
      <c r="UY25" s="17"/>
      <c r="UZ25" s="17"/>
      <c r="VA25" s="17"/>
      <c r="VB25" s="17"/>
      <c r="VC25" s="17"/>
      <c r="VD25" s="17"/>
      <c r="VE25" s="17"/>
      <c r="VF25" s="17"/>
      <c r="VG25" s="17"/>
      <c r="VH25" s="17"/>
      <c r="VI25" s="17"/>
      <c r="VJ25" s="17"/>
      <c r="VK25" s="17"/>
      <c r="VL25" s="17"/>
      <c r="VM25" s="17"/>
      <c r="VN25" s="17"/>
      <c r="VO25" s="17"/>
      <c r="VP25" s="17"/>
      <c r="VQ25" s="17"/>
      <c r="VR25" s="17"/>
      <c r="VS25" s="17"/>
      <c r="VT25" s="17"/>
      <c r="VU25" s="17"/>
      <c r="VV25" s="17"/>
      <c r="VW25" s="17"/>
      <c r="VX25" s="17"/>
      <c r="VY25" s="17"/>
      <c r="VZ25" s="17"/>
      <c r="WA25" s="17"/>
      <c r="WB25" s="17"/>
      <c r="WC25" s="17"/>
      <c r="WD25" s="17"/>
      <c r="WE25" s="17"/>
      <c r="WF25" s="17"/>
      <c r="WG25" s="17"/>
      <c r="WH25" s="17"/>
      <c r="WI25" s="17"/>
      <c r="WJ25" s="17"/>
      <c r="WK25" s="17"/>
      <c r="WL25" s="17"/>
      <c r="WM25" s="17"/>
      <c r="WN25" s="17"/>
      <c r="WO25" s="17"/>
      <c r="WP25" s="17"/>
      <c r="WQ25" s="17"/>
      <c r="WR25" s="17"/>
      <c r="WS25" s="17"/>
      <c r="WT25" s="17"/>
      <c r="WU25" s="17"/>
      <c r="WV25" s="17"/>
      <c r="WW25" s="17"/>
      <c r="WX25" s="17"/>
      <c r="WY25" s="17"/>
      <c r="WZ25" s="17"/>
      <c r="XA25" s="17"/>
      <c r="XB25" s="17"/>
      <c r="XC25" s="17"/>
      <c r="XD25" s="17"/>
      <c r="XE25" s="17"/>
      <c r="XF25" s="17"/>
      <c r="XG25" s="17"/>
      <c r="XH25" s="17"/>
      <c r="XI25" s="17"/>
      <c r="XJ25" s="17"/>
      <c r="XK25" s="17"/>
      <c r="XL25" s="17"/>
      <c r="XM25" s="17"/>
      <c r="XN25" s="17"/>
      <c r="XO25" s="17"/>
      <c r="XP25" s="17"/>
      <c r="XQ25" s="17"/>
      <c r="XR25" s="17"/>
      <c r="XS25" s="17"/>
      <c r="XT25" s="17"/>
      <c r="XU25" s="17"/>
      <c r="XV25" s="17"/>
      <c r="XW25" s="17"/>
      <c r="XX25" s="17"/>
      <c r="XY25" s="17"/>
      <c r="XZ25" s="17"/>
      <c r="YA25" s="17"/>
      <c r="YB25" s="17"/>
      <c r="YC25" s="17"/>
      <c r="YD25" s="17"/>
      <c r="YE25" s="17"/>
      <c r="YF25" s="17"/>
      <c r="YG25" s="17"/>
      <c r="YH25" s="17"/>
      <c r="YI25" s="17"/>
      <c r="YJ25" s="17"/>
      <c r="YK25" s="17"/>
      <c r="YL25" s="17"/>
      <c r="YM25" s="17"/>
      <c r="YN25" s="17"/>
      <c r="YO25" s="17"/>
      <c r="YP25" s="17"/>
      <c r="YQ25" s="17"/>
      <c r="YR25" s="17"/>
      <c r="YS25" s="17"/>
      <c r="YT25" s="17"/>
      <c r="YU25" s="17"/>
      <c r="YV25" s="17"/>
      <c r="YW25" s="17"/>
      <c r="YX25" s="17"/>
      <c r="YY25" s="17"/>
      <c r="YZ25" s="17"/>
      <c r="ZA25" s="17"/>
      <c r="ZB25" s="17"/>
      <c r="ZC25" s="17"/>
      <c r="ZD25" s="17"/>
      <c r="ZE25" s="17"/>
      <c r="ZF25" s="17"/>
      <c r="ZG25" s="17"/>
      <c r="ZH25" s="17"/>
      <c r="ZI25" s="17"/>
      <c r="ZJ25" s="17"/>
      <c r="ZK25" s="17"/>
      <c r="ZL25" s="17"/>
      <c r="ZM25" s="17"/>
      <c r="ZN25" s="17"/>
      <c r="ZO25" s="17"/>
      <c r="ZP25" s="17"/>
      <c r="ZQ25" s="17"/>
      <c r="ZR25" s="17"/>
      <c r="ZS25" s="17"/>
      <c r="ZT25" s="17"/>
      <c r="ZU25" s="17"/>
      <c r="ZV25" s="17"/>
      <c r="ZW25" s="17"/>
      <c r="ZX25" s="17"/>
      <c r="ZY25" s="17"/>
      <c r="ZZ25" s="17"/>
      <c r="AAA25" s="17"/>
      <c r="AAB25" s="17"/>
      <c r="AAC25" s="17"/>
      <c r="AAD25" s="17"/>
      <c r="AAE25" s="17"/>
      <c r="AAF25" s="17"/>
    </row>
    <row r="26" spans="1:708" ht="67.5" customHeight="1" x14ac:dyDescent="0.25">
      <c r="A26" s="461" t="s">
        <v>47</v>
      </c>
      <c r="B26" s="461" t="s">
        <v>48</v>
      </c>
      <c r="C26" s="461" t="s">
        <v>49</v>
      </c>
      <c r="D26" s="461" t="s">
        <v>50</v>
      </c>
      <c r="E26" s="461" t="s">
        <v>51</v>
      </c>
      <c r="F26" s="461" t="s">
        <v>52</v>
      </c>
      <c r="G26" s="461" t="s">
        <v>53</v>
      </c>
      <c r="H26" s="461" t="s">
        <v>54</v>
      </c>
      <c r="I26" s="461" t="s">
        <v>55</v>
      </c>
      <c r="J26" s="461" t="s">
        <v>56</v>
      </c>
      <c r="K26" s="461" t="s">
        <v>250</v>
      </c>
      <c r="L26" s="461" t="s">
        <v>58</v>
      </c>
      <c r="M26" s="461" t="s">
        <v>59</v>
      </c>
      <c r="N26" s="461" t="s">
        <v>60</v>
      </c>
      <c r="O26" s="461"/>
      <c r="P26" s="461">
        <v>20</v>
      </c>
      <c r="Q26" s="49" t="s">
        <v>61</v>
      </c>
      <c r="R26" s="49" t="s">
        <v>62</v>
      </c>
      <c r="S26" s="50" t="s">
        <v>60</v>
      </c>
      <c r="T26" s="50"/>
      <c r="U26" s="50">
        <v>15</v>
      </c>
      <c r="V26" s="451">
        <v>296872344</v>
      </c>
      <c r="W26" s="448"/>
      <c r="X26" s="50" t="s">
        <v>251</v>
      </c>
      <c r="Y26" s="391">
        <v>3</v>
      </c>
      <c r="Z26" s="391">
        <f>+P26</f>
        <v>20</v>
      </c>
      <c r="AA26" s="392">
        <f>+Y26/Z26</f>
        <v>0.15</v>
      </c>
      <c r="AB26" s="391" t="s">
        <v>252</v>
      </c>
      <c r="AC26" s="50">
        <v>0</v>
      </c>
      <c r="AD26" s="50">
        <f t="shared" ref="AD26:AD29" si="14">+U26</f>
        <v>15</v>
      </c>
      <c r="AE26" s="53">
        <f>AC26/AD26</f>
        <v>0</v>
      </c>
      <c r="AF26" s="50" t="s">
        <v>205</v>
      </c>
      <c r="AG26" s="465">
        <v>3</v>
      </c>
      <c r="AH26" s="465">
        <v>20</v>
      </c>
      <c r="AI26" s="466">
        <v>0.15</v>
      </c>
      <c r="AJ26" s="465" t="s">
        <v>253</v>
      </c>
      <c r="AK26" s="54">
        <v>3</v>
      </c>
      <c r="AL26" s="54">
        <v>15</v>
      </c>
      <c r="AM26" s="55">
        <v>0.2</v>
      </c>
      <c r="AN26" s="54" t="s">
        <v>254</v>
      </c>
      <c r="AO26" s="465">
        <v>6</v>
      </c>
      <c r="AP26" s="465">
        <f>+P26</f>
        <v>20</v>
      </c>
      <c r="AQ26" s="466">
        <f>+AO26/AP26</f>
        <v>0.3</v>
      </c>
      <c r="AR26" s="465" t="s">
        <v>255</v>
      </c>
      <c r="AS26" s="54">
        <v>4</v>
      </c>
      <c r="AT26" s="54">
        <f t="shared" ref="AT26:AT29" si="15">+U26</f>
        <v>15</v>
      </c>
      <c r="AU26" s="55">
        <f>AS26/AT26</f>
        <v>0.26666666666666666</v>
      </c>
      <c r="AV26" s="54" t="s">
        <v>256</v>
      </c>
      <c r="AW26" s="465">
        <v>6</v>
      </c>
      <c r="AX26" s="465">
        <f>+P26</f>
        <v>20</v>
      </c>
      <c r="AY26" s="466">
        <f>+AW26/AX26</f>
        <v>0.3</v>
      </c>
      <c r="AZ26" s="465" t="s">
        <v>257</v>
      </c>
      <c r="BA26" s="54">
        <v>4</v>
      </c>
      <c r="BB26" s="54">
        <f>+U26</f>
        <v>15</v>
      </c>
      <c r="BC26" s="55">
        <f>BA26/BB26</f>
        <v>0.26666666666666666</v>
      </c>
      <c r="BD26" s="54" t="s">
        <v>258</v>
      </c>
      <c r="BE26" s="465">
        <v>6</v>
      </c>
      <c r="BF26" s="465">
        <v>20</v>
      </c>
      <c r="BG26" s="466">
        <f>+BE26/BF26</f>
        <v>0.3</v>
      </c>
      <c r="BH26" s="465" t="s">
        <v>259</v>
      </c>
      <c r="BI26" s="54">
        <v>4</v>
      </c>
      <c r="BJ26" s="54">
        <v>15</v>
      </c>
      <c r="BK26" s="55">
        <f>BI26/BJ26</f>
        <v>0.26666666666666666</v>
      </c>
      <c r="BL26" s="54" t="s">
        <v>260</v>
      </c>
      <c r="BM26" s="465">
        <v>6</v>
      </c>
      <c r="BN26" s="465">
        <v>20</v>
      </c>
      <c r="BO26" s="466">
        <f>+BM26/BN26</f>
        <v>0.3</v>
      </c>
      <c r="BP26" s="465" t="s">
        <v>261</v>
      </c>
      <c r="BQ26" s="54">
        <v>4</v>
      </c>
      <c r="BR26" s="54">
        <v>15</v>
      </c>
      <c r="BS26" s="55">
        <f>BQ26/BR26</f>
        <v>0.26666666666666666</v>
      </c>
      <c r="BT26" s="54" t="s">
        <v>262</v>
      </c>
      <c r="BU26" s="391">
        <v>7</v>
      </c>
      <c r="BV26" s="391">
        <v>20</v>
      </c>
      <c r="BW26" s="392">
        <f>+BU26/BV26</f>
        <v>0.35</v>
      </c>
      <c r="BX26" s="391" t="s">
        <v>263</v>
      </c>
      <c r="BY26" s="50">
        <v>5</v>
      </c>
      <c r="BZ26" s="50">
        <v>15</v>
      </c>
      <c r="CA26" s="53">
        <f>BY26/BZ26</f>
        <v>0.33333333333333331</v>
      </c>
      <c r="CB26" s="50" t="s">
        <v>264</v>
      </c>
      <c r="CC26" s="391">
        <v>7</v>
      </c>
      <c r="CD26" s="391">
        <v>20</v>
      </c>
      <c r="CE26" s="392">
        <f>+CC26/CD26</f>
        <v>0.35</v>
      </c>
      <c r="CF26" s="391" t="s">
        <v>265</v>
      </c>
      <c r="CG26" s="50">
        <v>5</v>
      </c>
      <c r="CH26" s="50">
        <v>15</v>
      </c>
      <c r="CI26" s="53">
        <f>CG26/CH26</f>
        <v>0.33333333333333331</v>
      </c>
      <c r="CJ26" s="50" t="s">
        <v>266</v>
      </c>
      <c r="CK26" s="391">
        <v>7</v>
      </c>
      <c r="CL26" s="391">
        <v>20</v>
      </c>
      <c r="CM26" s="392">
        <f>+CK26/CL26</f>
        <v>0.35</v>
      </c>
      <c r="CN26" s="391" t="s">
        <v>615</v>
      </c>
      <c r="CO26" s="52">
        <v>5</v>
      </c>
      <c r="CP26" s="52">
        <v>15</v>
      </c>
      <c r="CQ26" s="53">
        <f>CO26/CP26</f>
        <v>0.33333333333333331</v>
      </c>
      <c r="CR26" s="52" t="s">
        <v>616</v>
      </c>
    </row>
    <row r="27" spans="1:708" ht="59.25" customHeight="1" x14ac:dyDescent="0.25">
      <c r="A27" s="462"/>
      <c r="B27" s="462"/>
      <c r="C27" s="462"/>
      <c r="D27" s="462"/>
      <c r="E27" s="462"/>
      <c r="F27" s="462"/>
      <c r="G27" s="462"/>
      <c r="H27" s="462"/>
      <c r="I27" s="462"/>
      <c r="J27" s="462"/>
      <c r="K27" s="462"/>
      <c r="L27" s="462"/>
      <c r="M27" s="462"/>
      <c r="N27" s="462"/>
      <c r="O27" s="462"/>
      <c r="P27" s="462"/>
      <c r="Q27" s="58" t="s">
        <v>80</v>
      </c>
      <c r="R27" s="58" t="s">
        <v>81</v>
      </c>
      <c r="S27" s="59" t="s">
        <v>60</v>
      </c>
      <c r="T27" s="59"/>
      <c r="U27" s="59">
        <v>20</v>
      </c>
      <c r="V27" s="452"/>
      <c r="W27" s="448"/>
      <c r="X27" s="59" t="s">
        <v>251</v>
      </c>
      <c r="Y27" s="391"/>
      <c r="Z27" s="391"/>
      <c r="AA27" s="392"/>
      <c r="AB27" s="391"/>
      <c r="AC27" s="59">
        <v>3</v>
      </c>
      <c r="AD27" s="59">
        <f t="shared" si="14"/>
        <v>20</v>
      </c>
      <c r="AE27" s="61">
        <f>AC27/AD27</f>
        <v>0.15</v>
      </c>
      <c r="AF27" s="59" t="s">
        <v>221</v>
      </c>
      <c r="AG27" s="465"/>
      <c r="AH27" s="465"/>
      <c r="AI27" s="466"/>
      <c r="AJ27" s="465"/>
      <c r="AK27" s="62">
        <v>3</v>
      </c>
      <c r="AL27" s="62">
        <v>20</v>
      </c>
      <c r="AM27" s="63">
        <v>0.15</v>
      </c>
      <c r="AN27" s="62" t="s">
        <v>267</v>
      </c>
      <c r="AO27" s="465"/>
      <c r="AP27" s="465"/>
      <c r="AQ27" s="466"/>
      <c r="AR27" s="465"/>
      <c r="AS27" s="62">
        <v>5</v>
      </c>
      <c r="AT27" s="62">
        <f t="shared" si="15"/>
        <v>20</v>
      </c>
      <c r="AU27" s="63">
        <f>AS27/AT27</f>
        <v>0.25</v>
      </c>
      <c r="AV27" s="62" t="s">
        <v>268</v>
      </c>
      <c r="AW27" s="465"/>
      <c r="AX27" s="465"/>
      <c r="AY27" s="466"/>
      <c r="AZ27" s="465"/>
      <c r="BA27" s="62">
        <v>5</v>
      </c>
      <c r="BB27" s="62">
        <f>+U27</f>
        <v>20</v>
      </c>
      <c r="BC27" s="63">
        <f>BA27/BB27</f>
        <v>0.25</v>
      </c>
      <c r="BD27" s="62" t="s">
        <v>269</v>
      </c>
      <c r="BE27" s="465"/>
      <c r="BF27" s="465"/>
      <c r="BG27" s="466"/>
      <c r="BH27" s="465"/>
      <c r="BI27" s="62">
        <v>5</v>
      </c>
      <c r="BJ27" s="62">
        <v>20</v>
      </c>
      <c r="BK27" s="63">
        <f>BI27/BJ27</f>
        <v>0.25</v>
      </c>
      <c r="BL27" s="62" t="s">
        <v>270</v>
      </c>
      <c r="BM27" s="465"/>
      <c r="BN27" s="465"/>
      <c r="BO27" s="466"/>
      <c r="BP27" s="465"/>
      <c r="BQ27" s="62">
        <v>5</v>
      </c>
      <c r="BR27" s="62">
        <v>20</v>
      </c>
      <c r="BS27" s="63">
        <f>BQ27/BR27</f>
        <v>0.25</v>
      </c>
      <c r="BT27" s="62" t="s">
        <v>271</v>
      </c>
      <c r="BU27" s="391"/>
      <c r="BV27" s="391"/>
      <c r="BW27" s="392"/>
      <c r="BX27" s="391"/>
      <c r="BY27" s="59">
        <v>5</v>
      </c>
      <c r="BZ27" s="59">
        <v>20</v>
      </c>
      <c r="CA27" s="61">
        <f>BY27/BZ27</f>
        <v>0.25</v>
      </c>
      <c r="CB27" s="59" t="s">
        <v>272</v>
      </c>
      <c r="CC27" s="391"/>
      <c r="CD27" s="391"/>
      <c r="CE27" s="392"/>
      <c r="CF27" s="391"/>
      <c r="CG27" s="59">
        <v>5</v>
      </c>
      <c r="CH27" s="59">
        <v>20</v>
      </c>
      <c r="CI27" s="61">
        <f>CG27/CH27</f>
        <v>0.25</v>
      </c>
      <c r="CJ27" s="59" t="s">
        <v>273</v>
      </c>
      <c r="CK27" s="391"/>
      <c r="CL27" s="391"/>
      <c r="CM27" s="392"/>
      <c r="CN27" s="391"/>
      <c r="CO27" s="65">
        <v>6</v>
      </c>
      <c r="CP27" s="65">
        <v>20</v>
      </c>
      <c r="CQ27" s="66">
        <f>CO27/CP27</f>
        <v>0.3</v>
      </c>
      <c r="CR27" s="65" t="s">
        <v>617</v>
      </c>
    </row>
    <row r="28" spans="1:708" ht="69.75" customHeight="1" x14ac:dyDescent="0.25">
      <c r="A28" s="467" t="s">
        <v>47</v>
      </c>
      <c r="B28" s="467" t="s">
        <v>48</v>
      </c>
      <c r="C28" s="467" t="s">
        <v>49</v>
      </c>
      <c r="D28" s="467" t="s">
        <v>50</v>
      </c>
      <c r="E28" s="467" t="s">
        <v>90</v>
      </c>
      <c r="F28" s="467" t="s">
        <v>52</v>
      </c>
      <c r="G28" s="467" t="s">
        <v>53</v>
      </c>
      <c r="H28" s="467" t="s">
        <v>54</v>
      </c>
      <c r="I28" s="467" t="s">
        <v>55</v>
      </c>
      <c r="J28" s="467" t="s">
        <v>56</v>
      </c>
      <c r="K28" s="467" t="s">
        <v>250</v>
      </c>
      <c r="L28" s="467" t="s">
        <v>91</v>
      </c>
      <c r="M28" s="467" t="s">
        <v>130</v>
      </c>
      <c r="N28" s="467" t="s">
        <v>93</v>
      </c>
      <c r="O28" s="467"/>
      <c r="P28" s="473">
        <v>0.89</v>
      </c>
      <c r="Q28" s="49" t="s">
        <v>131</v>
      </c>
      <c r="R28" s="49" t="s">
        <v>132</v>
      </c>
      <c r="S28" s="50" t="s">
        <v>93</v>
      </c>
      <c r="T28" s="50"/>
      <c r="U28" s="67">
        <v>0.89</v>
      </c>
      <c r="V28" s="452"/>
      <c r="W28" s="448"/>
      <c r="X28" s="50" t="s">
        <v>251</v>
      </c>
      <c r="Y28" s="392">
        <f>3/3</f>
        <v>1</v>
      </c>
      <c r="Z28" s="393">
        <f>+P28</f>
        <v>0.89</v>
      </c>
      <c r="AA28" s="392">
        <f>+Y28/Z28</f>
        <v>1.1235955056179776</v>
      </c>
      <c r="AB28" s="391" t="s">
        <v>274</v>
      </c>
      <c r="AC28" s="53">
        <v>0</v>
      </c>
      <c r="AD28" s="67">
        <f t="shared" si="14"/>
        <v>0.89</v>
      </c>
      <c r="AE28" s="53">
        <f>AC28/AD28</f>
        <v>0</v>
      </c>
      <c r="AF28" s="50" t="s">
        <v>230</v>
      </c>
      <c r="AG28" s="466">
        <v>1</v>
      </c>
      <c r="AH28" s="469">
        <v>0.89</v>
      </c>
      <c r="AI28" s="466">
        <v>1.1235955056179776</v>
      </c>
      <c r="AJ28" s="465" t="s">
        <v>275</v>
      </c>
      <c r="AK28" s="55">
        <v>0.75</v>
      </c>
      <c r="AL28" s="69">
        <v>0.89</v>
      </c>
      <c r="AM28" s="55">
        <v>0.84269662921348309</v>
      </c>
      <c r="AN28" s="54" t="s">
        <v>276</v>
      </c>
      <c r="AO28" s="466">
        <f>5/5</f>
        <v>1</v>
      </c>
      <c r="AP28" s="469">
        <f>+P28</f>
        <v>0.89</v>
      </c>
      <c r="AQ28" s="466">
        <f>+AO28/AP28</f>
        <v>1.1235955056179776</v>
      </c>
      <c r="AR28" s="465" t="s">
        <v>277</v>
      </c>
      <c r="AS28" s="55">
        <f>(3/4)</f>
        <v>0.75</v>
      </c>
      <c r="AT28" s="69">
        <f t="shared" si="15"/>
        <v>0.89</v>
      </c>
      <c r="AU28" s="55">
        <f>AS28/AT28</f>
        <v>0.84269662921348309</v>
      </c>
      <c r="AV28" s="54" t="s">
        <v>278</v>
      </c>
      <c r="AW28" s="466">
        <f>(5/5)</f>
        <v>1</v>
      </c>
      <c r="AX28" s="469">
        <f>+P28</f>
        <v>0.89</v>
      </c>
      <c r="AY28" s="466">
        <f>+AW28/AX28</f>
        <v>1.1235955056179776</v>
      </c>
      <c r="AZ28" s="465" t="s">
        <v>279</v>
      </c>
      <c r="BA28" s="55">
        <f>(3/4)</f>
        <v>0.75</v>
      </c>
      <c r="BB28" s="69">
        <f>+U28</f>
        <v>0.89</v>
      </c>
      <c r="BC28" s="55">
        <f>BA28/BB28</f>
        <v>0.84269662921348309</v>
      </c>
      <c r="BD28" s="54" t="s">
        <v>280</v>
      </c>
      <c r="BE28" s="466">
        <f>(5/5)</f>
        <v>1</v>
      </c>
      <c r="BF28" s="469">
        <v>0.89</v>
      </c>
      <c r="BG28" s="466">
        <f>+BE28/BF28</f>
        <v>1.1235955056179776</v>
      </c>
      <c r="BH28" s="465" t="s">
        <v>281</v>
      </c>
      <c r="BI28" s="55">
        <f>(3/4)</f>
        <v>0.75</v>
      </c>
      <c r="BJ28" s="69">
        <v>0.89</v>
      </c>
      <c r="BK28" s="55">
        <f>BI28/BJ28</f>
        <v>0.84269662921348309</v>
      </c>
      <c r="BL28" s="54" t="s">
        <v>282</v>
      </c>
      <c r="BM28" s="466">
        <f>(5/5)</f>
        <v>1</v>
      </c>
      <c r="BN28" s="469">
        <v>0.89</v>
      </c>
      <c r="BO28" s="466">
        <f>+BM28/BN28</f>
        <v>1.1235955056179776</v>
      </c>
      <c r="BP28" s="475" t="s">
        <v>283</v>
      </c>
      <c r="BQ28" s="55">
        <f>(3/4)</f>
        <v>0.75</v>
      </c>
      <c r="BR28" s="69">
        <v>0.89</v>
      </c>
      <c r="BS28" s="55">
        <f>BQ28/BR28</f>
        <v>0.84269662921348309</v>
      </c>
      <c r="BT28" s="54" t="s">
        <v>284</v>
      </c>
      <c r="BU28" s="392">
        <f>(6/6)</f>
        <v>1</v>
      </c>
      <c r="BV28" s="393">
        <v>0.89</v>
      </c>
      <c r="BW28" s="392">
        <f>+BU28/BV28</f>
        <v>1.1235955056179776</v>
      </c>
      <c r="BX28" s="397" t="s">
        <v>285</v>
      </c>
      <c r="BY28" s="53">
        <f>(3/4)</f>
        <v>0.75</v>
      </c>
      <c r="BZ28" s="67">
        <v>0.89</v>
      </c>
      <c r="CA28" s="53">
        <f>BY28/BZ28</f>
        <v>0.84269662921348309</v>
      </c>
      <c r="CB28" s="50" t="s">
        <v>286</v>
      </c>
      <c r="CC28" s="392">
        <f>(6/6)</f>
        <v>1</v>
      </c>
      <c r="CD28" s="393">
        <v>0.89</v>
      </c>
      <c r="CE28" s="392">
        <f>+CC28/CD28</f>
        <v>1.1235955056179776</v>
      </c>
      <c r="CF28" s="397" t="s">
        <v>287</v>
      </c>
      <c r="CG28" s="53">
        <f>(3/4)</f>
        <v>0.75</v>
      </c>
      <c r="CH28" s="67">
        <v>0.89</v>
      </c>
      <c r="CI28" s="53">
        <f>CG28/CH28</f>
        <v>0.84269662921348309</v>
      </c>
      <c r="CJ28" s="50" t="s">
        <v>288</v>
      </c>
      <c r="CK28" s="392">
        <f>(6/6)</f>
        <v>1</v>
      </c>
      <c r="CL28" s="393">
        <v>0.89</v>
      </c>
      <c r="CM28" s="392">
        <f>+CK28/CL28</f>
        <v>1.1235955056179776</v>
      </c>
      <c r="CN28" s="397" t="s">
        <v>618</v>
      </c>
      <c r="CO28" s="53">
        <f>(3/4)</f>
        <v>0.75</v>
      </c>
      <c r="CP28" s="68">
        <v>0.89</v>
      </c>
      <c r="CQ28" s="130">
        <f>CO28/CP28</f>
        <v>0.84269662921348309</v>
      </c>
      <c r="CR28" s="52" t="s">
        <v>619</v>
      </c>
    </row>
    <row r="29" spans="1:708" ht="56.25" customHeight="1" x14ac:dyDescent="0.25">
      <c r="A29" s="468"/>
      <c r="B29" s="468"/>
      <c r="C29" s="468"/>
      <c r="D29" s="468"/>
      <c r="E29" s="468"/>
      <c r="F29" s="468"/>
      <c r="G29" s="468"/>
      <c r="H29" s="468"/>
      <c r="I29" s="468"/>
      <c r="J29" s="468"/>
      <c r="K29" s="468"/>
      <c r="L29" s="468"/>
      <c r="M29" s="468"/>
      <c r="N29" s="468"/>
      <c r="O29" s="468"/>
      <c r="P29" s="474"/>
      <c r="Q29" s="58" t="s">
        <v>149</v>
      </c>
      <c r="R29" s="58" t="s">
        <v>150</v>
      </c>
      <c r="S29" s="59" t="s">
        <v>93</v>
      </c>
      <c r="T29" s="59"/>
      <c r="U29" s="71">
        <v>0.89</v>
      </c>
      <c r="V29" s="453"/>
      <c r="W29" s="448"/>
      <c r="X29" s="59" t="s">
        <v>251</v>
      </c>
      <c r="Y29" s="392"/>
      <c r="Z29" s="391"/>
      <c r="AA29" s="392"/>
      <c r="AB29" s="391"/>
      <c r="AC29" s="61">
        <f>0/2</f>
        <v>0</v>
      </c>
      <c r="AD29" s="71">
        <f t="shared" si="14"/>
        <v>0.89</v>
      </c>
      <c r="AE29" s="61">
        <f>AC29/AD29</f>
        <v>0</v>
      </c>
      <c r="AF29" s="59" t="s">
        <v>289</v>
      </c>
      <c r="AG29" s="466"/>
      <c r="AH29" s="465"/>
      <c r="AI29" s="466"/>
      <c r="AJ29" s="465"/>
      <c r="AK29" s="63">
        <v>0</v>
      </c>
      <c r="AL29" s="72">
        <v>0.89</v>
      </c>
      <c r="AM29" s="63">
        <v>0</v>
      </c>
      <c r="AN29" s="62" t="s">
        <v>290</v>
      </c>
      <c r="AO29" s="466"/>
      <c r="AP29" s="465"/>
      <c r="AQ29" s="466"/>
      <c r="AR29" s="465"/>
      <c r="AS29" s="63">
        <f>0/3</f>
        <v>0</v>
      </c>
      <c r="AT29" s="72">
        <f t="shared" si="15"/>
        <v>0.89</v>
      </c>
      <c r="AU29" s="63">
        <f>AS29/AT29</f>
        <v>0</v>
      </c>
      <c r="AV29" s="62" t="s">
        <v>291</v>
      </c>
      <c r="AW29" s="466"/>
      <c r="AX29" s="465"/>
      <c r="AY29" s="466"/>
      <c r="AZ29" s="465"/>
      <c r="BA29" s="63">
        <f>(0/4)</f>
        <v>0</v>
      </c>
      <c r="BB29" s="72">
        <f>+U29</f>
        <v>0.89</v>
      </c>
      <c r="BC29" s="63">
        <f>BA29/BB29</f>
        <v>0</v>
      </c>
      <c r="BD29" s="62" t="s">
        <v>292</v>
      </c>
      <c r="BE29" s="466"/>
      <c r="BF29" s="465"/>
      <c r="BG29" s="466"/>
      <c r="BH29" s="465"/>
      <c r="BI29" s="63">
        <f>(0/4)</f>
        <v>0</v>
      </c>
      <c r="BJ29" s="72">
        <v>0.89</v>
      </c>
      <c r="BK29" s="63">
        <f>BI29/BJ29</f>
        <v>0</v>
      </c>
      <c r="BL29" s="62" t="s">
        <v>293</v>
      </c>
      <c r="BM29" s="466"/>
      <c r="BN29" s="465"/>
      <c r="BO29" s="466"/>
      <c r="BP29" s="476"/>
      <c r="BQ29" s="470"/>
      <c r="BR29" s="471"/>
      <c r="BS29" s="471"/>
      <c r="BT29" s="472"/>
      <c r="BU29" s="392"/>
      <c r="BV29" s="391"/>
      <c r="BW29" s="392"/>
      <c r="BX29" s="398"/>
      <c r="BY29" s="394"/>
      <c r="BZ29" s="395"/>
      <c r="CA29" s="395"/>
      <c r="CB29" s="396"/>
      <c r="CC29" s="392"/>
      <c r="CD29" s="391"/>
      <c r="CE29" s="392"/>
      <c r="CF29" s="398"/>
      <c r="CG29" s="394"/>
      <c r="CH29" s="395"/>
      <c r="CI29" s="395"/>
      <c r="CJ29" s="396"/>
      <c r="CK29" s="392"/>
      <c r="CL29" s="391"/>
      <c r="CM29" s="392"/>
      <c r="CN29" s="398"/>
      <c r="CO29" s="394"/>
      <c r="CP29" s="395"/>
      <c r="CQ29" s="395"/>
      <c r="CR29" s="396"/>
    </row>
    <row r="30" spans="1:708" s="18" customFormat="1" ht="70.5" customHeight="1" x14ac:dyDescent="0.25">
      <c r="A30" s="39"/>
      <c r="B30" s="39"/>
      <c r="C30" s="39"/>
      <c r="D30" s="39"/>
      <c r="E30" s="39"/>
      <c r="F30" s="39"/>
      <c r="G30" s="39"/>
      <c r="H30" s="39"/>
      <c r="I30" s="39"/>
      <c r="J30" s="39"/>
      <c r="K30" s="39"/>
      <c r="L30" s="39"/>
      <c r="M30" s="39"/>
      <c r="N30" s="39"/>
      <c r="O30" s="39"/>
      <c r="P30" s="40"/>
      <c r="Q30" s="39"/>
      <c r="R30" s="39"/>
      <c r="S30" s="40"/>
      <c r="T30" s="39"/>
      <c r="U30" s="39"/>
      <c r="V30" s="41"/>
      <c r="W30" s="448"/>
      <c r="X30" s="39"/>
      <c r="Y30" s="382" t="s">
        <v>102</v>
      </c>
      <c r="Z30" s="382"/>
      <c r="AA30" s="42">
        <f>AVERAGE(AA26:AA29)</f>
        <v>0.63679775280898876</v>
      </c>
      <c r="AB30" s="73"/>
      <c r="AC30" s="382" t="s">
        <v>103</v>
      </c>
      <c r="AD30" s="382"/>
      <c r="AE30" s="42">
        <f>AVERAGE(AE26:AE29)</f>
        <v>3.7499999999999999E-2</v>
      </c>
      <c r="AF30" s="44"/>
      <c r="AG30" s="459" t="s">
        <v>102</v>
      </c>
      <c r="AH30" s="459"/>
      <c r="AI30" s="42">
        <f>AVERAGE(AI26:AI29)</f>
        <v>0.63679775280898876</v>
      </c>
      <c r="AJ30" s="74"/>
      <c r="AK30" s="459" t="s">
        <v>103</v>
      </c>
      <c r="AL30" s="459"/>
      <c r="AM30" s="42">
        <f>AVERAGE(AM26:AM29)</f>
        <v>0.29817415730337077</v>
      </c>
      <c r="AN30" s="45"/>
      <c r="AO30" s="382" t="s">
        <v>102</v>
      </c>
      <c r="AP30" s="382"/>
      <c r="AQ30" s="42">
        <f>AVERAGE(AQ26:AQ29)</f>
        <v>0.71179775280898883</v>
      </c>
      <c r="AR30" s="73"/>
      <c r="AS30" s="382" t="s">
        <v>103</v>
      </c>
      <c r="AT30" s="382"/>
      <c r="AU30" s="42">
        <f>AVERAGE(AU26:AU29)</f>
        <v>0.33984082397003745</v>
      </c>
      <c r="AV30" s="44"/>
      <c r="AW30" s="459" t="s">
        <v>102</v>
      </c>
      <c r="AX30" s="459"/>
      <c r="AY30" s="46">
        <f>AVERAGE(AY26:AY29)</f>
        <v>0.71179775280898883</v>
      </c>
      <c r="AZ30" s="74"/>
      <c r="BA30" s="459" t="s">
        <v>103</v>
      </c>
      <c r="BB30" s="459"/>
      <c r="BC30" s="46">
        <f>AVERAGE(BC26:BC29)</f>
        <v>0.33984082397003745</v>
      </c>
      <c r="BD30" s="45"/>
      <c r="BE30" s="459" t="s">
        <v>102</v>
      </c>
      <c r="BF30" s="459"/>
      <c r="BG30" s="46">
        <f>AVERAGE(BG26:BG29)</f>
        <v>0.71179775280898883</v>
      </c>
      <c r="BH30" s="74"/>
      <c r="BI30" s="382" t="s">
        <v>103</v>
      </c>
      <c r="BJ30" s="382"/>
      <c r="BK30" s="42">
        <f>AVERAGE(BK26:BK29)</f>
        <v>0.33984082397003745</v>
      </c>
      <c r="BL30" s="44"/>
      <c r="BM30" s="459" t="s">
        <v>102</v>
      </c>
      <c r="BN30" s="459"/>
      <c r="BO30" s="46">
        <f>AVERAGE(BO26:BO29)</f>
        <v>0.71179775280898883</v>
      </c>
      <c r="BP30" s="74"/>
      <c r="BQ30" s="459" t="s">
        <v>103</v>
      </c>
      <c r="BR30" s="459"/>
      <c r="BS30" s="46">
        <f>AVERAGE(BS26:BS29)</f>
        <v>0.45312109862671662</v>
      </c>
      <c r="BT30" s="45"/>
      <c r="BU30" s="382" t="s">
        <v>102</v>
      </c>
      <c r="BV30" s="382"/>
      <c r="BW30" s="42">
        <f>AVERAGE(BW26:BW29)</f>
        <v>0.73679775280898885</v>
      </c>
      <c r="BX30" s="73"/>
      <c r="BY30" s="382" t="s">
        <v>103</v>
      </c>
      <c r="BZ30" s="382"/>
      <c r="CA30" s="42">
        <f>AVERAGE(CA26:CA29)</f>
        <v>0.47534332084893877</v>
      </c>
      <c r="CB30" s="44"/>
      <c r="CC30" s="382" t="s">
        <v>102</v>
      </c>
      <c r="CD30" s="382"/>
      <c r="CE30" s="42">
        <f>AVERAGE(CE26:CE29)</f>
        <v>0.73679775280898885</v>
      </c>
      <c r="CF30" s="73"/>
      <c r="CG30" s="382" t="s">
        <v>103</v>
      </c>
      <c r="CH30" s="382"/>
      <c r="CI30" s="42">
        <f>AVERAGE(CI26:CI29)</f>
        <v>0.47534332084893877</v>
      </c>
      <c r="CJ30" s="44"/>
      <c r="CK30" s="382" t="s">
        <v>102</v>
      </c>
      <c r="CL30" s="382"/>
      <c r="CM30" s="42">
        <f>AVERAGE(CM26:CM29)</f>
        <v>0.73679775280898885</v>
      </c>
      <c r="CN30" s="73"/>
      <c r="CO30" s="382" t="s">
        <v>103</v>
      </c>
      <c r="CP30" s="382"/>
      <c r="CQ30" s="42">
        <f>AVERAGE(CQ26:CQ29)</f>
        <v>0.49200998751560548</v>
      </c>
      <c r="CR30" s="44"/>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7"/>
      <c r="DU30" s="17"/>
      <c r="DV30" s="17"/>
      <c r="DW30" s="17"/>
      <c r="DX30" s="17"/>
      <c r="DY30" s="17"/>
      <c r="DZ30" s="17"/>
      <c r="EA30" s="17"/>
      <c r="EB30" s="17"/>
      <c r="EC30" s="17"/>
      <c r="ED30" s="17"/>
      <c r="EE30" s="17"/>
      <c r="EF30" s="17"/>
      <c r="EG30" s="17"/>
      <c r="EH30" s="17"/>
      <c r="EI30" s="17"/>
      <c r="EJ30" s="17"/>
      <c r="EK30" s="17"/>
      <c r="EL30" s="17"/>
      <c r="EM30" s="17"/>
      <c r="EN30" s="17"/>
      <c r="EO30" s="17"/>
      <c r="EP30" s="17"/>
      <c r="EQ30" s="17"/>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17"/>
      <c r="ID30" s="17"/>
      <c r="IE30" s="17"/>
      <c r="IF30" s="17"/>
      <c r="IG30" s="17"/>
      <c r="IH30" s="17"/>
      <c r="II30" s="17"/>
      <c r="IJ30" s="17"/>
      <c r="IK30" s="17"/>
      <c r="IL30" s="17"/>
      <c r="IM30" s="17"/>
      <c r="IN30" s="17"/>
      <c r="IO30" s="17"/>
      <c r="IP30" s="17"/>
      <c r="IQ30" s="17"/>
      <c r="IR30" s="17"/>
      <c r="IS30" s="17"/>
      <c r="IT30" s="17"/>
      <c r="IU30" s="17"/>
      <c r="IV30" s="17"/>
      <c r="IW30" s="17"/>
      <c r="IX30" s="17"/>
      <c r="IY30" s="17"/>
      <c r="IZ30" s="17"/>
      <c r="JA30" s="17"/>
      <c r="JB30" s="17"/>
      <c r="JC30" s="17"/>
      <c r="JD30" s="17"/>
      <c r="JE30" s="17"/>
      <c r="JF30" s="17"/>
      <c r="JG30" s="17"/>
      <c r="JH30" s="17"/>
      <c r="JI30" s="17"/>
      <c r="JJ30" s="17"/>
      <c r="JK30" s="17"/>
      <c r="JL30" s="17"/>
      <c r="JM30" s="17"/>
      <c r="JN30" s="17"/>
      <c r="JO30" s="17"/>
      <c r="JP30" s="17"/>
      <c r="JQ30" s="17"/>
      <c r="JR30" s="17"/>
      <c r="JS30" s="17"/>
      <c r="JT30" s="17"/>
      <c r="JU30" s="17"/>
      <c r="JV30" s="17"/>
      <c r="JW30" s="17"/>
      <c r="JX30" s="17"/>
      <c r="JY30" s="17"/>
      <c r="JZ30" s="17"/>
      <c r="KA30" s="17"/>
      <c r="KB30" s="17"/>
      <c r="KC30" s="17"/>
      <c r="KD30" s="17"/>
      <c r="KE30" s="17"/>
      <c r="KF30" s="17"/>
      <c r="KG30" s="17"/>
      <c r="KH30" s="17"/>
      <c r="KI30" s="17"/>
      <c r="KJ30" s="17"/>
      <c r="KK30" s="17"/>
      <c r="KL30" s="17"/>
      <c r="KM30" s="17"/>
      <c r="KN30" s="17"/>
      <c r="KO30" s="17"/>
      <c r="KP30" s="17"/>
      <c r="KQ30" s="17"/>
      <c r="KR30" s="17"/>
      <c r="KS30" s="17"/>
      <c r="KT30" s="17"/>
      <c r="KU30" s="17"/>
      <c r="KV30" s="17"/>
      <c r="KW30" s="17"/>
      <c r="KX30" s="17"/>
      <c r="KY30" s="17"/>
      <c r="KZ30" s="17"/>
      <c r="LA30" s="17"/>
      <c r="LB30" s="17"/>
      <c r="LC30" s="17"/>
      <c r="LD30" s="17"/>
      <c r="LE30" s="17"/>
      <c r="LF30" s="17"/>
      <c r="LG30" s="17"/>
      <c r="LH30" s="17"/>
      <c r="LI30" s="17"/>
      <c r="LJ30" s="17"/>
      <c r="LK30" s="17"/>
      <c r="LL30" s="17"/>
      <c r="LM30" s="17"/>
      <c r="LN30" s="17"/>
      <c r="LO30" s="17"/>
      <c r="LP30" s="17"/>
      <c r="LQ30" s="17"/>
      <c r="LR30" s="17"/>
      <c r="LS30" s="17"/>
      <c r="LT30" s="17"/>
      <c r="LU30" s="17"/>
      <c r="LV30" s="17"/>
      <c r="LW30" s="17"/>
      <c r="LX30" s="17"/>
      <c r="LY30" s="17"/>
      <c r="LZ30" s="17"/>
      <c r="MA30" s="17"/>
      <c r="MB30" s="17"/>
      <c r="MC30" s="17"/>
      <c r="MD30" s="17"/>
      <c r="ME30" s="17"/>
      <c r="MF30" s="17"/>
      <c r="MG30" s="17"/>
      <c r="MH30" s="17"/>
      <c r="MI30" s="17"/>
      <c r="MJ30" s="17"/>
      <c r="MK30" s="17"/>
      <c r="ML30" s="17"/>
      <c r="MM30" s="17"/>
      <c r="MN30" s="17"/>
      <c r="MO30" s="17"/>
      <c r="MP30" s="17"/>
      <c r="MQ30" s="17"/>
      <c r="MR30" s="17"/>
      <c r="MS30" s="17"/>
      <c r="MT30" s="17"/>
      <c r="MU30" s="17"/>
      <c r="MV30" s="17"/>
      <c r="MW30" s="17"/>
      <c r="MX30" s="17"/>
      <c r="MY30" s="17"/>
      <c r="MZ30" s="17"/>
      <c r="NA30" s="17"/>
      <c r="NB30" s="17"/>
      <c r="NC30" s="17"/>
      <c r="ND30" s="17"/>
      <c r="NE30" s="17"/>
      <c r="NF30" s="17"/>
      <c r="NG30" s="17"/>
      <c r="NH30" s="17"/>
      <c r="NI30" s="17"/>
      <c r="NJ30" s="17"/>
      <c r="NK30" s="17"/>
      <c r="NL30" s="17"/>
      <c r="NM30" s="17"/>
      <c r="NN30" s="17"/>
      <c r="NO30" s="17"/>
      <c r="NP30" s="17"/>
      <c r="NQ30" s="17"/>
      <c r="NR30" s="17"/>
      <c r="NS30" s="17"/>
      <c r="NT30" s="17"/>
      <c r="NU30" s="17"/>
      <c r="NV30" s="17"/>
      <c r="NW30" s="17"/>
      <c r="NX30" s="17"/>
      <c r="NY30" s="17"/>
      <c r="NZ30" s="17"/>
      <c r="OA30" s="17"/>
      <c r="OB30" s="17"/>
      <c r="OC30" s="17"/>
      <c r="OD30" s="17"/>
      <c r="OE30" s="17"/>
      <c r="OF30" s="17"/>
      <c r="OG30" s="17"/>
      <c r="OH30" s="17"/>
      <c r="OI30" s="17"/>
      <c r="OJ30" s="17"/>
      <c r="OK30" s="17"/>
      <c r="OL30" s="17"/>
      <c r="OM30" s="17"/>
      <c r="ON30" s="17"/>
      <c r="OO30" s="17"/>
      <c r="OP30" s="17"/>
      <c r="OQ30" s="17"/>
      <c r="OR30" s="17"/>
      <c r="OS30" s="17"/>
      <c r="OT30" s="17"/>
      <c r="OU30" s="17"/>
      <c r="OV30" s="17"/>
      <c r="OW30" s="17"/>
      <c r="OX30" s="17"/>
      <c r="OY30" s="17"/>
      <c r="OZ30" s="17"/>
      <c r="PA30" s="17"/>
      <c r="PB30" s="17"/>
      <c r="PC30" s="17"/>
      <c r="PD30" s="17"/>
      <c r="PE30" s="17"/>
      <c r="PF30" s="17"/>
      <c r="PG30" s="17"/>
      <c r="PH30" s="17"/>
      <c r="PI30" s="17"/>
      <c r="PJ30" s="17"/>
      <c r="PK30" s="17"/>
      <c r="PL30" s="17"/>
      <c r="PM30" s="17"/>
      <c r="PN30" s="17"/>
      <c r="PO30" s="17"/>
      <c r="PP30" s="17"/>
      <c r="PQ30" s="17"/>
      <c r="PR30" s="17"/>
      <c r="PS30" s="17"/>
      <c r="PT30" s="17"/>
      <c r="PU30" s="17"/>
      <c r="PV30" s="17"/>
      <c r="PW30" s="17"/>
      <c r="PX30" s="17"/>
      <c r="PY30" s="17"/>
      <c r="PZ30" s="17"/>
      <c r="QA30" s="17"/>
      <c r="QB30" s="17"/>
      <c r="QC30" s="17"/>
      <c r="QD30" s="17"/>
      <c r="QE30" s="17"/>
      <c r="QF30" s="17"/>
      <c r="QG30" s="17"/>
      <c r="QH30" s="17"/>
      <c r="QI30" s="17"/>
      <c r="QJ30" s="17"/>
      <c r="QK30" s="17"/>
      <c r="QL30" s="17"/>
      <c r="QM30" s="17"/>
      <c r="QN30" s="17"/>
      <c r="QO30" s="17"/>
      <c r="QP30" s="17"/>
      <c r="QQ30" s="17"/>
      <c r="QR30" s="17"/>
      <c r="QS30" s="17"/>
      <c r="QT30" s="17"/>
      <c r="QU30" s="17"/>
      <c r="QV30" s="17"/>
      <c r="QW30" s="17"/>
      <c r="QX30" s="17"/>
      <c r="QY30" s="17"/>
      <c r="QZ30" s="17"/>
      <c r="RA30" s="17"/>
      <c r="RB30" s="17"/>
      <c r="RC30" s="17"/>
      <c r="RD30" s="17"/>
      <c r="RE30" s="17"/>
      <c r="RF30" s="17"/>
      <c r="RG30" s="17"/>
      <c r="RH30" s="17"/>
      <c r="RI30" s="17"/>
      <c r="RJ30" s="17"/>
      <c r="RK30" s="17"/>
      <c r="RL30" s="17"/>
      <c r="RM30" s="17"/>
      <c r="RN30" s="17"/>
      <c r="RO30" s="17"/>
      <c r="RP30" s="17"/>
      <c r="RQ30" s="17"/>
      <c r="RR30" s="17"/>
      <c r="RS30" s="17"/>
      <c r="RT30" s="17"/>
      <c r="RU30" s="17"/>
      <c r="RV30" s="17"/>
      <c r="RW30" s="17"/>
      <c r="RX30" s="17"/>
      <c r="RY30" s="17"/>
      <c r="RZ30" s="17"/>
      <c r="SA30" s="17"/>
      <c r="SB30" s="17"/>
      <c r="SC30" s="17"/>
      <c r="SD30" s="17"/>
      <c r="SE30" s="17"/>
      <c r="SF30" s="17"/>
      <c r="SG30" s="17"/>
      <c r="SH30" s="17"/>
      <c r="SI30" s="17"/>
      <c r="SJ30" s="17"/>
      <c r="SK30" s="17"/>
      <c r="SL30" s="17"/>
      <c r="SM30" s="17"/>
      <c r="SN30" s="17"/>
      <c r="SO30" s="17"/>
      <c r="SP30" s="17"/>
      <c r="SQ30" s="17"/>
      <c r="SR30" s="17"/>
      <c r="SS30" s="17"/>
      <c r="ST30" s="17"/>
      <c r="SU30" s="17"/>
      <c r="SV30" s="17"/>
      <c r="SW30" s="17"/>
      <c r="SX30" s="17"/>
      <c r="SY30" s="17"/>
      <c r="SZ30" s="17"/>
      <c r="TA30" s="17"/>
      <c r="TB30" s="17"/>
      <c r="TC30" s="17"/>
      <c r="TD30" s="17"/>
      <c r="TE30" s="17"/>
      <c r="TF30" s="17"/>
      <c r="TG30" s="17"/>
      <c r="TH30" s="17"/>
      <c r="TI30" s="17"/>
      <c r="TJ30" s="17"/>
      <c r="TK30" s="17"/>
      <c r="TL30" s="17"/>
      <c r="TM30" s="17"/>
      <c r="TN30" s="17"/>
      <c r="TO30" s="17"/>
      <c r="TP30" s="17"/>
      <c r="TQ30" s="17"/>
      <c r="TR30" s="17"/>
      <c r="TS30" s="17"/>
      <c r="TT30" s="17"/>
      <c r="TU30" s="17"/>
      <c r="TV30" s="17"/>
      <c r="TW30" s="17"/>
      <c r="TX30" s="17"/>
      <c r="TY30" s="17"/>
      <c r="TZ30" s="17"/>
      <c r="UA30" s="17"/>
      <c r="UB30" s="17"/>
      <c r="UC30" s="17"/>
      <c r="UD30" s="17"/>
      <c r="UE30" s="17"/>
      <c r="UF30" s="17"/>
      <c r="UG30" s="17"/>
      <c r="UH30" s="17"/>
      <c r="UI30" s="17"/>
      <c r="UJ30" s="17"/>
      <c r="UK30" s="17"/>
      <c r="UL30" s="17"/>
      <c r="UM30" s="17"/>
      <c r="UN30" s="17"/>
      <c r="UO30" s="17"/>
      <c r="UP30" s="17"/>
      <c r="UQ30" s="17"/>
      <c r="UR30" s="17"/>
      <c r="US30" s="17"/>
      <c r="UT30" s="17"/>
      <c r="UU30" s="17"/>
      <c r="UV30" s="17"/>
      <c r="UW30" s="17"/>
      <c r="UX30" s="17"/>
      <c r="UY30" s="17"/>
      <c r="UZ30" s="17"/>
      <c r="VA30" s="17"/>
      <c r="VB30" s="17"/>
      <c r="VC30" s="17"/>
      <c r="VD30" s="17"/>
      <c r="VE30" s="17"/>
      <c r="VF30" s="17"/>
      <c r="VG30" s="17"/>
      <c r="VH30" s="17"/>
      <c r="VI30" s="17"/>
      <c r="VJ30" s="17"/>
      <c r="VK30" s="17"/>
      <c r="VL30" s="17"/>
      <c r="VM30" s="17"/>
      <c r="VN30" s="17"/>
      <c r="VO30" s="17"/>
      <c r="VP30" s="17"/>
      <c r="VQ30" s="17"/>
      <c r="VR30" s="17"/>
      <c r="VS30" s="17"/>
      <c r="VT30" s="17"/>
      <c r="VU30" s="17"/>
      <c r="VV30" s="17"/>
      <c r="VW30" s="17"/>
      <c r="VX30" s="17"/>
      <c r="VY30" s="17"/>
      <c r="VZ30" s="17"/>
      <c r="WA30" s="17"/>
      <c r="WB30" s="17"/>
      <c r="WC30" s="17"/>
      <c r="WD30" s="17"/>
      <c r="WE30" s="17"/>
      <c r="WF30" s="17"/>
      <c r="WG30" s="17"/>
      <c r="WH30" s="17"/>
      <c r="WI30" s="17"/>
      <c r="WJ30" s="17"/>
      <c r="WK30" s="17"/>
      <c r="WL30" s="17"/>
      <c r="WM30" s="17"/>
      <c r="WN30" s="17"/>
      <c r="WO30" s="17"/>
      <c r="WP30" s="17"/>
      <c r="WQ30" s="17"/>
      <c r="WR30" s="17"/>
      <c r="WS30" s="17"/>
      <c r="WT30" s="17"/>
      <c r="WU30" s="17"/>
      <c r="WV30" s="17"/>
      <c r="WW30" s="17"/>
      <c r="WX30" s="17"/>
      <c r="WY30" s="17"/>
      <c r="WZ30" s="17"/>
      <c r="XA30" s="17"/>
      <c r="XB30" s="17"/>
      <c r="XC30" s="17"/>
      <c r="XD30" s="17"/>
      <c r="XE30" s="17"/>
      <c r="XF30" s="17"/>
      <c r="XG30" s="17"/>
      <c r="XH30" s="17"/>
      <c r="XI30" s="17"/>
      <c r="XJ30" s="17"/>
      <c r="XK30" s="17"/>
      <c r="XL30" s="17"/>
      <c r="XM30" s="17"/>
      <c r="XN30" s="17"/>
      <c r="XO30" s="17"/>
      <c r="XP30" s="17"/>
      <c r="XQ30" s="17"/>
      <c r="XR30" s="17"/>
      <c r="XS30" s="17"/>
      <c r="XT30" s="17"/>
      <c r="XU30" s="17"/>
      <c r="XV30" s="17"/>
      <c r="XW30" s="17"/>
      <c r="XX30" s="17"/>
      <c r="XY30" s="17"/>
      <c r="XZ30" s="17"/>
      <c r="YA30" s="17"/>
      <c r="YB30" s="17"/>
      <c r="YC30" s="17"/>
      <c r="YD30" s="17"/>
      <c r="YE30" s="17"/>
      <c r="YF30" s="17"/>
      <c r="YG30" s="17"/>
      <c r="YH30" s="17"/>
      <c r="YI30" s="17"/>
      <c r="YJ30" s="17"/>
      <c r="YK30" s="17"/>
      <c r="YL30" s="17"/>
      <c r="YM30" s="17"/>
      <c r="YN30" s="17"/>
      <c r="YO30" s="17"/>
      <c r="YP30" s="17"/>
      <c r="YQ30" s="17"/>
      <c r="YR30" s="17"/>
      <c r="YS30" s="17"/>
      <c r="YT30" s="17"/>
      <c r="YU30" s="17"/>
      <c r="YV30" s="17"/>
      <c r="YW30" s="17"/>
      <c r="YX30" s="17"/>
      <c r="YY30" s="17"/>
      <c r="YZ30" s="17"/>
      <c r="ZA30" s="17"/>
      <c r="ZB30" s="17"/>
      <c r="ZC30" s="17"/>
      <c r="ZD30" s="17"/>
      <c r="ZE30" s="17"/>
      <c r="ZF30" s="17"/>
      <c r="ZG30" s="17"/>
      <c r="ZH30" s="17"/>
      <c r="ZI30" s="17"/>
      <c r="ZJ30" s="17"/>
      <c r="ZK30" s="17"/>
      <c r="ZL30" s="17"/>
      <c r="ZM30" s="17"/>
      <c r="ZN30" s="17"/>
      <c r="ZO30" s="17"/>
      <c r="ZP30" s="17"/>
      <c r="ZQ30" s="17"/>
      <c r="ZR30" s="17"/>
      <c r="ZS30" s="17"/>
      <c r="ZT30" s="17"/>
      <c r="ZU30" s="17"/>
      <c r="ZV30" s="17"/>
      <c r="ZW30" s="17"/>
      <c r="ZX30" s="17"/>
      <c r="ZY30" s="17"/>
      <c r="ZZ30" s="17"/>
      <c r="AAA30" s="17"/>
      <c r="AAB30" s="17"/>
      <c r="AAC30" s="17"/>
      <c r="AAD30" s="17"/>
      <c r="AAE30" s="17"/>
      <c r="AAF30" s="17"/>
    </row>
    <row r="31" spans="1:708" ht="57" customHeight="1" x14ac:dyDescent="0.25">
      <c r="A31" s="461" t="s">
        <v>47</v>
      </c>
      <c r="B31" s="461" t="s">
        <v>48</v>
      </c>
      <c r="C31" s="461" t="s">
        <v>49</v>
      </c>
      <c r="D31" s="461" t="s">
        <v>50</v>
      </c>
      <c r="E31" s="461" t="s">
        <v>51</v>
      </c>
      <c r="F31" s="461" t="s">
        <v>52</v>
      </c>
      <c r="G31" s="461" t="s">
        <v>53</v>
      </c>
      <c r="H31" s="461" t="s">
        <v>54</v>
      </c>
      <c r="I31" s="461" t="s">
        <v>55</v>
      </c>
      <c r="J31" s="461" t="s">
        <v>56</v>
      </c>
      <c r="K31" s="461" t="s">
        <v>294</v>
      </c>
      <c r="L31" s="461" t="s">
        <v>58</v>
      </c>
      <c r="M31" s="461" t="s">
        <v>59</v>
      </c>
      <c r="N31" s="461" t="s">
        <v>60</v>
      </c>
      <c r="O31" s="461"/>
      <c r="P31" s="391">
        <v>276</v>
      </c>
      <c r="Q31" s="49" t="s">
        <v>61</v>
      </c>
      <c r="R31" s="49" t="s">
        <v>62</v>
      </c>
      <c r="S31" s="50" t="s">
        <v>60</v>
      </c>
      <c r="T31" s="50"/>
      <c r="U31" s="50">
        <v>6</v>
      </c>
      <c r="V31" s="451">
        <v>306205184</v>
      </c>
      <c r="W31" s="448"/>
      <c r="X31" s="50" t="s">
        <v>295</v>
      </c>
      <c r="Y31" s="391">
        <v>30</v>
      </c>
      <c r="Z31" s="391">
        <f>+P31</f>
        <v>276</v>
      </c>
      <c r="AA31" s="392">
        <f>+Y31/Z31</f>
        <v>0.10869565217391304</v>
      </c>
      <c r="AB31" s="391" t="s">
        <v>296</v>
      </c>
      <c r="AC31" s="50">
        <v>2</v>
      </c>
      <c r="AD31" s="50">
        <f t="shared" ref="AD31:AD34" si="16">+U31</f>
        <v>6</v>
      </c>
      <c r="AE31" s="53">
        <f t="shared" ref="AE31:AE34" si="17">+AC31/AD31</f>
        <v>0.33333333333333331</v>
      </c>
      <c r="AF31" s="50" t="s">
        <v>297</v>
      </c>
      <c r="AG31" s="465">
        <v>55</v>
      </c>
      <c r="AH31" s="465">
        <v>276</v>
      </c>
      <c r="AI31" s="466">
        <v>0.19927536231884058</v>
      </c>
      <c r="AJ31" s="465" t="s">
        <v>298</v>
      </c>
      <c r="AK31" s="54">
        <v>2</v>
      </c>
      <c r="AL31" s="54">
        <v>6</v>
      </c>
      <c r="AM31" s="55">
        <v>0.33333333333333331</v>
      </c>
      <c r="AN31" s="54" t="s">
        <v>299</v>
      </c>
      <c r="AO31" s="465">
        <v>75</v>
      </c>
      <c r="AP31" s="465">
        <f>+P31</f>
        <v>276</v>
      </c>
      <c r="AQ31" s="466">
        <f>+AO31/AP31</f>
        <v>0.27173913043478259</v>
      </c>
      <c r="AR31" s="465" t="s">
        <v>300</v>
      </c>
      <c r="AS31" s="54">
        <v>2</v>
      </c>
      <c r="AT31" s="54">
        <f t="shared" ref="AT31:AT34" si="18">+U31</f>
        <v>6</v>
      </c>
      <c r="AU31" s="55">
        <f t="shared" ref="AU31:AU34" si="19">+AS31/AT31</f>
        <v>0.33333333333333331</v>
      </c>
      <c r="AV31" s="54" t="s">
        <v>301</v>
      </c>
      <c r="AW31" s="465">
        <v>92</v>
      </c>
      <c r="AX31" s="465">
        <f>+P31</f>
        <v>276</v>
      </c>
      <c r="AY31" s="466">
        <f>+AW31/AX31</f>
        <v>0.33333333333333331</v>
      </c>
      <c r="AZ31" s="465" t="s">
        <v>302</v>
      </c>
      <c r="BA31" s="54">
        <v>2</v>
      </c>
      <c r="BB31" s="54">
        <f>+U31</f>
        <v>6</v>
      </c>
      <c r="BC31" s="55">
        <f t="shared" ref="BC31:BC34" si="20">+BA31/BB31</f>
        <v>0.33333333333333331</v>
      </c>
      <c r="BD31" s="54" t="s">
        <v>303</v>
      </c>
      <c r="BE31" s="465">
        <v>106</v>
      </c>
      <c r="BF31" s="465">
        <v>276</v>
      </c>
      <c r="BG31" s="466">
        <f>+BE31/BF31</f>
        <v>0.38405797101449274</v>
      </c>
      <c r="BH31" s="465" t="s">
        <v>304</v>
      </c>
      <c r="BI31" s="54">
        <v>2</v>
      </c>
      <c r="BJ31" s="54">
        <v>6</v>
      </c>
      <c r="BK31" s="55">
        <f t="shared" ref="BK31:BK34" si="21">+BI31/BJ31</f>
        <v>0.33333333333333331</v>
      </c>
      <c r="BL31" s="54" t="s">
        <v>305</v>
      </c>
      <c r="BM31" s="465">
        <v>145</v>
      </c>
      <c r="BN31" s="465">
        <v>276</v>
      </c>
      <c r="BO31" s="466">
        <f>+BM31/BN31</f>
        <v>0.52536231884057971</v>
      </c>
      <c r="BP31" s="465" t="s">
        <v>306</v>
      </c>
      <c r="BQ31" s="54">
        <v>2</v>
      </c>
      <c r="BR31" s="54">
        <v>6</v>
      </c>
      <c r="BS31" s="55">
        <f t="shared" ref="BS31:BS33" si="22">+BQ31/BR31</f>
        <v>0.33333333333333331</v>
      </c>
      <c r="BT31" s="54" t="s">
        <v>307</v>
      </c>
      <c r="BU31" s="391">
        <v>176</v>
      </c>
      <c r="BV31" s="391">
        <v>276</v>
      </c>
      <c r="BW31" s="392">
        <f>+BU31/BV31</f>
        <v>0.6376811594202898</v>
      </c>
      <c r="BX31" s="391" t="s">
        <v>308</v>
      </c>
      <c r="BY31" s="50">
        <v>3</v>
      </c>
      <c r="BZ31" s="50">
        <v>6</v>
      </c>
      <c r="CA31" s="53">
        <f t="shared" ref="CA31:CA33" si="23">+BY31/BZ31</f>
        <v>0.5</v>
      </c>
      <c r="CB31" s="50" t="s">
        <v>309</v>
      </c>
      <c r="CC31" s="391">
        <v>200</v>
      </c>
      <c r="CD31" s="391">
        <v>276</v>
      </c>
      <c r="CE31" s="392">
        <f>+CC31/CD31</f>
        <v>0.72463768115942029</v>
      </c>
      <c r="CF31" s="391" t="s">
        <v>310</v>
      </c>
      <c r="CG31" s="50">
        <v>3</v>
      </c>
      <c r="CH31" s="50">
        <v>6</v>
      </c>
      <c r="CI31" s="53">
        <f t="shared" ref="CI31:CI33" si="24">+CG31/CH31</f>
        <v>0.5</v>
      </c>
      <c r="CJ31" s="50" t="s">
        <v>311</v>
      </c>
      <c r="CK31" s="391">
        <v>217</v>
      </c>
      <c r="CL31" s="391">
        <v>276</v>
      </c>
      <c r="CM31" s="392">
        <f>+CK31/CL31</f>
        <v>0.78623188405797106</v>
      </c>
      <c r="CN31" s="391" t="s">
        <v>620</v>
      </c>
      <c r="CO31" s="52">
        <v>3</v>
      </c>
      <c r="CP31" s="52">
        <v>6</v>
      </c>
      <c r="CQ31" s="53">
        <f t="shared" ref="CQ31:CQ33" si="25">+CO31/CP31</f>
        <v>0.5</v>
      </c>
      <c r="CR31" s="52" t="s">
        <v>621</v>
      </c>
    </row>
    <row r="32" spans="1:708" ht="57" customHeight="1" x14ac:dyDescent="0.25">
      <c r="A32" s="462"/>
      <c r="B32" s="462"/>
      <c r="C32" s="462"/>
      <c r="D32" s="462"/>
      <c r="E32" s="462"/>
      <c r="F32" s="462"/>
      <c r="G32" s="462"/>
      <c r="H32" s="462"/>
      <c r="I32" s="462"/>
      <c r="J32" s="462"/>
      <c r="K32" s="462"/>
      <c r="L32" s="462"/>
      <c r="M32" s="462"/>
      <c r="N32" s="462"/>
      <c r="O32" s="462"/>
      <c r="P32" s="391"/>
      <c r="Q32" s="58" t="s">
        <v>80</v>
      </c>
      <c r="R32" s="58" t="s">
        <v>81</v>
      </c>
      <c r="S32" s="59" t="s">
        <v>60</v>
      </c>
      <c r="T32" s="59"/>
      <c r="U32" s="59">
        <v>260</v>
      </c>
      <c r="V32" s="452"/>
      <c r="W32" s="448"/>
      <c r="X32" s="59" t="s">
        <v>295</v>
      </c>
      <c r="Y32" s="391"/>
      <c r="Z32" s="391"/>
      <c r="AA32" s="392"/>
      <c r="AB32" s="391"/>
      <c r="AC32" s="59">
        <v>14</v>
      </c>
      <c r="AD32" s="59">
        <f t="shared" si="16"/>
        <v>260</v>
      </c>
      <c r="AE32" s="61">
        <f t="shared" si="17"/>
        <v>5.3846153846153849E-2</v>
      </c>
      <c r="AF32" s="59" t="s">
        <v>312</v>
      </c>
      <c r="AG32" s="465"/>
      <c r="AH32" s="465"/>
      <c r="AI32" s="466"/>
      <c r="AJ32" s="465"/>
      <c r="AK32" s="62">
        <v>32</v>
      </c>
      <c r="AL32" s="62">
        <v>260</v>
      </c>
      <c r="AM32" s="63">
        <v>0.12307692307692308</v>
      </c>
      <c r="AN32" s="62" t="s">
        <v>313</v>
      </c>
      <c r="AO32" s="465"/>
      <c r="AP32" s="465"/>
      <c r="AQ32" s="466"/>
      <c r="AR32" s="465"/>
      <c r="AS32" s="62">
        <v>49</v>
      </c>
      <c r="AT32" s="62">
        <f t="shared" si="18"/>
        <v>260</v>
      </c>
      <c r="AU32" s="63">
        <f t="shared" si="19"/>
        <v>0.18846153846153846</v>
      </c>
      <c r="AV32" s="62" t="s">
        <v>314</v>
      </c>
      <c r="AW32" s="465"/>
      <c r="AX32" s="465"/>
      <c r="AY32" s="466"/>
      <c r="AZ32" s="465"/>
      <c r="BA32" s="62">
        <v>62</v>
      </c>
      <c r="BB32" s="62">
        <f>+U32</f>
        <v>260</v>
      </c>
      <c r="BC32" s="63">
        <f t="shared" si="20"/>
        <v>0.23846153846153847</v>
      </c>
      <c r="BD32" s="62" t="s">
        <v>315</v>
      </c>
      <c r="BE32" s="465"/>
      <c r="BF32" s="465"/>
      <c r="BG32" s="466"/>
      <c r="BH32" s="465"/>
      <c r="BI32" s="62">
        <v>81</v>
      </c>
      <c r="BJ32" s="62">
        <v>260</v>
      </c>
      <c r="BK32" s="63">
        <f t="shared" si="21"/>
        <v>0.31153846153846154</v>
      </c>
      <c r="BL32" s="62" t="s">
        <v>316</v>
      </c>
      <c r="BM32" s="465"/>
      <c r="BN32" s="465"/>
      <c r="BO32" s="466"/>
      <c r="BP32" s="465"/>
      <c r="BQ32" s="62">
        <v>115</v>
      </c>
      <c r="BR32" s="62">
        <v>260</v>
      </c>
      <c r="BS32" s="63">
        <f t="shared" si="22"/>
        <v>0.44230769230769229</v>
      </c>
      <c r="BT32" s="62" t="s">
        <v>317</v>
      </c>
      <c r="BU32" s="391"/>
      <c r="BV32" s="391"/>
      <c r="BW32" s="392"/>
      <c r="BX32" s="391"/>
      <c r="BY32" s="59">
        <v>140</v>
      </c>
      <c r="BZ32" s="59">
        <v>260</v>
      </c>
      <c r="CA32" s="61">
        <f t="shared" si="23"/>
        <v>0.53846153846153844</v>
      </c>
      <c r="CB32" s="59" t="s">
        <v>318</v>
      </c>
      <c r="CC32" s="391"/>
      <c r="CD32" s="391"/>
      <c r="CE32" s="392"/>
      <c r="CF32" s="391"/>
      <c r="CG32" s="59">
        <v>162</v>
      </c>
      <c r="CH32" s="59">
        <v>260</v>
      </c>
      <c r="CI32" s="61">
        <f t="shared" si="24"/>
        <v>0.62307692307692308</v>
      </c>
      <c r="CJ32" s="59" t="s">
        <v>319</v>
      </c>
      <c r="CK32" s="391"/>
      <c r="CL32" s="391"/>
      <c r="CM32" s="392"/>
      <c r="CN32" s="391"/>
      <c r="CO32" s="65">
        <v>178</v>
      </c>
      <c r="CP32" s="65">
        <v>260</v>
      </c>
      <c r="CQ32" s="66">
        <f t="shared" si="25"/>
        <v>0.68461538461538463</v>
      </c>
      <c r="CR32" s="65" t="s">
        <v>622</v>
      </c>
    </row>
    <row r="33" spans="1:708" ht="53.25" customHeight="1" x14ac:dyDescent="0.25">
      <c r="A33" s="467" t="s">
        <v>47</v>
      </c>
      <c r="B33" s="467" t="s">
        <v>48</v>
      </c>
      <c r="C33" s="467" t="s">
        <v>49</v>
      </c>
      <c r="D33" s="467" t="s">
        <v>50</v>
      </c>
      <c r="E33" s="467" t="s">
        <v>90</v>
      </c>
      <c r="F33" s="467" t="s">
        <v>52</v>
      </c>
      <c r="G33" s="467" t="s">
        <v>53</v>
      </c>
      <c r="H33" s="467" t="s">
        <v>54</v>
      </c>
      <c r="I33" s="467" t="s">
        <v>55</v>
      </c>
      <c r="J33" s="467" t="s">
        <v>56</v>
      </c>
      <c r="K33" s="467" t="s">
        <v>294</v>
      </c>
      <c r="L33" s="467" t="s">
        <v>91</v>
      </c>
      <c r="M33" s="467" t="s">
        <v>130</v>
      </c>
      <c r="N33" s="467" t="s">
        <v>93</v>
      </c>
      <c r="O33" s="467"/>
      <c r="P33" s="455">
        <v>0.89</v>
      </c>
      <c r="Q33" s="49" t="s">
        <v>131</v>
      </c>
      <c r="R33" s="49" t="s">
        <v>132</v>
      </c>
      <c r="S33" s="50" t="s">
        <v>93</v>
      </c>
      <c r="T33" s="50"/>
      <c r="U33" s="67">
        <v>0.89</v>
      </c>
      <c r="V33" s="452"/>
      <c r="W33" s="448"/>
      <c r="X33" s="50" t="s">
        <v>295</v>
      </c>
      <c r="Y33" s="392">
        <f>4/4</f>
        <v>1</v>
      </c>
      <c r="Z33" s="393">
        <f>+P33</f>
        <v>0.89</v>
      </c>
      <c r="AA33" s="392">
        <f>+Y33/Z33</f>
        <v>1.1235955056179776</v>
      </c>
      <c r="AB33" s="391" t="s">
        <v>320</v>
      </c>
      <c r="AC33" s="53">
        <f>1/1</f>
        <v>1</v>
      </c>
      <c r="AD33" s="67">
        <f t="shared" si="16"/>
        <v>0.89</v>
      </c>
      <c r="AE33" s="53">
        <f t="shared" si="17"/>
        <v>1.1235955056179776</v>
      </c>
      <c r="AF33" s="50" t="s">
        <v>321</v>
      </c>
      <c r="AG33" s="466">
        <v>1</v>
      </c>
      <c r="AH33" s="469">
        <v>0.89</v>
      </c>
      <c r="AI33" s="466">
        <v>1.1235955056179776</v>
      </c>
      <c r="AJ33" s="465" t="s">
        <v>322</v>
      </c>
      <c r="AK33" s="55">
        <v>1</v>
      </c>
      <c r="AL33" s="69">
        <v>0.89</v>
      </c>
      <c r="AM33" s="55">
        <v>1.1235955056179776</v>
      </c>
      <c r="AN33" s="54" t="s">
        <v>323</v>
      </c>
      <c r="AO33" s="466">
        <f>11/11</f>
        <v>1</v>
      </c>
      <c r="AP33" s="469">
        <f>+P33</f>
        <v>0.89</v>
      </c>
      <c r="AQ33" s="466">
        <f>+AO33/AP33</f>
        <v>1.1235955056179776</v>
      </c>
      <c r="AR33" s="465" t="s">
        <v>324</v>
      </c>
      <c r="AS33" s="55">
        <f>1/1</f>
        <v>1</v>
      </c>
      <c r="AT33" s="69">
        <f t="shared" si="18"/>
        <v>0.89</v>
      </c>
      <c r="AU33" s="55">
        <f t="shared" si="19"/>
        <v>1.1235955056179776</v>
      </c>
      <c r="AV33" s="54" t="s">
        <v>325</v>
      </c>
      <c r="AW33" s="466">
        <f>(13/13)</f>
        <v>1</v>
      </c>
      <c r="AX33" s="469">
        <f>+P33</f>
        <v>0.89</v>
      </c>
      <c r="AY33" s="466">
        <f>+AW33/AX33</f>
        <v>1.1235955056179776</v>
      </c>
      <c r="AZ33" s="465" t="s">
        <v>326</v>
      </c>
      <c r="BA33" s="55">
        <f>(1/1)</f>
        <v>1</v>
      </c>
      <c r="BB33" s="69">
        <f>+U33</f>
        <v>0.89</v>
      </c>
      <c r="BC33" s="55">
        <f t="shared" si="20"/>
        <v>1.1235955056179776</v>
      </c>
      <c r="BD33" s="54" t="s">
        <v>327</v>
      </c>
      <c r="BE33" s="466">
        <f>(13/13)</f>
        <v>1</v>
      </c>
      <c r="BF33" s="469">
        <v>0.89</v>
      </c>
      <c r="BG33" s="466">
        <f>+BE33/BF33</f>
        <v>1.1235955056179776</v>
      </c>
      <c r="BH33" s="465" t="s">
        <v>328</v>
      </c>
      <c r="BI33" s="55">
        <f>(1/1)</f>
        <v>1</v>
      </c>
      <c r="BJ33" s="69">
        <v>0.89</v>
      </c>
      <c r="BK33" s="55">
        <f t="shared" si="21"/>
        <v>1.1235955056179776</v>
      </c>
      <c r="BL33" s="54" t="s">
        <v>329</v>
      </c>
      <c r="BM33" s="466">
        <f>(14/14)</f>
        <v>1</v>
      </c>
      <c r="BN33" s="469">
        <v>0.89</v>
      </c>
      <c r="BO33" s="466">
        <f>+BM33/BN33</f>
        <v>1.1235955056179776</v>
      </c>
      <c r="BP33" s="465" t="s">
        <v>330</v>
      </c>
      <c r="BQ33" s="55">
        <f>(1/1)</f>
        <v>1</v>
      </c>
      <c r="BR33" s="69">
        <v>0.89</v>
      </c>
      <c r="BS33" s="55">
        <f t="shared" si="22"/>
        <v>1.1235955056179776</v>
      </c>
      <c r="BT33" s="54" t="s">
        <v>331</v>
      </c>
      <c r="BU33" s="392">
        <f>(16/16)</f>
        <v>1</v>
      </c>
      <c r="BV33" s="393">
        <v>0.89</v>
      </c>
      <c r="BW33" s="392">
        <f>+BU33/BV33</f>
        <v>1.1235955056179776</v>
      </c>
      <c r="BX33" s="391" t="s">
        <v>332</v>
      </c>
      <c r="BY33" s="53">
        <f>(2/2)</f>
        <v>1</v>
      </c>
      <c r="BZ33" s="67">
        <v>0.89</v>
      </c>
      <c r="CA33" s="53">
        <f t="shared" si="23"/>
        <v>1.1235955056179776</v>
      </c>
      <c r="CB33" s="50" t="s">
        <v>333</v>
      </c>
      <c r="CC33" s="392">
        <f>(23/23)</f>
        <v>1</v>
      </c>
      <c r="CD33" s="393">
        <v>0.89</v>
      </c>
      <c r="CE33" s="392">
        <f>+CC33/CD33</f>
        <v>1.1235955056179776</v>
      </c>
      <c r="CF33" s="391" t="s">
        <v>334</v>
      </c>
      <c r="CG33" s="53">
        <f>(2/2)</f>
        <v>1</v>
      </c>
      <c r="CH33" s="67">
        <v>0.89</v>
      </c>
      <c r="CI33" s="53">
        <f t="shared" si="24"/>
        <v>1.1235955056179776</v>
      </c>
      <c r="CJ33" s="50" t="s">
        <v>335</v>
      </c>
      <c r="CK33" s="392">
        <f>(24/24)</f>
        <v>1</v>
      </c>
      <c r="CL33" s="393">
        <v>0.89</v>
      </c>
      <c r="CM33" s="392">
        <f>+CK33/CL33</f>
        <v>1.1235955056179776</v>
      </c>
      <c r="CN33" s="391" t="s">
        <v>623</v>
      </c>
      <c r="CO33" s="53">
        <f>(2/2)</f>
        <v>1</v>
      </c>
      <c r="CP33" s="68">
        <v>0.89</v>
      </c>
      <c r="CQ33" s="130">
        <f t="shared" si="25"/>
        <v>1.1235955056179776</v>
      </c>
      <c r="CR33" s="52" t="s">
        <v>624</v>
      </c>
    </row>
    <row r="34" spans="1:708" ht="53.25" customHeight="1" x14ac:dyDescent="0.25">
      <c r="A34" s="468"/>
      <c r="B34" s="468"/>
      <c r="C34" s="468"/>
      <c r="D34" s="468"/>
      <c r="E34" s="468"/>
      <c r="F34" s="468"/>
      <c r="G34" s="468"/>
      <c r="H34" s="468"/>
      <c r="I34" s="468"/>
      <c r="J34" s="468"/>
      <c r="K34" s="468"/>
      <c r="L34" s="468"/>
      <c r="M34" s="468"/>
      <c r="N34" s="468"/>
      <c r="O34" s="468"/>
      <c r="P34" s="455"/>
      <c r="Q34" s="58" t="s">
        <v>149</v>
      </c>
      <c r="R34" s="58" t="s">
        <v>150</v>
      </c>
      <c r="S34" s="59" t="s">
        <v>93</v>
      </c>
      <c r="T34" s="59"/>
      <c r="U34" s="71">
        <v>0.89</v>
      </c>
      <c r="V34" s="453"/>
      <c r="W34" s="448"/>
      <c r="X34" s="59" t="s">
        <v>295</v>
      </c>
      <c r="Y34" s="392"/>
      <c r="Z34" s="391"/>
      <c r="AA34" s="392"/>
      <c r="AB34" s="391"/>
      <c r="AC34" s="61">
        <f>1/1</f>
        <v>1</v>
      </c>
      <c r="AD34" s="71">
        <f t="shared" si="16"/>
        <v>0.89</v>
      </c>
      <c r="AE34" s="61">
        <f t="shared" si="17"/>
        <v>1.1235955056179776</v>
      </c>
      <c r="AF34" s="59" t="s">
        <v>336</v>
      </c>
      <c r="AG34" s="466"/>
      <c r="AH34" s="465"/>
      <c r="AI34" s="466"/>
      <c r="AJ34" s="465"/>
      <c r="AK34" s="63">
        <v>0.83333333333333337</v>
      </c>
      <c r="AL34" s="72">
        <v>0.89</v>
      </c>
      <c r="AM34" s="63">
        <v>0.93632958801498134</v>
      </c>
      <c r="AN34" s="62" t="s">
        <v>337</v>
      </c>
      <c r="AO34" s="466"/>
      <c r="AP34" s="465"/>
      <c r="AQ34" s="466"/>
      <c r="AR34" s="465"/>
      <c r="AS34" s="63">
        <f>8/9</f>
        <v>0.88888888888888884</v>
      </c>
      <c r="AT34" s="72">
        <f t="shared" si="18"/>
        <v>0.89</v>
      </c>
      <c r="AU34" s="63">
        <f t="shared" si="19"/>
        <v>0.99875156054931324</v>
      </c>
      <c r="AV34" s="62" t="s">
        <v>338</v>
      </c>
      <c r="AW34" s="466"/>
      <c r="AX34" s="465"/>
      <c r="AY34" s="466"/>
      <c r="AZ34" s="465"/>
      <c r="BA34" s="63">
        <f>(8/9)</f>
        <v>0.88888888888888884</v>
      </c>
      <c r="BB34" s="72">
        <f>+U34</f>
        <v>0.89</v>
      </c>
      <c r="BC34" s="63">
        <f t="shared" si="20"/>
        <v>0.99875156054931324</v>
      </c>
      <c r="BD34" s="62" t="s">
        <v>339</v>
      </c>
      <c r="BE34" s="466"/>
      <c r="BF34" s="465"/>
      <c r="BG34" s="466"/>
      <c r="BH34" s="465"/>
      <c r="BI34" s="63">
        <f>(8/10)</f>
        <v>0.8</v>
      </c>
      <c r="BJ34" s="72">
        <v>0.89</v>
      </c>
      <c r="BK34" s="63">
        <f t="shared" si="21"/>
        <v>0.89887640449438211</v>
      </c>
      <c r="BL34" s="62" t="s">
        <v>340</v>
      </c>
      <c r="BM34" s="466"/>
      <c r="BN34" s="465"/>
      <c r="BO34" s="466"/>
      <c r="BP34" s="465"/>
      <c r="BQ34" s="470"/>
      <c r="BR34" s="471"/>
      <c r="BS34" s="471"/>
      <c r="BT34" s="472"/>
      <c r="BU34" s="392"/>
      <c r="BV34" s="391"/>
      <c r="BW34" s="392"/>
      <c r="BX34" s="391"/>
      <c r="BY34" s="394"/>
      <c r="BZ34" s="395"/>
      <c r="CA34" s="395"/>
      <c r="CB34" s="396"/>
      <c r="CC34" s="392"/>
      <c r="CD34" s="391"/>
      <c r="CE34" s="392"/>
      <c r="CF34" s="391"/>
      <c r="CG34" s="394"/>
      <c r="CH34" s="395"/>
      <c r="CI34" s="395"/>
      <c r="CJ34" s="396"/>
      <c r="CK34" s="392"/>
      <c r="CL34" s="391"/>
      <c r="CM34" s="392"/>
      <c r="CN34" s="391"/>
      <c r="CO34" s="394"/>
      <c r="CP34" s="395"/>
      <c r="CQ34" s="395"/>
      <c r="CR34" s="396"/>
    </row>
    <row r="35" spans="1:708" s="18" customFormat="1" ht="68.25" customHeight="1" x14ac:dyDescent="0.25">
      <c r="A35" s="39"/>
      <c r="B35" s="39"/>
      <c r="C35" s="39"/>
      <c r="D35" s="39"/>
      <c r="E35" s="39"/>
      <c r="F35" s="39"/>
      <c r="G35" s="39"/>
      <c r="H35" s="39"/>
      <c r="I35" s="39"/>
      <c r="J35" s="39"/>
      <c r="K35" s="39"/>
      <c r="L35" s="39"/>
      <c r="M35" s="39"/>
      <c r="N35" s="39"/>
      <c r="O35" s="39"/>
      <c r="P35" s="40"/>
      <c r="Q35" s="39"/>
      <c r="R35" s="39"/>
      <c r="S35" s="40"/>
      <c r="T35" s="39"/>
      <c r="U35" s="39"/>
      <c r="V35" s="77"/>
      <c r="W35" s="448"/>
      <c r="X35" s="39"/>
      <c r="Y35" s="382" t="s">
        <v>102</v>
      </c>
      <c r="Z35" s="382"/>
      <c r="AA35" s="42">
        <f>AVERAGE(AA31:AA34)</f>
        <v>0.61614557889594535</v>
      </c>
      <c r="AB35" s="73"/>
      <c r="AC35" s="382" t="s">
        <v>103</v>
      </c>
      <c r="AD35" s="382"/>
      <c r="AE35" s="42">
        <f>AVERAGE(AE31:AE34)</f>
        <v>0.65859262460386059</v>
      </c>
      <c r="AF35" s="44"/>
      <c r="AG35" s="459" t="s">
        <v>102</v>
      </c>
      <c r="AH35" s="459"/>
      <c r="AI35" s="42">
        <f>AVERAGE(AI31:AI34)</f>
        <v>0.66143543396840909</v>
      </c>
      <c r="AJ35" s="74"/>
      <c r="AK35" s="459" t="s">
        <v>103</v>
      </c>
      <c r="AL35" s="459"/>
      <c r="AM35" s="42">
        <f>AVERAGE(AM31:AM34)</f>
        <v>0.62908383751080388</v>
      </c>
      <c r="AN35" s="45"/>
      <c r="AO35" s="382" t="s">
        <v>102</v>
      </c>
      <c r="AP35" s="382"/>
      <c r="AQ35" s="42">
        <f>AVERAGE(AQ31:AQ34)</f>
        <v>0.69766731802638016</v>
      </c>
      <c r="AR35" s="73"/>
      <c r="AS35" s="382" t="s">
        <v>103</v>
      </c>
      <c r="AT35" s="382"/>
      <c r="AU35" s="42">
        <f>AVERAGE(AU31:AU34)</f>
        <v>0.66103548449054061</v>
      </c>
      <c r="AV35" s="44"/>
      <c r="AW35" s="459" t="s">
        <v>102</v>
      </c>
      <c r="AX35" s="459"/>
      <c r="AY35" s="46">
        <f>AVERAGE(AY31:AY34)</f>
        <v>0.72846441947565543</v>
      </c>
      <c r="AZ35" s="74"/>
      <c r="BA35" s="459" t="s">
        <v>103</v>
      </c>
      <c r="BB35" s="459"/>
      <c r="BC35" s="46">
        <f>AVERAGE(BC31:BC34)</f>
        <v>0.67353548449054068</v>
      </c>
      <c r="BD35" s="45"/>
      <c r="BE35" s="459" t="s">
        <v>102</v>
      </c>
      <c r="BF35" s="459"/>
      <c r="BG35" s="46">
        <f>AVERAGE(BG31:BG34)</f>
        <v>0.75382673831623515</v>
      </c>
      <c r="BH35" s="74"/>
      <c r="BI35" s="382" t="s">
        <v>103</v>
      </c>
      <c r="BJ35" s="382"/>
      <c r="BK35" s="42">
        <f>AVERAGE(BK31:BK34)</f>
        <v>0.6668359262460386</v>
      </c>
      <c r="BL35" s="44"/>
      <c r="BM35" s="459" t="s">
        <v>102</v>
      </c>
      <c r="BN35" s="459"/>
      <c r="BO35" s="46">
        <f>AVERAGE(BO31:BO34)</f>
        <v>0.8244789122292786</v>
      </c>
      <c r="BP35" s="74"/>
      <c r="BQ35" s="459" t="s">
        <v>103</v>
      </c>
      <c r="BR35" s="459"/>
      <c r="BS35" s="46">
        <f>AVERAGE(BS31:BS34)</f>
        <v>0.63307884375300105</v>
      </c>
      <c r="BT35" s="45"/>
      <c r="BU35" s="382" t="s">
        <v>102</v>
      </c>
      <c r="BV35" s="382"/>
      <c r="BW35" s="42">
        <f>AVERAGE(BW31:BW34)</f>
        <v>0.8806383325191337</v>
      </c>
      <c r="BX35" s="73"/>
      <c r="BY35" s="382" t="s">
        <v>103</v>
      </c>
      <c r="BZ35" s="382"/>
      <c r="CA35" s="42">
        <f>AVERAGE(CA31:CA34)</f>
        <v>0.72068568135983868</v>
      </c>
      <c r="CB35" s="44"/>
      <c r="CC35" s="382" t="s">
        <v>102</v>
      </c>
      <c r="CD35" s="382"/>
      <c r="CE35" s="42">
        <f>AVERAGE(CE31:CE34)</f>
        <v>0.924116593388699</v>
      </c>
      <c r="CF35" s="73"/>
      <c r="CG35" s="382" t="s">
        <v>103</v>
      </c>
      <c r="CH35" s="382"/>
      <c r="CI35" s="42">
        <f>AVERAGE(CI31:CI34)</f>
        <v>0.7488908095649669</v>
      </c>
      <c r="CJ35" s="44"/>
      <c r="CK35" s="382" t="s">
        <v>102</v>
      </c>
      <c r="CL35" s="382"/>
      <c r="CM35" s="42">
        <f>AVERAGE(CM31:CM34)</f>
        <v>0.95491369483797439</v>
      </c>
      <c r="CN35" s="73"/>
      <c r="CO35" s="382" t="s">
        <v>103</v>
      </c>
      <c r="CP35" s="382"/>
      <c r="CQ35" s="42">
        <f>AVERAGE(CQ31:CQ34)</f>
        <v>0.76940363007778745</v>
      </c>
      <c r="CR35" s="44"/>
      <c r="CS35" s="17"/>
      <c r="CT35" s="17"/>
      <c r="CU35" s="17"/>
      <c r="CV35" s="17"/>
      <c r="CW35" s="17"/>
      <c r="CX35" s="17"/>
      <c r="CY35" s="17"/>
      <c r="CZ35" s="17"/>
      <c r="DA35" s="17"/>
      <c r="DB35" s="17"/>
      <c r="DC35" s="17"/>
      <c r="DD35" s="17"/>
      <c r="DE35" s="17"/>
      <c r="DF35" s="17"/>
      <c r="DG35" s="17"/>
      <c r="DH35" s="17"/>
      <c r="DI35" s="17"/>
      <c r="DJ35" s="17"/>
      <c r="DK35" s="17"/>
      <c r="DL35" s="17"/>
      <c r="DM35" s="17"/>
      <c r="DN35" s="17"/>
      <c r="DO35" s="17"/>
      <c r="DP35" s="17"/>
      <c r="DQ35" s="17"/>
      <c r="DR35" s="17"/>
      <c r="DS35" s="17"/>
      <c r="DT35" s="17"/>
      <c r="DU35" s="17"/>
      <c r="DV35" s="17"/>
      <c r="DW35" s="17"/>
      <c r="DX35" s="17"/>
      <c r="DY35" s="17"/>
      <c r="DZ35" s="17"/>
      <c r="EA35" s="17"/>
      <c r="EB35" s="17"/>
      <c r="EC35" s="17"/>
      <c r="ED35" s="17"/>
      <c r="EE35" s="17"/>
      <c r="EF35" s="17"/>
      <c r="EG35" s="17"/>
      <c r="EH35" s="17"/>
      <c r="EI35" s="17"/>
      <c r="EJ35" s="17"/>
      <c r="EK35" s="17"/>
      <c r="EL35" s="17"/>
      <c r="EM35" s="17"/>
      <c r="EN35" s="17"/>
      <c r="EO35" s="17"/>
      <c r="EP35" s="17"/>
      <c r="EQ35" s="17"/>
      <c r="ER35" s="17"/>
      <c r="ES35" s="17"/>
      <c r="ET35" s="17"/>
      <c r="EU35" s="17"/>
      <c r="EV35" s="17"/>
      <c r="EW35" s="17"/>
      <c r="EX35" s="17"/>
      <c r="EY35" s="17"/>
      <c r="EZ35" s="17"/>
      <c r="FA35" s="17"/>
      <c r="FB35" s="17"/>
      <c r="FC35" s="17"/>
      <c r="FD35" s="17"/>
      <c r="FE35" s="17"/>
      <c r="FF35" s="17"/>
      <c r="FG35" s="17"/>
      <c r="FH35" s="17"/>
      <c r="FI35" s="17"/>
      <c r="FJ35" s="17"/>
      <c r="FK35" s="17"/>
      <c r="FL35" s="17"/>
      <c r="FM35" s="17"/>
      <c r="FN35" s="17"/>
      <c r="FO35" s="17"/>
      <c r="FP35" s="17"/>
      <c r="FQ35" s="17"/>
      <c r="FR35" s="17"/>
      <c r="FS35" s="17"/>
      <c r="FT35" s="17"/>
      <c r="FU35" s="17"/>
      <c r="FV35" s="17"/>
      <c r="FW35" s="17"/>
      <c r="FX35" s="17"/>
      <c r="FY35" s="17"/>
      <c r="FZ35" s="17"/>
      <c r="GA35" s="17"/>
      <c r="GB35" s="17"/>
      <c r="GC35" s="17"/>
      <c r="GD35" s="17"/>
      <c r="GE35" s="17"/>
      <c r="GF35" s="17"/>
      <c r="GG35" s="17"/>
      <c r="GH35" s="17"/>
      <c r="GI35" s="17"/>
      <c r="GJ35" s="17"/>
      <c r="GK35" s="17"/>
      <c r="GL35" s="17"/>
      <c r="GM35" s="17"/>
      <c r="GN35" s="17"/>
      <c r="GO35" s="17"/>
      <c r="GP35" s="17"/>
      <c r="GQ35" s="17"/>
      <c r="GR35" s="17"/>
      <c r="GS35" s="17"/>
      <c r="GT35" s="17"/>
      <c r="GU35" s="17"/>
      <c r="GV35" s="17"/>
      <c r="GW35" s="17"/>
      <c r="GX35" s="17"/>
      <c r="GY35" s="17"/>
      <c r="GZ35" s="17"/>
      <c r="HA35" s="17"/>
      <c r="HB35" s="17"/>
      <c r="HC35" s="17"/>
      <c r="HD35" s="17"/>
      <c r="HE35" s="17"/>
      <c r="HF35" s="17"/>
      <c r="HG35" s="17"/>
      <c r="HH35" s="17"/>
      <c r="HI35" s="17"/>
      <c r="HJ35" s="17"/>
      <c r="HK35" s="17"/>
      <c r="HL35" s="17"/>
      <c r="HM35" s="17"/>
      <c r="HN35" s="17"/>
      <c r="HO35" s="17"/>
      <c r="HP35" s="17"/>
      <c r="HQ35" s="17"/>
      <c r="HR35" s="17"/>
      <c r="HS35" s="17"/>
      <c r="HT35" s="17"/>
      <c r="HU35" s="17"/>
      <c r="HV35" s="17"/>
      <c r="HW35" s="17"/>
      <c r="HX35" s="17"/>
      <c r="HY35" s="17"/>
      <c r="HZ35" s="17"/>
      <c r="IA35" s="17"/>
      <c r="IB35" s="17"/>
      <c r="IC35" s="17"/>
      <c r="ID35" s="17"/>
      <c r="IE35" s="17"/>
      <c r="IF35" s="17"/>
      <c r="IG35" s="17"/>
      <c r="IH35" s="17"/>
      <c r="II35" s="17"/>
      <c r="IJ35" s="17"/>
      <c r="IK35" s="17"/>
      <c r="IL35" s="17"/>
      <c r="IM35" s="17"/>
      <c r="IN35" s="17"/>
      <c r="IO35" s="17"/>
      <c r="IP35" s="17"/>
      <c r="IQ35" s="17"/>
      <c r="IR35" s="17"/>
      <c r="IS35" s="17"/>
      <c r="IT35" s="17"/>
      <c r="IU35" s="17"/>
      <c r="IV35" s="17"/>
      <c r="IW35" s="17"/>
      <c r="IX35" s="17"/>
      <c r="IY35" s="17"/>
      <c r="IZ35" s="17"/>
      <c r="JA35" s="17"/>
      <c r="JB35" s="17"/>
      <c r="JC35" s="17"/>
      <c r="JD35" s="17"/>
      <c r="JE35" s="17"/>
      <c r="JF35" s="17"/>
      <c r="JG35" s="17"/>
      <c r="JH35" s="17"/>
      <c r="JI35" s="17"/>
      <c r="JJ35" s="17"/>
      <c r="JK35" s="17"/>
      <c r="JL35" s="17"/>
      <c r="JM35" s="17"/>
      <c r="JN35" s="17"/>
      <c r="JO35" s="17"/>
      <c r="JP35" s="17"/>
      <c r="JQ35" s="17"/>
      <c r="JR35" s="17"/>
      <c r="JS35" s="17"/>
      <c r="JT35" s="17"/>
      <c r="JU35" s="17"/>
      <c r="JV35" s="17"/>
      <c r="JW35" s="17"/>
      <c r="JX35" s="17"/>
      <c r="JY35" s="17"/>
      <c r="JZ35" s="17"/>
      <c r="KA35" s="17"/>
      <c r="KB35" s="17"/>
      <c r="KC35" s="17"/>
      <c r="KD35" s="17"/>
      <c r="KE35" s="17"/>
      <c r="KF35" s="17"/>
      <c r="KG35" s="17"/>
      <c r="KH35" s="17"/>
      <c r="KI35" s="17"/>
      <c r="KJ35" s="17"/>
      <c r="KK35" s="17"/>
      <c r="KL35" s="17"/>
      <c r="KM35" s="17"/>
      <c r="KN35" s="17"/>
      <c r="KO35" s="17"/>
      <c r="KP35" s="17"/>
      <c r="KQ35" s="17"/>
      <c r="KR35" s="17"/>
      <c r="KS35" s="17"/>
      <c r="KT35" s="17"/>
      <c r="KU35" s="17"/>
      <c r="KV35" s="17"/>
      <c r="KW35" s="17"/>
      <c r="KX35" s="17"/>
      <c r="KY35" s="17"/>
      <c r="KZ35" s="17"/>
      <c r="LA35" s="17"/>
      <c r="LB35" s="17"/>
      <c r="LC35" s="17"/>
      <c r="LD35" s="17"/>
      <c r="LE35" s="17"/>
      <c r="LF35" s="17"/>
      <c r="LG35" s="17"/>
      <c r="LH35" s="17"/>
      <c r="LI35" s="17"/>
      <c r="LJ35" s="17"/>
      <c r="LK35" s="17"/>
      <c r="LL35" s="17"/>
      <c r="LM35" s="17"/>
      <c r="LN35" s="17"/>
      <c r="LO35" s="17"/>
      <c r="LP35" s="17"/>
      <c r="LQ35" s="17"/>
      <c r="LR35" s="17"/>
      <c r="LS35" s="17"/>
      <c r="LT35" s="17"/>
      <c r="LU35" s="17"/>
      <c r="LV35" s="17"/>
      <c r="LW35" s="17"/>
      <c r="LX35" s="17"/>
      <c r="LY35" s="17"/>
      <c r="LZ35" s="17"/>
      <c r="MA35" s="17"/>
      <c r="MB35" s="17"/>
      <c r="MC35" s="17"/>
      <c r="MD35" s="17"/>
      <c r="ME35" s="17"/>
      <c r="MF35" s="17"/>
      <c r="MG35" s="17"/>
      <c r="MH35" s="17"/>
      <c r="MI35" s="17"/>
      <c r="MJ35" s="17"/>
      <c r="MK35" s="17"/>
      <c r="ML35" s="17"/>
      <c r="MM35" s="17"/>
      <c r="MN35" s="17"/>
      <c r="MO35" s="17"/>
      <c r="MP35" s="17"/>
      <c r="MQ35" s="17"/>
      <c r="MR35" s="17"/>
      <c r="MS35" s="17"/>
      <c r="MT35" s="17"/>
      <c r="MU35" s="17"/>
      <c r="MV35" s="17"/>
      <c r="MW35" s="17"/>
      <c r="MX35" s="17"/>
      <c r="MY35" s="17"/>
      <c r="MZ35" s="17"/>
      <c r="NA35" s="17"/>
      <c r="NB35" s="17"/>
      <c r="NC35" s="17"/>
      <c r="ND35" s="17"/>
      <c r="NE35" s="17"/>
      <c r="NF35" s="17"/>
      <c r="NG35" s="17"/>
      <c r="NH35" s="17"/>
      <c r="NI35" s="17"/>
      <c r="NJ35" s="17"/>
      <c r="NK35" s="17"/>
      <c r="NL35" s="17"/>
      <c r="NM35" s="17"/>
      <c r="NN35" s="17"/>
      <c r="NO35" s="17"/>
      <c r="NP35" s="17"/>
      <c r="NQ35" s="17"/>
      <c r="NR35" s="17"/>
      <c r="NS35" s="17"/>
      <c r="NT35" s="17"/>
      <c r="NU35" s="17"/>
      <c r="NV35" s="17"/>
      <c r="NW35" s="17"/>
      <c r="NX35" s="17"/>
      <c r="NY35" s="17"/>
      <c r="NZ35" s="17"/>
      <c r="OA35" s="17"/>
      <c r="OB35" s="17"/>
      <c r="OC35" s="17"/>
      <c r="OD35" s="17"/>
      <c r="OE35" s="17"/>
      <c r="OF35" s="17"/>
      <c r="OG35" s="17"/>
      <c r="OH35" s="17"/>
      <c r="OI35" s="17"/>
      <c r="OJ35" s="17"/>
      <c r="OK35" s="17"/>
      <c r="OL35" s="17"/>
      <c r="OM35" s="17"/>
      <c r="ON35" s="17"/>
      <c r="OO35" s="17"/>
      <c r="OP35" s="17"/>
      <c r="OQ35" s="17"/>
      <c r="OR35" s="17"/>
      <c r="OS35" s="17"/>
      <c r="OT35" s="17"/>
      <c r="OU35" s="17"/>
      <c r="OV35" s="17"/>
      <c r="OW35" s="17"/>
      <c r="OX35" s="17"/>
      <c r="OY35" s="17"/>
      <c r="OZ35" s="17"/>
      <c r="PA35" s="17"/>
      <c r="PB35" s="17"/>
      <c r="PC35" s="17"/>
      <c r="PD35" s="17"/>
      <c r="PE35" s="17"/>
      <c r="PF35" s="17"/>
      <c r="PG35" s="17"/>
      <c r="PH35" s="17"/>
      <c r="PI35" s="17"/>
      <c r="PJ35" s="17"/>
      <c r="PK35" s="17"/>
      <c r="PL35" s="17"/>
      <c r="PM35" s="17"/>
      <c r="PN35" s="17"/>
      <c r="PO35" s="17"/>
      <c r="PP35" s="17"/>
      <c r="PQ35" s="17"/>
      <c r="PR35" s="17"/>
      <c r="PS35" s="17"/>
      <c r="PT35" s="17"/>
      <c r="PU35" s="17"/>
      <c r="PV35" s="17"/>
      <c r="PW35" s="17"/>
      <c r="PX35" s="17"/>
      <c r="PY35" s="17"/>
      <c r="PZ35" s="17"/>
      <c r="QA35" s="17"/>
      <c r="QB35" s="17"/>
      <c r="QC35" s="17"/>
      <c r="QD35" s="17"/>
      <c r="QE35" s="17"/>
      <c r="QF35" s="17"/>
      <c r="QG35" s="17"/>
      <c r="QH35" s="17"/>
      <c r="QI35" s="17"/>
      <c r="QJ35" s="17"/>
      <c r="QK35" s="17"/>
      <c r="QL35" s="17"/>
      <c r="QM35" s="17"/>
      <c r="QN35" s="17"/>
      <c r="QO35" s="17"/>
      <c r="QP35" s="17"/>
      <c r="QQ35" s="17"/>
      <c r="QR35" s="17"/>
      <c r="QS35" s="17"/>
      <c r="QT35" s="17"/>
      <c r="QU35" s="17"/>
      <c r="QV35" s="17"/>
      <c r="QW35" s="17"/>
      <c r="QX35" s="17"/>
      <c r="QY35" s="17"/>
      <c r="QZ35" s="17"/>
      <c r="RA35" s="17"/>
      <c r="RB35" s="17"/>
      <c r="RC35" s="17"/>
      <c r="RD35" s="17"/>
      <c r="RE35" s="17"/>
      <c r="RF35" s="17"/>
      <c r="RG35" s="17"/>
      <c r="RH35" s="17"/>
      <c r="RI35" s="17"/>
      <c r="RJ35" s="17"/>
      <c r="RK35" s="17"/>
      <c r="RL35" s="17"/>
      <c r="RM35" s="17"/>
      <c r="RN35" s="17"/>
      <c r="RO35" s="17"/>
      <c r="RP35" s="17"/>
      <c r="RQ35" s="17"/>
      <c r="RR35" s="17"/>
      <c r="RS35" s="17"/>
      <c r="RT35" s="17"/>
      <c r="RU35" s="17"/>
      <c r="RV35" s="17"/>
      <c r="RW35" s="17"/>
      <c r="RX35" s="17"/>
      <c r="RY35" s="17"/>
      <c r="RZ35" s="17"/>
      <c r="SA35" s="17"/>
      <c r="SB35" s="17"/>
      <c r="SC35" s="17"/>
      <c r="SD35" s="17"/>
      <c r="SE35" s="17"/>
      <c r="SF35" s="17"/>
      <c r="SG35" s="17"/>
      <c r="SH35" s="17"/>
      <c r="SI35" s="17"/>
      <c r="SJ35" s="17"/>
      <c r="SK35" s="17"/>
      <c r="SL35" s="17"/>
      <c r="SM35" s="17"/>
      <c r="SN35" s="17"/>
      <c r="SO35" s="17"/>
      <c r="SP35" s="17"/>
      <c r="SQ35" s="17"/>
      <c r="SR35" s="17"/>
      <c r="SS35" s="17"/>
      <c r="ST35" s="17"/>
      <c r="SU35" s="17"/>
      <c r="SV35" s="17"/>
      <c r="SW35" s="17"/>
      <c r="SX35" s="17"/>
      <c r="SY35" s="17"/>
      <c r="SZ35" s="17"/>
      <c r="TA35" s="17"/>
      <c r="TB35" s="17"/>
      <c r="TC35" s="17"/>
      <c r="TD35" s="17"/>
      <c r="TE35" s="17"/>
      <c r="TF35" s="17"/>
      <c r="TG35" s="17"/>
      <c r="TH35" s="17"/>
      <c r="TI35" s="17"/>
      <c r="TJ35" s="17"/>
      <c r="TK35" s="17"/>
      <c r="TL35" s="17"/>
      <c r="TM35" s="17"/>
      <c r="TN35" s="17"/>
      <c r="TO35" s="17"/>
      <c r="TP35" s="17"/>
      <c r="TQ35" s="17"/>
      <c r="TR35" s="17"/>
      <c r="TS35" s="17"/>
      <c r="TT35" s="17"/>
      <c r="TU35" s="17"/>
      <c r="TV35" s="17"/>
      <c r="TW35" s="17"/>
      <c r="TX35" s="17"/>
      <c r="TY35" s="17"/>
      <c r="TZ35" s="17"/>
      <c r="UA35" s="17"/>
      <c r="UB35" s="17"/>
      <c r="UC35" s="17"/>
      <c r="UD35" s="17"/>
      <c r="UE35" s="17"/>
      <c r="UF35" s="17"/>
      <c r="UG35" s="17"/>
      <c r="UH35" s="17"/>
      <c r="UI35" s="17"/>
      <c r="UJ35" s="17"/>
      <c r="UK35" s="17"/>
      <c r="UL35" s="17"/>
      <c r="UM35" s="17"/>
      <c r="UN35" s="17"/>
      <c r="UO35" s="17"/>
      <c r="UP35" s="17"/>
      <c r="UQ35" s="17"/>
      <c r="UR35" s="17"/>
      <c r="US35" s="17"/>
      <c r="UT35" s="17"/>
      <c r="UU35" s="17"/>
      <c r="UV35" s="17"/>
      <c r="UW35" s="17"/>
      <c r="UX35" s="17"/>
      <c r="UY35" s="17"/>
      <c r="UZ35" s="17"/>
      <c r="VA35" s="17"/>
      <c r="VB35" s="17"/>
      <c r="VC35" s="17"/>
      <c r="VD35" s="17"/>
      <c r="VE35" s="17"/>
      <c r="VF35" s="17"/>
      <c r="VG35" s="17"/>
      <c r="VH35" s="17"/>
      <c r="VI35" s="17"/>
      <c r="VJ35" s="17"/>
      <c r="VK35" s="17"/>
      <c r="VL35" s="17"/>
      <c r="VM35" s="17"/>
      <c r="VN35" s="17"/>
      <c r="VO35" s="17"/>
      <c r="VP35" s="17"/>
      <c r="VQ35" s="17"/>
      <c r="VR35" s="17"/>
      <c r="VS35" s="17"/>
      <c r="VT35" s="17"/>
      <c r="VU35" s="17"/>
      <c r="VV35" s="17"/>
      <c r="VW35" s="17"/>
      <c r="VX35" s="17"/>
      <c r="VY35" s="17"/>
      <c r="VZ35" s="17"/>
      <c r="WA35" s="17"/>
      <c r="WB35" s="17"/>
      <c r="WC35" s="17"/>
      <c r="WD35" s="17"/>
      <c r="WE35" s="17"/>
      <c r="WF35" s="17"/>
      <c r="WG35" s="17"/>
      <c r="WH35" s="17"/>
      <c r="WI35" s="17"/>
      <c r="WJ35" s="17"/>
      <c r="WK35" s="17"/>
      <c r="WL35" s="17"/>
      <c r="WM35" s="17"/>
      <c r="WN35" s="17"/>
      <c r="WO35" s="17"/>
      <c r="WP35" s="17"/>
      <c r="WQ35" s="17"/>
      <c r="WR35" s="17"/>
      <c r="WS35" s="17"/>
      <c r="WT35" s="17"/>
      <c r="WU35" s="17"/>
      <c r="WV35" s="17"/>
      <c r="WW35" s="17"/>
      <c r="WX35" s="17"/>
      <c r="WY35" s="17"/>
      <c r="WZ35" s="17"/>
      <c r="XA35" s="17"/>
      <c r="XB35" s="17"/>
      <c r="XC35" s="17"/>
      <c r="XD35" s="17"/>
      <c r="XE35" s="17"/>
      <c r="XF35" s="17"/>
      <c r="XG35" s="17"/>
      <c r="XH35" s="17"/>
      <c r="XI35" s="17"/>
      <c r="XJ35" s="17"/>
      <c r="XK35" s="17"/>
      <c r="XL35" s="17"/>
      <c r="XM35" s="17"/>
      <c r="XN35" s="17"/>
      <c r="XO35" s="17"/>
      <c r="XP35" s="17"/>
      <c r="XQ35" s="17"/>
      <c r="XR35" s="17"/>
      <c r="XS35" s="17"/>
      <c r="XT35" s="17"/>
      <c r="XU35" s="17"/>
      <c r="XV35" s="17"/>
      <c r="XW35" s="17"/>
      <c r="XX35" s="17"/>
      <c r="XY35" s="17"/>
      <c r="XZ35" s="17"/>
      <c r="YA35" s="17"/>
      <c r="YB35" s="17"/>
      <c r="YC35" s="17"/>
      <c r="YD35" s="17"/>
      <c r="YE35" s="17"/>
      <c r="YF35" s="17"/>
      <c r="YG35" s="17"/>
      <c r="YH35" s="17"/>
      <c r="YI35" s="17"/>
      <c r="YJ35" s="17"/>
      <c r="YK35" s="17"/>
      <c r="YL35" s="17"/>
      <c r="YM35" s="17"/>
      <c r="YN35" s="17"/>
      <c r="YO35" s="17"/>
      <c r="YP35" s="17"/>
      <c r="YQ35" s="17"/>
      <c r="YR35" s="17"/>
      <c r="YS35" s="17"/>
      <c r="YT35" s="17"/>
      <c r="YU35" s="17"/>
      <c r="YV35" s="17"/>
      <c r="YW35" s="17"/>
      <c r="YX35" s="17"/>
      <c r="YY35" s="17"/>
      <c r="YZ35" s="17"/>
      <c r="ZA35" s="17"/>
      <c r="ZB35" s="17"/>
      <c r="ZC35" s="17"/>
      <c r="ZD35" s="17"/>
      <c r="ZE35" s="17"/>
      <c r="ZF35" s="17"/>
      <c r="ZG35" s="17"/>
      <c r="ZH35" s="17"/>
      <c r="ZI35" s="17"/>
      <c r="ZJ35" s="17"/>
      <c r="ZK35" s="17"/>
      <c r="ZL35" s="17"/>
      <c r="ZM35" s="17"/>
      <c r="ZN35" s="17"/>
      <c r="ZO35" s="17"/>
      <c r="ZP35" s="17"/>
      <c r="ZQ35" s="17"/>
      <c r="ZR35" s="17"/>
      <c r="ZS35" s="17"/>
      <c r="ZT35" s="17"/>
      <c r="ZU35" s="17"/>
      <c r="ZV35" s="17"/>
      <c r="ZW35" s="17"/>
      <c r="ZX35" s="17"/>
      <c r="ZY35" s="17"/>
      <c r="ZZ35" s="17"/>
      <c r="AAA35" s="17"/>
      <c r="AAB35" s="17"/>
      <c r="AAC35" s="17"/>
      <c r="AAD35" s="17"/>
      <c r="AAE35" s="17"/>
      <c r="AAF35" s="17"/>
    </row>
    <row r="36" spans="1:708" ht="86.25" customHeight="1" x14ac:dyDescent="0.25">
      <c r="A36" s="78" t="s">
        <v>47</v>
      </c>
      <c r="B36" s="78" t="s">
        <v>48</v>
      </c>
      <c r="C36" s="78" t="s">
        <v>49</v>
      </c>
      <c r="D36" s="78" t="s">
        <v>50</v>
      </c>
      <c r="E36" s="78" t="s">
        <v>90</v>
      </c>
      <c r="F36" s="78" t="s">
        <v>52</v>
      </c>
      <c r="G36" s="78" t="s">
        <v>53</v>
      </c>
      <c r="H36" s="78" t="s">
        <v>54</v>
      </c>
      <c r="I36" s="78" t="s">
        <v>55</v>
      </c>
      <c r="J36" s="78" t="s">
        <v>56</v>
      </c>
      <c r="K36" s="78" t="s">
        <v>341</v>
      </c>
      <c r="L36" s="78" t="s">
        <v>342</v>
      </c>
      <c r="M36" s="78" t="s">
        <v>343</v>
      </c>
      <c r="N36" s="78" t="s">
        <v>93</v>
      </c>
      <c r="O36" s="78"/>
      <c r="P36" s="79">
        <v>1</v>
      </c>
      <c r="Q36" s="477"/>
      <c r="R36" s="478"/>
      <c r="S36" s="478"/>
      <c r="T36" s="478"/>
      <c r="U36" s="479"/>
      <c r="V36" s="80">
        <v>20750892</v>
      </c>
      <c r="W36" s="448"/>
      <c r="X36" s="78" t="s">
        <v>344</v>
      </c>
      <c r="Y36" s="81">
        <f>(2/27)</f>
        <v>7.407407407407407E-2</v>
      </c>
      <c r="Z36" s="81">
        <f>+P36</f>
        <v>1</v>
      </c>
      <c r="AA36" s="82">
        <f>Y36/Z36</f>
        <v>7.407407407407407E-2</v>
      </c>
      <c r="AB36" s="83" t="s">
        <v>345</v>
      </c>
      <c r="AC36" s="385"/>
      <c r="AD36" s="386"/>
      <c r="AE36" s="386"/>
      <c r="AF36" s="386"/>
      <c r="AG36" s="84">
        <v>0.61111111111111116</v>
      </c>
      <c r="AH36" s="84">
        <v>1</v>
      </c>
      <c r="AI36" s="85">
        <v>0.61111111111111116</v>
      </c>
      <c r="AJ36" s="86" t="s">
        <v>346</v>
      </c>
      <c r="AK36" s="480"/>
      <c r="AL36" s="481"/>
      <c r="AM36" s="481"/>
      <c r="AN36" s="481"/>
      <c r="AO36" s="84">
        <f>(16/23)</f>
        <v>0.69565217391304346</v>
      </c>
      <c r="AP36" s="84">
        <f>+P36</f>
        <v>1</v>
      </c>
      <c r="AQ36" s="85">
        <f>AO36/AP36</f>
        <v>0.69565217391304346</v>
      </c>
      <c r="AR36" s="86" t="s">
        <v>347</v>
      </c>
      <c r="AS36" s="480"/>
      <c r="AT36" s="481"/>
      <c r="AU36" s="481"/>
      <c r="AV36" s="481"/>
      <c r="AW36" s="84">
        <f>(20/30)</f>
        <v>0.66666666666666663</v>
      </c>
      <c r="AX36" s="84">
        <f>+P36</f>
        <v>1</v>
      </c>
      <c r="AY36" s="85">
        <f>AW36/AX36</f>
        <v>0.66666666666666663</v>
      </c>
      <c r="AZ36" s="86" t="s">
        <v>348</v>
      </c>
      <c r="BA36" s="480"/>
      <c r="BB36" s="481"/>
      <c r="BC36" s="481"/>
      <c r="BD36" s="481"/>
      <c r="BE36" s="84">
        <f>(25/38)</f>
        <v>0.65789473684210531</v>
      </c>
      <c r="BF36" s="84">
        <v>1</v>
      </c>
      <c r="BG36" s="85">
        <f>BE36/BF36</f>
        <v>0.65789473684210531</v>
      </c>
      <c r="BH36" s="26" t="s">
        <v>349</v>
      </c>
      <c r="BI36" s="480"/>
      <c r="BJ36" s="481"/>
      <c r="BK36" s="481"/>
      <c r="BL36" s="481"/>
      <c r="BM36" s="84">
        <f>(27/43)</f>
        <v>0.62790697674418605</v>
      </c>
      <c r="BN36" s="84">
        <v>1</v>
      </c>
      <c r="BO36" s="85">
        <f>BM36/BN36</f>
        <v>0.62790697674418605</v>
      </c>
      <c r="BP36" s="26" t="s">
        <v>350</v>
      </c>
      <c r="BQ36" s="480"/>
      <c r="BR36" s="481"/>
      <c r="BS36" s="481"/>
      <c r="BT36" s="481"/>
      <c r="BU36" s="81">
        <f>(45/49)</f>
        <v>0.91836734693877553</v>
      </c>
      <c r="BV36" s="81">
        <v>1</v>
      </c>
      <c r="BW36" s="82">
        <f>BU36/BV36</f>
        <v>0.91836734693877553</v>
      </c>
      <c r="BX36" s="23" t="s">
        <v>351</v>
      </c>
      <c r="BY36" s="385"/>
      <c r="BZ36" s="386"/>
      <c r="CA36" s="386"/>
      <c r="CB36" s="386"/>
      <c r="CC36" s="81">
        <f>(51/52)</f>
        <v>0.98076923076923073</v>
      </c>
      <c r="CD36" s="81">
        <v>1</v>
      </c>
      <c r="CE36" s="82">
        <f>CC36/CD36</f>
        <v>0.98076923076923073</v>
      </c>
      <c r="CF36" s="86" t="s">
        <v>352</v>
      </c>
      <c r="CG36" s="385"/>
      <c r="CH36" s="386"/>
      <c r="CI36" s="386"/>
      <c r="CJ36" s="386"/>
      <c r="CK36" s="81">
        <f>(52/53)</f>
        <v>0.98113207547169812</v>
      </c>
      <c r="CL36" s="81">
        <v>1</v>
      </c>
      <c r="CM36" s="82">
        <f>CK36/CL36</f>
        <v>0.98113207547169812</v>
      </c>
      <c r="CN36" s="83" t="s">
        <v>625</v>
      </c>
      <c r="CO36" s="385"/>
      <c r="CP36" s="386"/>
      <c r="CQ36" s="386"/>
      <c r="CR36" s="386"/>
    </row>
    <row r="37" spans="1:708" s="18" customFormat="1" ht="70.5" customHeight="1" x14ac:dyDescent="0.25">
      <c r="A37" s="39"/>
      <c r="B37" s="39"/>
      <c r="C37" s="39"/>
      <c r="D37" s="39"/>
      <c r="E37" s="39"/>
      <c r="F37" s="39"/>
      <c r="G37" s="39"/>
      <c r="H37" s="39"/>
      <c r="I37" s="39"/>
      <c r="J37" s="39"/>
      <c r="K37" s="39"/>
      <c r="L37" s="39"/>
      <c r="M37" s="39"/>
      <c r="N37" s="39"/>
      <c r="O37" s="39"/>
      <c r="P37" s="40"/>
      <c r="Q37" s="39"/>
      <c r="R37" s="39"/>
      <c r="S37" s="40"/>
      <c r="T37" s="39"/>
      <c r="U37" s="39"/>
      <c r="V37" s="77"/>
      <c r="W37" s="448"/>
      <c r="X37" s="39"/>
      <c r="Y37" s="382" t="s">
        <v>102</v>
      </c>
      <c r="Z37" s="382"/>
      <c r="AA37" s="42">
        <f>AVERAGE(AA36:AA36)</f>
        <v>7.407407407407407E-2</v>
      </c>
      <c r="AB37" s="73"/>
      <c r="AC37" s="382" t="s">
        <v>103</v>
      </c>
      <c r="AD37" s="382"/>
      <c r="AE37" s="42" t="s">
        <v>353</v>
      </c>
      <c r="AF37" s="44"/>
      <c r="AG37" s="459" t="s">
        <v>102</v>
      </c>
      <c r="AH37" s="459"/>
      <c r="AI37" s="42">
        <f>AVERAGE(AI36:AI36)</f>
        <v>0.61111111111111116</v>
      </c>
      <c r="AJ37" s="74"/>
      <c r="AK37" s="459" t="s">
        <v>103</v>
      </c>
      <c r="AL37" s="459"/>
      <c r="AM37" s="46" t="s">
        <v>353</v>
      </c>
      <c r="AN37" s="45"/>
      <c r="AO37" s="382" t="s">
        <v>102</v>
      </c>
      <c r="AP37" s="382"/>
      <c r="AQ37" s="42">
        <f>AVERAGE(AQ36:AQ36)</f>
        <v>0.69565217391304346</v>
      </c>
      <c r="AR37" s="73"/>
      <c r="AS37" s="382" t="s">
        <v>103</v>
      </c>
      <c r="AT37" s="382"/>
      <c r="AU37" s="42" t="s">
        <v>353</v>
      </c>
      <c r="AV37" s="44"/>
      <c r="AW37" s="459" t="s">
        <v>102</v>
      </c>
      <c r="AX37" s="459"/>
      <c r="AY37" s="46">
        <f>AVERAGE(AY36:AY36)</f>
        <v>0.66666666666666663</v>
      </c>
      <c r="AZ37" s="74"/>
      <c r="BA37" s="459" t="s">
        <v>103</v>
      </c>
      <c r="BB37" s="459"/>
      <c r="BC37" s="46" t="s">
        <v>353</v>
      </c>
      <c r="BD37" s="45"/>
      <c r="BE37" s="459" t="s">
        <v>102</v>
      </c>
      <c r="BF37" s="459"/>
      <c r="BG37" s="46">
        <f>AVERAGE(BG36:BG36)</f>
        <v>0.65789473684210531</v>
      </c>
      <c r="BH37" s="74"/>
      <c r="BI37" s="382" t="s">
        <v>103</v>
      </c>
      <c r="BJ37" s="382"/>
      <c r="BK37" s="42" t="s">
        <v>353</v>
      </c>
      <c r="BL37" s="44"/>
      <c r="BM37" s="459" t="s">
        <v>102</v>
      </c>
      <c r="BN37" s="459"/>
      <c r="BO37" s="46">
        <f>AVERAGE(BO36:BO36)</f>
        <v>0.62790697674418605</v>
      </c>
      <c r="BP37" s="74"/>
      <c r="BQ37" s="459" t="s">
        <v>103</v>
      </c>
      <c r="BR37" s="459"/>
      <c r="BS37" s="46" t="s">
        <v>353</v>
      </c>
      <c r="BT37" s="45"/>
      <c r="BU37" s="382" t="s">
        <v>102</v>
      </c>
      <c r="BV37" s="382"/>
      <c r="BW37" s="42">
        <f>AVERAGE(BW36:BW36)</f>
        <v>0.91836734693877553</v>
      </c>
      <c r="BX37" s="73"/>
      <c r="BY37" s="382" t="s">
        <v>103</v>
      </c>
      <c r="BZ37" s="382"/>
      <c r="CA37" s="42" t="s">
        <v>353</v>
      </c>
      <c r="CB37" s="44"/>
      <c r="CC37" s="382" t="s">
        <v>102</v>
      </c>
      <c r="CD37" s="382"/>
      <c r="CE37" s="42">
        <f>AVERAGE(CE36:CE36)</f>
        <v>0.98076923076923073</v>
      </c>
      <c r="CF37" s="73"/>
      <c r="CG37" s="382" t="s">
        <v>103</v>
      </c>
      <c r="CH37" s="382"/>
      <c r="CI37" s="42" t="s">
        <v>353</v>
      </c>
      <c r="CJ37" s="44"/>
      <c r="CK37" s="382" t="s">
        <v>102</v>
      </c>
      <c r="CL37" s="382"/>
      <c r="CM37" s="42">
        <f>AVERAGE(CM36:CM36)</f>
        <v>0.98113207547169812</v>
      </c>
      <c r="CN37" s="73"/>
      <c r="CO37" s="382" t="s">
        <v>103</v>
      </c>
      <c r="CP37" s="382"/>
      <c r="CQ37" s="42" t="s">
        <v>353</v>
      </c>
      <c r="CR37" s="44"/>
      <c r="CS37" s="17"/>
      <c r="CT37" s="17"/>
      <c r="CU37" s="17"/>
      <c r="CV37" s="17"/>
      <c r="CW37" s="17"/>
      <c r="CX37" s="17"/>
      <c r="CY37" s="17"/>
      <c r="CZ37" s="17"/>
      <c r="DA37" s="17"/>
      <c r="DB37" s="17"/>
      <c r="DC37" s="17"/>
      <c r="DD37" s="17"/>
      <c r="DE37" s="17"/>
      <c r="DF37" s="17"/>
      <c r="DG37" s="17"/>
      <c r="DH37" s="17"/>
      <c r="DI37" s="17"/>
      <c r="DJ37" s="17"/>
      <c r="DK37" s="17"/>
      <c r="DL37" s="17"/>
      <c r="DM37" s="17"/>
      <c r="DN37" s="17"/>
      <c r="DO37" s="17"/>
      <c r="DP37" s="17"/>
      <c r="DQ37" s="17"/>
      <c r="DR37" s="17"/>
      <c r="DS37" s="17"/>
      <c r="DT37" s="17"/>
      <c r="DU37" s="17"/>
      <c r="DV37" s="17"/>
      <c r="DW37" s="17"/>
      <c r="DX37" s="17"/>
      <c r="DY37" s="17"/>
      <c r="DZ37" s="17"/>
      <c r="EA37" s="17"/>
      <c r="EB37" s="17"/>
      <c r="EC37" s="17"/>
      <c r="ED37" s="17"/>
      <c r="EE37" s="17"/>
      <c r="EF37" s="17"/>
      <c r="EG37" s="17"/>
      <c r="EH37" s="17"/>
      <c r="EI37" s="17"/>
      <c r="EJ37" s="17"/>
      <c r="EK37" s="17"/>
      <c r="EL37" s="17"/>
      <c r="EM37" s="17"/>
      <c r="EN37" s="17"/>
      <c r="EO37" s="17"/>
      <c r="EP37" s="17"/>
      <c r="EQ37" s="17"/>
      <c r="ER37" s="17"/>
      <c r="ES37" s="17"/>
      <c r="ET37" s="17"/>
      <c r="EU37" s="17"/>
      <c r="EV37" s="17"/>
      <c r="EW37" s="17"/>
      <c r="EX37" s="17"/>
      <c r="EY37" s="17"/>
      <c r="EZ37" s="17"/>
      <c r="FA37" s="17"/>
      <c r="FB37" s="17"/>
      <c r="FC37" s="17"/>
      <c r="FD37" s="17"/>
      <c r="FE37" s="17"/>
      <c r="FF37" s="17"/>
      <c r="FG37" s="17"/>
      <c r="FH37" s="17"/>
      <c r="FI37" s="17"/>
      <c r="FJ37" s="17"/>
      <c r="FK37" s="17"/>
      <c r="FL37" s="17"/>
      <c r="FM37" s="17"/>
      <c r="FN37" s="17"/>
      <c r="FO37" s="17"/>
      <c r="FP37" s="17"/>
      <c r="FQ37" s="17"/>
      <c r="FR37" s="17"/>
      <c r="FS37" s="17"/>
      <c r="FT37" s="17"/>
      <c r="FU37" s="17"/>
      <c r="FV37" s="17"/>
      <c r="FW37" s="17"/>
      <c r="FX37" s="17"/>
      <c r="FY37" s="17"/>
      <c r="FZ37" s="17"/>
      <c r="GA37" s="17"/>
      <c r="GB37" s="17"/>
      <c r="GC37" s="17"/>
      <c r="GD37" s="17"/>
      <c r="GE37" s="17"/>
      <c r="GF37" s="17"/>
      <c r="GG37" s="17"/>
      <c r="GH37" s="17"/>
      <c r="GI37" s="17"/>
      <c r="GJ37" s="17"/>
      <c r="GK37" s="17"/>
      <c r="GL37" s="17"/>
      <c r="GM37" s="17"/>
      <c r="GN37" s="17"/>
      <c r="GO37" s="17"/>
      <c r="GP37" s="17"/>
      <c r="GQ37" s="17"/>
      <c r="GR37" s="17"/>
      <c r="GS37" s="17"/>
      <c r="GT37" s="17"/>
      <c r="GU37" s="17"/>
      <c r="GV37" s="17"/>
      <c r="GW37" s="17"/>
      <c r="GX37" s="17"/>
      <c r="GY37" s="17"/>
      <c r="GZ37" s="17"/>
      <c r="HA37" s="17"/>
      <c r="HB37" s="17"/>
      <c r="HC37" s="17"/>
      <c r="HD37" s="17"/>
      <c r="HE37" s="17"/>
      <c r="HF37" s="17"/>
      <c r="HG37" s="17"/>
      <c r="HH37" s="17"/>
      <c r="HI37" s="17"/>
      <c r="HJ37" s="17"/>
      <c r="HK37" s="17"/>
      <c r="HL37" s="17"/>
      <c r="HM37" s="17"/>
      <c r="HN37" s="17"/>
      <c r="HO37" s="17"/>
      <c r="HP37" s="17"/>
      <c r="HQ37" s="17"/>
      <c r="HR37" s="17"/>
      <c r="HS37" s="17"/>
      <c r="HT37" s="17"/>
      <c r="HU37" s="17"/>
      <c r="HV37" s="17"/>
      <c r="HW37" s="17"/>
      <c r="HX37" s="17"/>
      <c r="HY37" s="17"/>
      <c r="HZ37" s="17"/>
      <c r="IA37" s="17"/>
      <c r="IB37" s="17"/>
      <c r="IC37" s="17"/>
      <c r="ID37" s="17"/>
      <c r="IE37" s="17"/>
      <c r="IF37" s="17"/>
      <c r="IG37" s="17"/>
      <c r="IH37" s="17"/>
      <c r="II37" s="17"/>
      <c r="IJ37" s="17"/>
      <c r="IK37" s="17"/>
      <c r="IL37" s="17"/>
      <c r="IM37" s="17"/>
      <c r="IN37" s="17"/>
      <c r="IO37" s="17"/>
      <c r="IP37" s="17"/>
      <c r="IQ37" s="17"/>
      <c r="IR37" s="17"/>
      <c r="IS37" s="17"/>
      <c r="IT37" s="17"/>
      <c r="IU37" s="17"/>
      <c r="IV37" s="17"/>
      <c r="IW37" s="17"/>
      <c r="IX37" s="17"/>
      <c r="IY37" s="17"/>
      <c r="IZ37" s="17"/>
      <c r="JA37" s="17"/>
      <c r="JB37" s="17"/>
      <c r="JC37" s="17"/>
      <c r="JD37" s="17"/>
      <c r="JE37" s="17"/>
      <c r="JF37" s="17"/>
      <c r="JG37" s="17"/>
      <c r="JH37" s="17"/>
      <c r="JI37" s="17"/>
      <c r="JJ37" s="17"/>
      <c r="JK37" s="17"/>
      <c r="JL37" s="17"/>
      <c r="JM37" s="17"/>
      <c r="JN37" s="17"/>
      <c r="JO37" s="17"/>
      <c r="JP37" s="17"/>
      <c r="JQ37" s="17"/>
      <c r="JR37" s="17"/>
      <c r="JS37" s="17"/>
      <c r="JT37" s="17"/>
      <c r="JU37" s="17"/>
      <c r="JV37" s="17"/>
      <c r="JW37" s="17"/>
      <c r="JX37" s="17"/>
      <c r="JY37" s="17"/>
      <c r="JZ37" s="17"/>
      <c r="KA37" s="17"/>
      <c r="KB37" s="17"/>
      <c r="KC37" s="17"/>
      <c r="KD37" s="17"/>
      <c r="KE37" s="17"/>
      <c r="KF37" s="17"/>
      <c r="KG37" s="17"/>
      <c r="KH37" s="17"/>
      <c r="KI37" s="17"/>
      <c r="KJ37" s="17"/>
      <c r="KK37" s="17"/>
      <c r="KL37" s="17"/>
      <c r="KM37" s="17"/>
      <c r="KN37" s="17"/>
      <c r="KO37" s="17"/>
      <c r="KP37" s="17"/>
      <c r="KQ37" s="17"/>
      <c r="KR37" s="17"/>
      <c r="KS37" s="17"/>
      <c r="KT37" s="17"/>
      <c r="KU37" s="17"/>
      <c r="KV37" s="17"/>
      <c r="KW37" s="17"/>
      <c r="KX37" s="17"/>
      <c r="KY37" s="17"/>
      <c r="KZ37" s="17"/>
      <c r="LA37" s="17"/>
      <c r="LB37" s="17"/>
      <c r="LC37" s="17"/>
      <c r="LD37" s="17"/>
      <c r="LE37" s="17"/>
      <c r="LF37" s="17"/>
      <c r="LG37" s="17"/>
      <c r="LH37" s="17"/>
      <c r="LI37" s="17"/>
      <c r="LJ37" s="17"/>
      <c r="LK37" s="17"/>
      <c r="LL37" s="17"/>
      <c r="LM37" s="17"/>
      <c r="LN37" s="17"/>
      <c r="LO37" s="17"/>
      <c r="LP37" s="17"/>
      <c r="LQ37" s="17"/>
      <c r="LR37" s="17"/>
      <c r="LS37" s="17"/>
      <c r="LT37" s="17"/>
      <c r="LU37" s="17"/>
      <c r="LV37" s="17"/>
      <c r="LW37" s="17"/>
      <c r="LX37" s="17"/>
      <c r="LY37" s="17"/>
      <c r="LZ37" s="17"/>
      <c r="MA37" s="17"/>
      <c r="MB37" s="17"/>
      <c r="MC37" s="17"/>
      <c r="MD37" s="17"/>
      <c r="ME37" s="17"/>
      <c r="MF37" s="17"/>
      <c r="MG37" s="17"/>
      <c r="MH37" s="17"/>
      <c r="MI37" s="17"/>
      <c r="MJ37" s="17"/>
      <c r="MK37" s="17"/>
      <c r="ML37" s="17"/>
      <c r="MM37" s="17"/>
      <c r="MN37" s="17"/>
      <c r="MO37" s="17"/>
      <c r="MP37" s="17"/>
      <c r="MQ37" s="17"/>
      <c r="MR37" s="17"/>
      <c r="MS37" s="17"/>
      <c r="MT37" s="17"/>
      <c r="MU37" s="17"/>
      <c r="MV37" s="17"/>
      <c r="MW37" s="17"/>
      <c r="MX37" s="17"/>
      <c r="MY37" s="17"/>
      <c r="MZ37" s="17"/>
      <c r="NA37" s="17"/>
      <c r="NB37" s="17"/>
      <c r="NC37" s="17"/>
      <c r="ND37" s="17"/>
      <c r="NE37" s="17"/>
      <c r="NF37" s="17"/>
      <c r="NG37" s="17"/>
      <c r="NH37" s="17"/>
      <c r="NI37" s="17"/>
      <c r="NJ37" s="17"/>
      <c r="NK37" s="17"/>
      <c r="NL37" s="17"/>
      <c r="NM37" s="17"/>
      <c r="NN37" s="17"/>
      <c r="NO37" s="17"/>
      <c r="NP37" s="17"/>
      <c r="NQ37" s="17"/>
      <c r="NR37" s="17"/>
      <c r="NS37" s="17"/>
      <c r="NT37" s="17"/>
      <c r="NU37" s="17"/>
      <c r="NV37" s="17"/>
      <c r="NW37" s="17"/>
      <c r="NX37" s="17"/>
      <c r="NY37" s="17"/>
      <c r="NZ37" s="17"/>
      <c r="OA37" s="17"/>
      <c r="OB37" s="17"/>
      <c r="OC37" s="17"/>
      <c r="OD37" s="17"/>
      <c r="OE37" s="17"/>
      <c r="OF37" s="17"/>
      <c r="OG37" s="17"/>
      <c r="OH37" s="17"/>
      <c r="OI37" s="17"/>
      <c r="OJ37" s="17"/>
      <c r="OK37" s="17"/>
      <c r="OL37" s="17"/>
      <c r="OM37" s="17"/>
      <c r="ON37" s="17"/>
      <c r="OO37" s="17"/>
      <c r="OP37" s="17"/>
      <c r="OQ37" s="17"/>
      <c r="OR37" s="17"/>
      <c r="OS37" s="17"/>
      <c r="OT37" s="17"/>
      <c r="OU37" s="17"/>
      <c r="OV37" s="17"/>
      <c r="OW37" s="17"/>
      <c r="OX37" s="17"/>
      <c r="OY37" s="17"/>
      <c r="OZ37" s="17"/>
      <c r="PA37" s="17"/>
      <c r="PB37" s="17"/>
      <c r="PC37" s="17"/>
      <c r="PD37" s="17"/>
      <c r="PE37" s="17"/>
      <c r="PF37" s="17"/>
      <c r="PG37" s="17"/>
      <c r="PH37" s="17"/>
      <c r="PI37" s="17"/>
      <c r="PJ37" s="17"/>
      <c r="PK37" s="17"/>
      <c r="PL37" s="17"/>
      <c r="PM37" s="17"/>
      <c r="PN37" s="17"/>
      <c r="PO37" s="17"/>
      <c r="PP37" s="17"/>
      <c r="PQ37" s="17"/>
      <c r="PR37" s="17"/>
      <c r="PS37" s="17"/>
      <c r="PT37" s="17"/>
      <c r="PU37" s="17"/>
      <c r="PV37" s="17"/>
      <c r="PW37" s="17"/>
      <c r="PX37" s="17"/>
      <c r="PY37" s="17"/>
      <c r="PZ37" s="17"/>
      <c r="QA37" s="17"/>
      <c r="QB37" s="17"/>
      <c r="QC37" s="17"/>
      <c r="QD37" s="17"/>
      <c r="QE37" s="17"/>
      <c r="QF37" s="17"/>
      <c r="QG37" s="17"/>
      <c r="QH37" s="17"/>
      <c r="QI37" s="17"/>
      <c r="QJ37" s="17"/>
      <c r="QK37" s="17"/>
      <c r="QL37" s="17"/>
      <c r="QM37" s="17"/>
      <c r="QN37" s="17"/>
      <c r="QO37" s="17"/>
      <c r="QP37" s="17"/>
      <c r="QQ37" s="17"/>
      <c r="QR37" s="17"/>
      <c r="QS37" s="17"/>
      <c r="QT37" s="17"/>
      <c r="QU37" s="17"/>
      <c r="QV37" s="17"/>
      <c r="QW37" s="17"/>
      <c r="QX37" s="17"/>
      <c r="QY37" s="17"/>
      <c r="QZ37" s="17"/>
      <c r="RA37" s="17"/>
      <c r="RB37" s="17"/>
      <c r="RC37" s="17"/>
      <c r="RD37" s="17"/>
      <c r="RE37" s="17"/>
      <c r="RF37" s="17"/>
      <c r="RG37" s="17"/>
      <c r="RH37" s="17"/>
      <c r="RI37" s="17"/>
      <c r="RJ37" s="17"/>
      <c r="RK37" s="17"/>
      <c r="RL37" s="17"/>
      <c r="RM37" s="17"/>
      <c r="RN37" s="17"/>
      <c r="RO37" s="17"/>
      <c r="RP37" s="17"/>
      <c r="RQ37" s="17"/>
      <c r="RR37" s="17"/>
      <c r="RS37" s="17"/>
      <c r="RT37" s="17"/>
      <c r="RU37" s="17"/>
      <c r="RV37" s="17"/>
      <c r="RW37" s="17"/>
      <c r="RX37" s="17"/>
      <c r="RY37" s="17"/>
      <c r="RZ37" s="17"/>
      <c r="SA37" s="17"/>
      <c r="SB37" s="17"/>
      <c r="SC37" s="17"/>
      <c r="SD37" s="17"/>
      <c r="SE37" s="17"/>
      <c r="SF37" s="17"/>
      <c r="SG37" s="17"/>
      <c r="SH37" s="17"/>
      <c r="SI37" s="17"/>
      <c r="SJ37" s="17"/>
      <c r="SK37" s="17"/>
      <c r="SL37" s="17"/>
      <c r="SM37" s="17"/>
      <c r="SN37" s="17"/>
      <c r="SO37" s="17"/>
      <c r="SP37" s="17"/>
      <c r="SQ37" s="17"/>
      <c r="SR37" s="17"/>
      <c r="SS37" s="17"/>
      <c r="ST37" s="17"/>
      <c r="SU37" s="17"/>
      <c r="SV37" s="17"/>
      <c r="SW37" s="17"/>
      <c r="SX37" s="17"/>
      <c r="SY37" s="17"/>
      <c r="SZ37" s="17"/>
      <c r="TA37" s="17"/>
      <c r="TB37" s="17"/>
      <c r="TC37" s="17"/>
      <c r="TD37" s="17"/>
      <c r="TE37" s="17"/>
      <c r="TF37" s="17"/>
      <c r="TG37" s="17"/>
      <c r="TH37" s="17"/>
      <c r="TI37" s="17"/>
      <c r="TJ37" s="17"/>
      <c r="TK37" s="17"/>
      <c r="TL37" s="17"/>
      <c r="TM37" s="17"/>
      <c r="TN37" s="17"/>
      <c r="TO37" s="17"/>
      <c r="TP37" s="17"/>
      <c r="TQ37" s="17"/>
      <c r="TR37" s="17"/>
      <c r="TS37" s="17"/>
      <c r="TT37" s="17"/>
      <c r="TU37" s="17"/>
      <c r="TV37" s="17"/>
      <c r="TW37" s="17"/>
      <c r="TX37" s="17"/>
      <c r="TY37" s="17"/>
      <c r="TZ37" s="17"/>
      <c r="UA37" s="17"/>
      <c r="UB37" s="17"/>
      <c r="UC37" s="17"/>
      <c r="UD37" s="17"/>
      <c r="UE37" s="17"/>
      <c r="UF37" s="17"/>
      <c r="UG37" s="17"/>
      <c r="UH37" s="17"/>
      <c r="UI37" s="17"/>
      <c r="UJ37" s="17"/>
      <c r="UK37" s="17"/>
      <c r="UL37" s="17"/>
      <c r="UM37" s="17"/>
      <c r="UN37" s="17"/>
      <c r="UO37" s="17"/>
      <c r="UP37" s="17"/>
      <c r="UQ37" s="17"/>
      <c r="UR37" s="17"/>
      <c r="US37" s="17"/>
      <c r="UT37" s="17"/>
      <c r="UU37" s="17"/>
      <c r="UV37" s="17"/>
      <c r="UW37" s="17"/>
      <c r="UX37" s="17"/>
      <c r="UY37" s="17"/>
      <c r="UZ37" s="17"/>
      <c r="VA37" s="17"/>
      <c r="VB37" s="17"/>
      <c r="VC37" s="17"/>
      <c r="VD37" s="17"/>
      <c r="VE37" s="17"/>
      <c r="VF37" s="17"/>
      <c r="VG37" s="17"/>
      <c r="VH37" s="17"/>
      <c r="VI37" s="17"/>
      <c r="VJ37" s="17"/>
      <c r="VK37" s="17"/>
      <c r="VL37" s="17"/>
      <c r="VM37" s="17"/>
      <c r="VN37" s="17"/>
      <c r="VO37" s="17"/>
      <c r="VP37" s="17"/>
      <c r="VQ37" s="17"/>
      <c r="VR37" s="17"/>
      <c r="VS37" s="17"/>
      <c r="VT37" s="17"/>
      <c r="VU37" s="17"/>
      <c r="VV37" s="17"/>
      <c r="VW37" s="17"/>
      <c r="VX37" s="17"/>
      <c r="VY37" s="17"/>
      <c r="VZ37" s="17"/>
      <c r="WA37" s="17"/>
      <c r="WB37" s="17"/>
      <c r="WC37" s="17"/>
      <c r="WD37" s="17"/>
      <c r="WE37" s="17"/>
      <c r="WF37" s="17"/>
      <c r="WG37" s="17"/>
      <c r="WH37" s="17"/>
      <c r="WI37" s="17"/>
      <c r="WJ37" s="17"/>
      <c r="WK37" s="17"/>
      <c r="WL37" s="17"/>
      <c r="WM37" s="17"/>
      <c r="WN37" s="17"/>
      <c r="WO37" s="17"/>
      <c r="WP37" s="17"/>
      <c r="WQ37" s="17"/>
      <c r="WR37" s="17"/>
      <c r="WS37" s="17"/>
      <c r="WT37" s="17"/>
      <c r="WU37" s="17"/>
      <c r="WV37" s="17"/>
      <c r="WW37" s="17"/>
      <c r="WX37" s="17"/>
      <c r="WY37" s="17"/>
      <c r="WZ37" s="17"/>
      <c r="XA37" s="17"/>
      <c r="XB37" s="17"/>
      <c r="XC37" s="17"/>
      <c r="XD37" s="17"/>
      <c r="XE37" s="17"/>
      <c r="XF37" s="17"/>
      <c r="XG37" s="17"/>
      <c r="XH37" s="17"/>
      <c r="XI37" s="17"/>
      <c r="XJ37" s="17"/>
      <c r="XK37" s="17"/>
      <c r="XL37" s="17"/>
      <c r="XM37" s="17"/>
      <c r="XN37" s="17"/>
      <c r="XO37" s="17"/>
      <c r="XP37" s="17"/>
      <c r="XQ37" s="17"/>
      <c r="XR37" s="17"/>
      <c r="XS37" s="17"/>
      <c r="XT37" s="17"/>
      <c r="XU37" s="17"/>
      <c r="XV37" s="17"/>
      <c r="XW37" s="17"/>
      <c r="XX37" s="17"/>
      <c r="XY37" s="17"/>
      <c r="XZ37" s="17"/>
      <c r="YA37" s="17"/>
      <c r="YB37" s="17"/>
      <c r="YC37" s="17"/>
      <c r="YD37" s="17"/>
      <c r="YE37" s="17"/>
      <c r="YF37" s="17"/>
      <c r="YG37" s="17"/>
      <c r="YH37" s="17"/>
      <c r="YI37" s="17"/>
      <c r="YJ37" s="17"/>
      <c r="YK37" s="17"/>
      <c r="YL37" s="17"/>
      <c r="YM37" s="17"/>
      <c r="YN37" s="17"/>
      <c r="YO37" s="17"/>
      <c r="YP37" s="17"/>
      <c r="YQ37" s="17"/>
      <c r="YR37" s="17"/>
      <c r="YS37" s="17"/>
      <c r="YT37" s="17"/>
      <c r="YU37" s="17"/>
      <c r="YV37" s="17"/>
      <c r="YW37" s="17"/>
      <c r="YX37" s="17"/>
      <c r="YY37" s="17"/>
      <c r="YZ37" s="17"/>
      <c r="ZA37" s="17"/>
      <c r="ZB37" s="17"/>
      <c r="ZC37" s="17"/>
      <c r="ZD37" s="17"/>
      <c r="ZE37" s="17"/>
      <c r="ZF37" s="17"/>
      <c r="ZG37" s="17"/>
      <c r="ZH37" s="17"/>
      <c r="ZI37" s="17"/>
      <c r="ZJ37" s="17"/>
      <c r="ZK37" s="17"/>
      <c r="ZL37" s="17"/>
      <c r="ZM37" s="17"/>
      <c r="ZN37" s="17"/>
      <c r="ZO37" s="17"/>
      <c r="ZP37" s="17"/>
      <c r="ZQ37" s="17"/>
      <c r="ZR37" s="17"/>
      <c r="ZS37" s="17"/>
      <c r="ZT37" s="17"/>
      <c r="ZU37" s="17"/>
      <c r="ZV37" s="17"/>
      <c r="ZW37" s="17"/>
      <c r="ZX37" s="17"/>
      <c r="ZY37" s="17"/>
      <c r="ZZ37" s="17"/>
      <c r="AAA37" s="17"/>
      <c r="AAB37" s="17"/>
      <c r="AAC37" s="17"/>
      <c r="AAD37" s="17"/>
      <c r="AAE37" s="17"/>
      <c r="AAF37" s="17"/>
    </row>
    <row r="38" spans="1:708" ht="111" customHeight="1" x14ac:dyDescent="0.25">
      <c r="A38" s="59" t="s">
        <v>47</v>
      </c>
      <c r="B38" s="59" t="s">
        <v>48</v>
      </c>
      <c r="C38" s="59" t="s">
        <v>49</v>
      </c>
      <c r="D38" s="59" t="s">
        <v>354</v>
      </c>
      <c r="E38" s="59" t="s">
        <v>90</v>
      </c>
      <c r="F38" s="59" t="s">
        <v>52</v>
      </c>
      <c r="G38" s="59" t="s">
        <v>53</v>
      </c>
      <c r="H38" s="59" t="s">
        <v>54</v>
      </c>
      <c r="I38" s="59" t="s">
        <v>55</v>
      </c>
      <c r="J38" s="59" t="s">
        <v>56</v>
      </c>
      <c r="K38" s="59" t="s">
        <v>355</v>
      </c>
      <c r="L38" s="59" t="s">
        <v>356</v>
      </c>
      <c r="M38" s="59" t="s">
        <v>357</v>
      </c>
      <c r="N38" s="59" t="s">
        <v>60</v>
      </c>
      <c r="O38" s="59">
        <v>289</v>
      </c>
      <c r="P38" s="59">
        <v>260</v>
      </c>
      <c r="Q38" s="482"/>
      <c r="R38" s="482"/>
      <c r="S38" s="482"/>
      <c r="T38" s="482"/>
      <c r="U38" s="482"/>
      <c r="V38" s="87">
        <v>109780934</v>
      </c>
      <c r="W38" s="448"/>
      <c r="X38" s="59" t="s">
        <v>63</v>
      </c>
      <c r="Y38" s="59">
        <v>23</v>
      </c>
      <c r="Z38" s="59">
        <f>+P38</f>
        <v>260</v>
      </c>
      <c r="AA38" s="61">
        <f>+Y38/Z38</f>
        <v>8.8461538461538466E-2</v>
      </c>
      <c r="AB38" s="59" t="s">
        <v>358</v>
      </c>
      <c r="AC38" s="387"/>
      <c r="AD38" s="387"/>
      <c r="AE38" s="387"/>
      <c r="AF38" s="387"/>
      <c r="AG38" s="59">
        <v>43</v>
      </c>
      <c r="AH38" s="59">
        <v>260</v>
      </c>
      <c r="AI38" s="61">
        <v>0.16538461538461538</v>
      </c>
      <c r="AJ38" s="59" t="s">
        <v>359</v>
      </c>
      <c r="AK38" s="483"/>
      <c r="AL38" s="483"/>
      <c r="AM38" s="483"/>
      <c r="AN38" s="483"/>
      <c r="AO38" s="59">
        <v>55</v>
      </c>
      <c r="AP38" s="59">
        <f>+P38</f>
        <v>260</v>
      </c>
      <c r="AQ38" s="61">
        <f>+AO38/AP38</f>
        <v>0.21153846153846154</v>
      </c>
      <c r="AR38" s="59" t="s">
        <v>360</v>
      </c>
      <c r="AS38" s="387"/>
      <c r="AT38" s="387"/>
      <c r="AU38" s="387"/>
      <c r="AV38" s="387"/>
      <c r="AW38" s="62">
        <v>63</v>
      </c>
      <c r="AX38" s="62">
        <f>+P38</f>
        <v>260</v>
      </c>
      <c r="AY38" s="63">
        <f>+AW38/AX38</f>
        <v>0.24230769230769231</v>
      </c>
      <c r="AZ38" s="62" t="s">
        <v>361</v>
      </c>
      <c r="BA38" s="483"/>
      <c r="BB38" s="483"/>
      <c r="BC38" s="483"/>
      <c r="BD38" s="483"/>
      <c r="BE38" s="62">
        <v>74</v>
      </c>
      <c r="BF38" s="62">
        <v>260</v>
      </c>
      <c r="BG38" s="63">
        <f>+BE38/BF38</f>
        <v>0.2846153846153846</v>
      </c>
      <c r="BH38" s="62" t="s">
        <v>362</v>
      </c>
      <c r="BI38" s="387"/>
      <c r="BJ38" s="387"/>
      <c r="BK38" s="387"/>
      <c r="BL38" s="387"/>
      <c r="BM38" s="62">
        <v>87</v>
      </c>
      <c r="BN38" s="62">
        <v>260</v>
      </c>
      <c r="BO38" s="63">
        <f>+BM38/BN38</f>
        <v>0.33461538461538459</v>
      </c>
      <c r="BP38" s="62" t="s">
        <v>363</v>
      </c>
      <c r="BQ38" s="483"/>
      <c r="BR38" s="483"/>
      <c r="BS38" s="483"/>
      <c r="BT38" s="483"/>
      <c r="BU38" s="59">
        <v>105</v>
      </c>
      <c r="BV38" s="59">
        <v>260</v>
      </c>
      <c r="BW38" s="61">
        <f>+BU38/BV38</f>
        <v>0.40384615384615385</v>
      </c>
      <c r="BX38" s="59" t="s">
        <v>364</v>
      </c>
      <c r="BY38" s="387"/>
      <c r="BZ38" s="387"/>
      <c r="CA38" s="387"/>
      <c r="CB38" s="387"/>
      <c r="CC38" s="59">
        <v>146</v>
      </c>
      <c r="CD38" s="59">
        <v>260</v>
      </c>
      <c r="CE38" s="61">
        <f>+CC38/CD38</f>
        <v>0.56153846153846154</v>
      </c>
      <c r="CF38" s="59" t="s">
        <v>365</v>
      </c>
      <c r="CG38" s="387"/>
      <c r="CH38" s="387"/>
      <c r="CI38" s="387"/>
      <c r="CJ38" s="387"/>
      <c r="CK38" s="65">
        <v>173</v>
      </c>
      <c r="CL38" s="65">
        <v>260</v>
      </c>
      <c r="CM38" s="66">
        <f>+CK38/CL38</f>
        <v>0.66538461538461535</v>
      </c>
      <c r="CN38" s="65" t="s">
        <v>626</v>
      </c>
      <c r="CO38" s="387"/>
      <c r="CP38" s="387"/>
      <c r="CQ38" s="387"/>
      <c r="CR38" s="387"/>
    </row>
    <row r="39" spans="1:708" s="18" customFormat="1" ht="70.5" customHeight="1" x14ac:dyDescent="0.25">
      <c r="A39" s="39"/>
      <c r="B39" s="39"/>
      <c r="C39" s="39"/>
      <c r="D39" s="39"/>
      <c r="E39" s="39"/>
      <c r="F39" s="39"/>
      <c r="G39" s="39"/>
      <c r="H39" s="39"/>
      <c r="I39" s="39"/>
      <c r="J39" s="39"/>
      <c r="K39" s="39"/>
      <c r="L39" s="39"/>
      <c r="M39" s="39"/>
      <c r="N39" s="39"/>
      <c r="O39" s="39"/>
      <c r="P39" s="40"/>
      <c r="Q39" s="39"/>
      <c r="R39" s="39"/>
      <c r="S39" s="40"/>
      <c r="T39" s="39"/>
      <c r="U39" s="39"/>
      <c r="V39" s="77"/>
      <c r="W39" s="448"/>
      <c r="X39" s="39"/>
      <c r="Y39" s="382" t="s">
        <v>102</v>
      </c>
      <c r="Z39" s="382"/>
      <c r="AA39" s="42">
        <f>AVERAGE(AA38)</f>
        <v>8.8461538461538466E-2</v>
      </c>
      <c r="AB39" s="73"/>
      <c r="AC39" s="382" t="s">
        <v>103</v>
      </c>
      <c r="AD39" s="382"/>
      <c r="AE39" s="43" t="s">
        <v>353</v>
      </c>
      <c r="AF39" s="44"/>
      <c r="AG39" s="459" t="s">
        <v>102</v>
      </c>
      <c r="AH39" s="459"/>
      <c r="AI39" s="42">
        <f>AVERAGE(AI38:AI38)</f>
        <v>0.16538461538461538</v>
      </c>
      <c r="AJ39" s="74"/>
      <c r="AK39" s="459" t="s">
        <v>103</v>
      </c>
      <c r="AL39" s="459"/>
      <c r="AM39" s="48" t="s">
        <v>353</v>
      </c>
      <c r="AN39" s="45"/>
      <c r="AO39" s="382" t="s">
        <v>102</v>
      </c>
      <c r="AP39" s="382"/>
      <c r="AQ39" s="42">
        <f>AVERAGE(AQ38:AQ38)</f>
        <v>0.21153846153846154</v>
      </c>
      <c r="AR39" s="73"/>
      <c r="AS39" s="382" t="s">
        <v>103</v>
      </c>
      <c r="AT39" s="382"/>
      <c r="AU39" s="43" t="s">
        <v>353</v>
      </c>
      <c r="AV39" s="44"/>
      <c r="AW39" s="459" t="s">
        <v>102</v>
      </c>
      <c r="AX39" s="459"/>
      <c r="AY39" s="46">
        <f>AVERAGE(AY38:AY38)</f>
        <v>0.24230769230769231</v>
      </c>
      <c r="AZ39" s="74"/>
      <c r="BA39" s="459" t="s">
        <v>103</v>
      </c>
      <c r="BB39" s="459"/>
      <c r="BC39" s="48" t="s">
        <v>353</v>
      </c>
      <c r="BD39" s="45"/>
      <c r="BE39" s="459" t="s">
        <v>102</v>
      </c>
      <c r="BF39" s="459"/>
      <c r="BG39" s="46">
        <f>AVERAGE(BG38:BG38)</f>
        <v>0.2846153846153846</v>
      </c>
      <c r="BH39" s="74"/>
      <c r="BI39" s="382" t="s">
        <v>103</v>
      </c>
      <c r="BJ39" s="382"/>
      <c r="BK39" s="43" t="s">
        <v>353</v>
      </c>
      <c r="BL39" s="44"/>
      <c r="BM39" s="459" t="s">
        <v>102</v>
      </c>
      <c r="BN39" s="459"/>
      <c r="BO39" s="46">
        <f>AVERAGE(BO38:BO38)</f>
        <v>0.33461538461538459</v>
      </c>
      <c r="BP39" s="74"/>
      <c r="BQ39" s="459" t="s">
        <v>103</v>
      </c>
      <c r="BR39" s="459"/>
      <c r="BS39" s="48" t="s">
        <v>353</v>
      </c>
      <c r="BT39" s="45"/>
      <c r="BU39" s="382" t="s">
        <v>102</v>
      </c>
      <c r="BV39" s="382"/>
      <c r="BW39" s="42">
        <f>AVERAGE(BW38:BW38)</f>
        <v>0.40384615384615385</v>
      </c>
      <c r="BX39" s="73"/>
      <c r="BY39" s="382" t="s">
        <v>103</v>
      </c>
      <c r="BZ39" s="382"/>
      <c r="CA39" s="43" t="s">
        <v>353</v>
      </c>
      <c r="CB39" s="44"/>
      <c r="CC39" s="382" t="s">
        <v>102</v>
      </c>
      <c r="CD39" s="382"/>
      <c r="CE39" s="42">
        <f>AVERAGE(CE38:CE38)</f>
        <v>0.56153846153846154</v>
      </c>
      <c r="CF39" s="73"/>
      <c r="CG39" s="382" t="s">
        <v>103</v>
      </c>
      <c r="CH39" s="382"/>
      <c r="CI39" s="43" t="s">
        <v>353</v>
      </c>
      <c r="CJ39" s="44"/>
      <c r="CK39" s="382" t="s">
        <v>102</v>
      </c>
      <c r="CL39" s="382"/>
      <c r="CM39" s="42">
        <f>AVERAGE(CM38:CM38)</f>
        <v>0.66538461538461535</v>
      </c>
      <c r="CN39" s="73"/>
      <c r="CO39" s="382" t="s">
        <v>103</v>
      </c>
      <c r="CP39" s="382"/>
      <c r="CQ39" s="43" t="s">
        <v>353</v>
      </c>
      <c r="CR39" s="44"/>
      <c r="CS39" s="17"/>
      <c r="CT39" s="17"/>
      <c r="CU39" s="17"/>
      <c r="CV39" s="17"/>
      <c r="CW39" s="17"/>
      <c r="CX39" s="17"/>
      <c r="CY39" s="17"/>
      <c r="CZ39" s="17"/>
      <c r="DA39" s="17"/>
      <c r="DB39" s="17"/>
      <c r="DC39" s="17"/>
      <c r="DD39" s="17"/>
      <c r="DE39" s="17"/>
      <c r="DF39" s="17"/>
      <c r="DG39" s="17"/>
      <c r="DH39" s="17"/>
      <c r="DI39" s="17"/>
      <c r="DJ39" s="17"/>
      <c r="DK39" s="17"/>
      <c r="DL39" s="17"/>
      <c r="DM39" s="17"/>
      <c r="DN39" s="17"/>
      <c r="DO39" s="17"/>
      <c r="DP39" s="17"/>
      <c r="DQ39" s="17"/>
      <c r="DR39" s="17"/>
      <c r="DS39" s="17"/>
      <c r="DT39" s="17"/>
      <c r="DU39" s="17"/>
      <c r="DV39" s="17"/>
      <c r="DW39" s="17"/>
      <c r="DX39" s="17"/>
      <c r="DY39" s="17"/>
      <c r="DZ39" s="17"/>
      <c r="EA39" s="17"/>
      <c r="EB39" s="17"/>
      <c r="EC39" s="17"/>
      <c r="ED39" s="17"/>
      <c r="EE39" s="17"/>
      <c r="EF39" s="17"/>
      <c r="EG39" s="17"/>
      <c r="EH39" s="17"/>
      <c r="EI39" s="17"/>
      <c r="EJ39" s="17"/>
      <c r="EK39" s="17"/>
      <c r="EL39" s="17"/>
      <c r="EM39" s="17"/>
      <c r="EN39" s="17"/>
      <c r="EO39" s="17"/>
      <c r="EP39" s="17"/>
      <c r="EQ39" s="17"/>
      <c r="ER39" s="17"/>
      <c r="ES39" s="17"/>
      <c r="ET39" s="17"/>
      <c r="EU39" s="17"/>
      <c r="EV39" s="17"/>
      <c r="EW39" s="17"/>
      <c r="EX39" s="17"/>
      <c r="EY39" s="17"/>
      <c r="EZ39" s="17"/>
      <c r="FA39" s="17"/>
      <c r="FB39" s="17"/>
      <c r="FC39" s="17"/>
      <c r="FD39" s="17"/>
      <c r="FE39" s="17"/>
      <c r="FF39" s="17"/>
      <c r="FG39" s="17"/>
      <c r="FH39" s="17"/>
      <c r="FI39" s="17"/>
      <c r="FJ39" s="17"/>
      <c r="FK39" s="17"/>
      <c r="FL39" s="17"/>
      <c r="FM39" s="17"/>
      <c r="FN39" s="17"/>
      <c r="FO39" s="17"/>
      <c r="FP39" s="17"/>
      <c r="FQ39" s="17"/>
      <c r="FR39" s="17"/>
      <c r="FS39" s="17"/>
      <c r="FT39" s="17"/>
      <c r="FU39" s="17"/>
      <c r="FV39" s="17"/>
      <c r="FW39" s="17"/>
      <c r="FX39" s="17"/>
      <c r="FY39" s="17"/>
      <c r="FZ39" s="17"/>
      <c r="GA39" s="17"/>
      <c r="GB39" s="17"/>
      <c r="GC39" s="17"/>
      <c r="GD39" s="17"/>
      <c r="GE39" s="17"/>
      <c r="GF39" s="17"/>
      <c r="GG39" s="17"/>
      <c r="GH39" s="17"/>
      <c r="GI39" s="17"/>
      <c r="GJ39" s="17"/>
      <c r="GK39" s="17"/>
      <c r="GL39" s="17"/>
      <c r="GM39" s="17"/>
      <c r="GN39" s="17"/>
      <c r="GO39" s="17"/>
      <c r="GP39" s="17"/>
      <c r="GQ39" s="17"/>
      <c r="GR39" s="17"/>
      <c r="GS39" s="17"/>
      <c r="GT39" s="17"/>
      <c r="GU39" s="17"/>
      <c r="GV39" s="17"/>
      <c r="GW39" s="17"/>
      <c r="GX39" s="17"/>
      <c r="GY39" s="17"/>
      <c r="GZ39" s="17"/>
      <c r="HA39" s="17"/>
      <c r="HB39" s="17"/>
      <c r="HC39" s="17"/>
      <c r="HD39" s="17"/>
      <c r="HE39" s="17"/>
      <c r="HF39" s="17"/>
      <c r="HG39" s="17"/>
      <c r="HH39" s="17"/>
      <c r="HI39" s="17"/>
      <c r="HJ39" s="17"/>
      <c r="HK39" s="17"/>
      <c r="HL39" s="17"/>
      <c r="HM39" s="17"/>
      <c r="HN39" s="17"/>
      <c r="HO39" s="17"/>
      <c r="HP39" s="17"/>
      <c r="HQ39" s="17"/>
      <c r="HR39" s="17"/>
      <c r="HS39" s="17"/>
      <c r="HT39" s="17"/>
      <c r="HU39" s="17"/>
      <c r="HV39" s="17"/>
      <c r="HW39" s="17"/>
      <c r="HX39" s="17"/>
      <c r="HY39" s="17"/>
      <c r="HZ39" s="17"/>
      <c r="IA39" s="17"/>
      <c r="IB39" s="17"/>
      <c r="IC39" s="17"/>
      <c r="ID39" s="17"/>
      <c r="IE39" s="17"/>
      <c r="IF39" s="17"/>
      <c r="IG39" s="17"/>
      <c r="IH39" s="17"/>
      <c r="II39" s="17"/>
      <c r="IJ39" s="17"/>
      <c r="IK39" s="17"/>
      <c r="IL39" s="17"/>
      <c r="IM39" s="17"/>
      <c r="IN39" s="17"/>
      <c r="IO39" s="17"/>
      <c r="IP39" s="17"/>
      <c r="IQ39" s="17"/>
      <c r="IR39" s="17"/>
      <c r="IS39" s="17"/>
      <c r="IT39" s="17"/>
      <c r="IU39" s="17"/>
      <c r="IV39" s="17"/>
      <c r="IW39" s="17"/>
      <c r="IX39" s="17"/>
      <c r="IY39" s="17"/>
      <c r="IZ39" s="17"/>
      <c r="JA39" s="17"/>
      <c r="JB39" s="17"/>
      <c r="JC39" s="17"/>
      <c r="JD39" s="17"/>
      <c r="JE39" s="17"/>
      <c r="JF39" s="17"/>
      <c r="JG39" s="17"/>
      <c r="JH39" s="17"/>
      <c r="JI39" s="17"/>
      <c r="JJ39" s="17"/>
      <c r="JK39" s="17"/>
      <c r="JL39" s="17"/>
      <c r="JM39" s="17"/>
      <c r="JN39" s="17"/>
      <c r="JO39" s="17"/>
      <c r="JP39" s="17"/>
      <c r="JQ39" s="17"/>
      <c r="JR39" s="17"/>
      <c r="JS39" s="17"/>
      <c r="JT39" s="17"/>
      <c r="JU39" s="17"/>
      <c r="JV39" s="17"/>
      <c r="JW39" s="17"/>
      <c r="JX39" s="17"/>
      <c r="JY39" s="17"/>
      <c r="JZ39" s="17"/>
      <c r="KA39" s="17"/>
      <c r="KB39" s="17"/>
      <c r="KC39" s="17"/>
      <c r="KD39" s="17"/>
      <c r="KE39" s="17"/>
      <c r="KF39" s="17"/>
      <c r="KG39" s="17"/>
      <c r="KH39" s="17"/>
      <c r="KI39" s="17"/>
      <c r="KJ39" s="17"/>
      <c r="KK39" s="17"/>
      <c r="KL39" s="17"/>
      <c r="KM39" s="17"/>
      <c r="KN39" s="17"/>
      <c r="KO39" s="17"/>
      <c r="KP39" s="17"/>
      <c r="KQ39" s="17"/>
      <c r="KR39" s="17"/>
      <c r="KS39" s="17"/>
      <c r="KT39" s="17"/>
      <c r="KU39" s="17"/>
      <c r="KV39" s="17"/>
      <c r="KW39" s="17"/>
      <c r="KX39" s="17"/>
      <c r="KY39" s="17"/>
      <c r="KZ39" s="17"/>
      <c r="LA39" s="17"/>
      <c r="LB39" s="17"/>
      <c r="LC39" s="17"/>
      <c r="LD39" s="17"/>
      <c r="LE39" s="17"/>
      <c r="LF39" s="17"/>
      <c r="LG39" s="17"/>
      <c r="LH39" s="17"/>
      <c r="LI39" s="17"/>
      <c r="LJ39" s="17"/>
      <c r="LK39" s="17"/>
      <c r="LL39" s="17"/>
      <c r="LM39" s="17"/>
      <c r="LN39" s="17"/>
      <c r="LO39" s="17"/>
      <c r="LP39" s="17"/>
      <c r="LQ39" s="17"/>
      <c r="LR39" s="17"/>
      <c r="LS39" s="17"/>
      <c r="LT39" s="17"/>
      <c r="LU39" s="17"/>
      <c r="LV39" s="17"/>
      <c r="LW39" s="17"/>
      <c r="LX39" s="17"/>
      <c r="LY39" s="17"/>
      <c r="LZ39" s="17"/>
      <c r="MA39" s="17"/>
      <c r="MB39" s="17"/>
      <c r="MC39" s="17"/>
      <c r="MD39" s="17"/>
      <c r="ME39" s="17"/>
      <c r="MF39" s="17"/>
      <c r="MG39" s="17"/>
      <c r="MH39" s="17"/>
      <c r="MI39" s="17"/>
      <c r="MJ39" s="17"/>
      <c r="MK39" s="17"/>
      <c r="ML39" s="17"/>
      <c r="MM39" s="17"/>
      <c r="MN39" s="17"/>
      <c r="MO39" s="17"/>
      <c r="MP39" s="17"/>
      <c r="MQ39" s="17"/>
      <c r="MR39" s="17"/>
      <c r="MS39" s="17"/>
      <c r="MT39" s="17"/>
      <c r="MU39" s="17"/>
      <c r="MV39" s="17"/>
      <c r="MW39" s="17"/>
      <c r="MX39" s="17"/>
      <c r="MY39" s="17"/>
      <c r="MZ39" s="17"/>
      <c r="NA39" s="17"/>
      <c r="NB39" s="17"/>
      <c r="NC39" s="17"/>
      <c r="ND39" s="17"/>
      <c r="NE39" s="17"/>
      <c r="NF39" s="17"/>
      <c r="NG39" s="17"/>
      <c r="NH39" s="17"/>
      <c r="NI39" s="17"/>
      <c r="NJ39" s="17"/>
      <c r="NK39" s="17"/>
      <c r="NL39" s="17"/>
      <c r="NM39" s="17"/>
      <c r="NN39" s="17"/>
      <c r="NO39" s="17"/>
      <c r="NP39" s="17"/>
      <c r="NQ39" s="17"/>
      <c r="NR39" s="17"/>
      <c r="NS39" s="17"/>
      <c r="NT39" s="17"/>
      <c r="NU39" s="17"/>
      <c r="NV39" s="17"/>
      <c r="NW39" s="17"/>
      <c r="NX39" s="17"/>
      <c r="NY39" s="17"/>
      <c r="NZ39" s="17"/>
      <c r="OA39" s="17"/>
      <c r="OB39" s="17"/>
      <c r="OC39" s="17"/>
      <c r="OD39" s="17"/>
      <c r="OE39" s="17"/>
      <c r="OF39" s="17"/>
      <c r="OG39" s="17"/>
      <c r="OH39" s="17"/>
      <c r="OI39" s="17"/>
      <c r="OJ39" s="17"/>
      <c r="OK39" s="17"/>
      <c r="OL39" s="17"/>
      <c r="OM39" s="17"/>
      <c r="ON39" s="17"/>
      <c r="OO39" s="17"/>
      <c r="OP39" s="17"/>
      <c r="OQ39" s="17"/>
      <c r="OR39" s="17"/>
      <c r="OS39" s="17"/>
      <c r="OT39" s="17"/>
      <c r="OU39" s="17"/>
      <c r="OV39" s="17"/>
      <c r="OW39" s="17"/>
      <c r="OX39" s="17"/>
      <c r="OY39" s="17"/>
      <c r="OZ39" s="17"/>
      <c r="PA39" s="17"/>
      <c r="PB39" s="17"/>
      <c r="PC39" s="17"/>
      <c r="PD39" s="17"/>
      <c r="PE39" s="17"/>
      <c r="PF39" s="17"/>
      <c r="PG39" s="17"/>
      <c r="PH39" s="17"/>
      <c r="PI39" s="17"/>
      <c r="PJ39" s="17"/>
      <c r="PK39" s="17"/>
      <c r="PL39" s="17"/>
      <c r="PM39" s="17"/>
      <c r="PN39" s="17"/>
      <c r="PO39" s="17"/>
      <c r="PP39" s="17"/>
      <c r="PQ39" s="17"/>
      <c r="PR39" s="17"/>
      <c r="PS39" s="17"/>
      <c r="PT39" s="17"/>
      <c r="PU39" s="17"/>
      <c r="PV39" s="17"/>
      <c r="PW39" s="17"/>
      <c r="PX39" s="17"/>
      <c r="PY39" s="17"/>
      <c r="PZ39" s="17"/>
      <c r="QA39" s="17"/>
      <c r="QB39" s="17"/>
      <c r="QC39" s="17"/>
      <c r="QD39" s="17"/>
      <c r="QE39" s="17"/>
      <c r="QF39" s="17"/>
      <c r="QG39" s="17"/>
      <c r="QH39" s="17"/>
      <c r="QI39" s="17"/>
      <c r="QJ39" s="17"/>
      <c r="QK39" s="17"/>
      <c r="QL39" s="17"/>
      <c r="QM39" s="17"/>
      <c r="QN39" s="17"/>
      <c r="QO39" s="17"/>
      <c r="QP39" s="17"/>
      <c r="QQ39" s="17"/>
      <c r="QR39" s="17"/>
      <c r="QS39" s="17"/>
      <c r="QT39" s="17"/>
      <c r="QU39" s="17"/>
      <c r="QV39" s="17"/>
      <c r="QW39" s="17"/>
      <c r="QX39" s="17"/>
      <c r="QY39" s="17"/>
      <c r="QZ39" s="17"/>
      <c r="RA39" s="17"/>
      <c r="RB39" s="17"/>
      <c r="RC39" s="17"/>
      <c r="RD39" s="17"/>
      <c r="RE39" s="17"/>
      <c r="RF39" s="17"/>
      <c r="RG39" s="17"/>
      <c r="RH39" s="17"/>
      <c r="RI39" s="17"/>
      <c r="RJ39" s="17"/>
      <c r="RK39" s="17"/>
      <c r="RL39" s="17"/>
      <c r="RM39" s="17"/>
      <c r="RN39" s="17"/>
      <c r="RO39" s="17"/>
      <c r="RP39" s="17"/>
      <c r="RQ39" s="17"/>
      <c r="RR39" s="17"/>
      <c r="RS39" s="17"/>
      <c r="RT39" s="17"/>
      <c r="RU39" s="17"/>
      <c r="RV39" s="17"/>
      <c r="RW39" s="17"/>
      <c r="RX39" s="17"/>
      <c r="RY39" s="17"/>
      <c r="RZ39" s="17"/>
      <c r="SA39" s="17"/>
      <c r="SB39" s="17"/>
      <c r="SC39" s="17"/>
      <c r="SD39" s="17"/>
      <c r="SE39" s="17"/>
      <c r="SF39" s="17"/>
      <c r="SG39" s="17"/>
      <c r="SH39" s="17"/>
      <c r="SI39" s="17"/>
      <c r="SJ39" s="17"/>
      <c r="SK39" s="17"/>
      <c r="SL39" s="17"/>
      <c r="SM39" s="17"/>
      <c r="SN39" s="17"/>
      <c r="SO39" s="17"/>
      <c r="SP39" s="17"/>
      <c r="SQ39" s="17"/>
      <c r="SR39" s="17"/>
      <c r="SS39" s="17"/>
      <c r="ST39" s="17"/>
      <c r="SU39" s="17"/>
      <c r="SV39" s="17"/>
      <c r="SW39" s="17"/>
      <c r="SX39" s="17"/>
      <c r="SY39" s="17"/>
      <c r="SZ39" s="17"/>
      <c r="TA39" s="17"/>
      <c r="TB39" s="17"/>
      <c r="TC39" s="17"/>
      <c r="TD39" s="17"/>
      <c r="TE39" s="17"/>
      <c r="TF39" s="17"/>
      <c r="TG39" s="17"/>
      <c r="TH39" s="17"/>
      <c r="TI39" s="17"/>
      <c r="TJ39" s="17"/>
      <c r="TK39" s="17"/>
      <c r="TL39" s="17"/>
      <c r="TM39" s="17"/>
      <c r="TN39" s="17"/>
      <c r="TO39" s="17"/>
      <c r="TP39" s="17"/>
      <c r="TQ39" s="17"/>
      <c r="TR39" s="17"/>
      <c r="TS39" s="17"/>
      <c r="TT39" s="17"/>
      <c r="TU39" s="17"/>
      <c r="TV39" s="17"/>
      <c r="TW39" s="17"/>
      <c r="TX39" s="17"/>
      <c r="TY39" s="17"/>
      <c r="TZ39" s="17"/>
      <c r="UA39" s="17"/>
      <c r="UB39" s="17"/>
      <c r="UC39" s="17"/>
      <c r="UD39" s="17"/>
      <c r="UE39" s="17"/>
      <c r="UF39" s="17"/>
      <c r="UG39" s="17"/>
      <c r="UH39" s="17"/>
      <c r="UI39" s="17"/>
      <c r="UJ39" s="17"/>
      <c r="UK39" s="17"/>
      <c r="UL39" s="17"/>
      <c r="UM39" s="17"/>
      <c r="UN39" s="17"/>
      <c r="UO39" s="17"/>
      <c r="UP39" s="17"/>
      <c r="UQ39" s="17"/>
      <c r="UR39" s="17"/>
      <c r="US39" s="17"/>
      <c r="UT39" s="17"/>
      <c r="UU39" s="17"/>
      <c r="UV39" s="17"/>
      <c r="UW39" s="17"/>
      <c r="UX39" s="17"/>
      <c r="UY39" s="17"/>
      <c r="UZ39" s="17"/>
      <c r="VA39" s="17"/>
      <c r="VB39" s="17"/>
      <c r="VC39" s="17"/>
      <c r="VD39" s="17"/>
      <c r="VE39" s="17"/>
      <c r="VF39" s="17"/>
      <c r="VG39" s="17"/>
      <c r="VH39" s="17"/>
      <c r="VI39" s="17"/>
      <c r="VJ39" s="17"/>
      <c r="VK39" s="17"/>
      <c r="VL39" s="17"/>
      <c r="VM39" s="17"/>
      <c r="VN39" s="17"/>
      <c r="VO39" s="17"/>
      <c r="VP39" s="17"/>
      <c r="VQ39" s="17"/>
      <c r="VR39" s="17"/>
      <c r="VS39" s="17"/>
      <c r="VT39" s="17"/>
      <c r="VU39" s="17"/>
      <c r="VV39" s="17"/>
      <c r="VW39" s="17"/>
      <c r="VX39" s="17"/>
      <c r="VY39" s="17"/>
      <c r="VZ39" s="17"/>
      <c r="WA39" s="17"/>
      <c r="WB39" s="17"/>
      <c r="WC39" s="17"/>
      <c r="WD39" s="17"/>
      <c r="WE39" s="17"/>
      <c r="WF39" s="17"/>
      <c r="WG39" s="17"/>
      <c r="WH39" s="17"/>
      <c r="WI39" s="17"/>
      <c r="WJ39" s="17"/>
      <c r="WK39" s="17"/>
      <c r="WL39" s="17"/>
      <c r="WM39" s="17"/>
      <c r="WN39" s="17"/>
      <c r="WO39" s="17"/>
      <c r="WP39" s="17"/>
      <c r="WQ39" s="17"/>
      <c r="WR39" s="17"/>
      <c r="WS39" s="17"/>
      <c r="WT39" s="17"/>
      <c r="WU39" s="17"/>
      <c r="WV39" s="17"/>
      <c r="WW39" s="17"/>
      <c r="WX39" s="17"/>
      <c r="WY39" s="17"/>
      <c r="WZ39" s="17"/>
      <c r="XA39" s="17"/>
      <c r="XB39" s="17"/>
      <c r="XC39" s="17"/>
      <c r="XD39" s="17"/>
      <c r="XE39" s="17"/>
      <c r="XF39" s="17"/>
      <c r="XG39" s="17"/>
      <c r="XH39" s="17"/>
      <c r="XI39" s="17"/>
      <c r="XJ39" s="17"/>
      <c r="XK39" s="17"/>
      <c r="XL39" s="17"/>
      <c r="XM39" s="17"/>
      <c r="XN39" s="17"/>
      <c r="XO39" s="17"/>
      <c r="XP39" s="17"/>
      <c r="XQ39" s="17"/>
      <c r="XR39" s="17"/>
      <c r="XS39" s="17"/>
      <c r="XT39" s="17"/>
      <c r="XU39" s="17"/>
      <c r="XV39" s="17"/>
      <c r="XW39" s="17"/>
      <c r="XX39" s="17"/>
      <c r="XY39" s="17"/>
      <c r="XZ39" s="17"/>
      <c r="YA39" s="17"/>
      <c r="YB39" s="17"/>
      <c r="YC39" s="17"/>
      <c r="YD39" s="17"/>
      <c r="YE39" s="17"/>
      <c r="YF39" s="17"/>
      <c r="YG39" s="17"/>
      <c r="YH39" s="17"/>
      <c r="YI39" s="17"/>
      <c r="YJ39" s="17"/>
      <c r="YK39" s="17"/>
      <c r="YL39" s="17"/>
      <c r="YM39" s="17"/>
      <c r="YN39" s="17"/>
      <c r="YO39" s="17"/>
      <c r="YP39" s="17"/>
      <c r="YQ39" s="17"/>
      <c r="YR39" s="17"/>
      <c r="YS39" s="17"/>
      <c r="YT39" s="17"/>
      <c r="YU39" s="17"/>
      <c r="YV39" s="17"/>
      <c r="YW39" s="17"/>
      <c r="YX39" s="17"/>
      <c r="YY39" s="17"/>
      <c r="YZ39" s="17"/>
      <c r="ZA39" s="17"/>
      <c r="ZB39" s="17"/>
      <c r="ZC39" s="17"/>
      <c r="ZD39" s="17"/>
      <c r="ZE39" s="17"/>
      <c r="ZF39" s="17"/>
      <c r="ZG39" s="17"/>
      <c r="ZH39" s="17"/>
      <c r="ZI39" s="17"/>
      <c r="ZJ39" s="17"/>
      <c r="ZK39" s="17"/>
      <c r="ZL39" s="17"/>
      <c r="ZM39" s="17"/>
      <c r="ZN39" s="17"/>
      <c r="ZO39" s="17"/>
      <c r="ZP39" s="17"/>
      <c r="ZQ39" s="17"/>
      <c r="ZR39" s="17"/>
      <c r="ZS39" s="17"/>
      <c r="ZT39" s="17"/>
      <c r="ZU39" s="17"/>
      <c r="ZV39" s="17"/>
      <c r="ZW39" s="17"/>
      <c r="ZX39" s="17"/>
      <c r="ZY39" s="17"/>
      <c r="ZZ39" s="17"/>
      <c r="AAA39" s="17"/>
      <c r="AAB39" s="17"/>
      <c r="AAC39" s="17"/>
      <c r="AAD39" s="17"/>
      <c r="AAE39" s="17"/>
      <c r="AAF39" s="17"/>
    </row>
    <row r="40" spans="1:708" ht="141" customHeight="1" x14ac:dyDescent="0.25">
      <c r="A40" s="78" t="s">
        <v>47</v>
      </c>
      <c r="B40" s="78" t="s">
        <v>48</v>
      </c>
      <c r="C40" s="78" t="s">
        <v>49</v>
      </c>
      <c r="D40" s="78" t="s">
        <v>50</v>
      </c>
      <c r="E40" s="78" t="s">
        <v>90</v>
      </c>
      <c r="F40" s="78" t="s">
        <v>52</v>
      </c>
      <c r="G40" s="78" t="s">
        <v>53</v>
      </c>
      <c r="H40" s="78" t="s">
        <v>54</v>
      </c>
      <c r="I40" s="78" t="s">
        <v>55</v>
      </c>
      <c r="J40" s="50" t="s">
        <v>56</v>
      </c>
      <c r="K40" s="50" t="s">
        <v>366</v>
      </c>
      <c r="L40" s="50" t="s">
        <v>367</v>
      </c>
      <c r="M40" s="50" t="s">
        <v>368</v>
      </c>
      <c r="N40" s="50" t="s">
        <v>93</v>
      </c>
      <c r="O40" s="50"/>
      <c r="P40" s="67">
        <v>0.95</v>
      </c>
      <c r="Q40" s="482"/>
      <c r="R40" s="482"/>
      <c r="S40" s="482"/>
      <c r="T40" s="482"/>
      <c r="U40" s="482"/>
      <c r="V40" s="88">
        <v>133727956</v>
      </c>
      <c r="W40" s="449"/>
      <c r="X40" s="50" t="s">
        <v>369</v>
      </c>
      <c r="Y40" s="89">
        <f>5/30</f>
        <v>0.16666666666666666</v>
      </c>
      <c r="Z40" s="90">
        <f>+P40</f>
        <v>0.95</v>
      </c>
      <c r="AA40" s="89">
        <f>+Y40/Z40</f>
        <v>0.17543859649122806</v>
      </c>
      <c r="AB40" s="50" t="s">
        <v>370</v>
      </c>
      <c r="AC40" s="388"/>
      <c r="AD40" s="389"/>
      <c r="AE40" s="389"/>
      <c r="AF40" s="390"/>
      <c r="AG40" s="91">
        <v>0.66666666666666663</v>
      </c>
      <c r="AH40" s="92">
        <v>0.95</v>
      </c>
      <c r="AI40" s="91">
        <v>0.70175438596491224</v>
      </c>
      <c r="AJ40" s="54" t="s">
        <v>371</v>
      </c>
      <c r="AK40" s="484"/>
      <c r="AL40" s="485"/>
      <c r="AM40" s="485"/>
      <c r="AN40" s="486"/>
      <c r="AO40" s="91">
        <f>(14/18)</f>
        <v>0.77777777777777779</v>
      </c>
      <c r="AP40" s="92">
        <v>0.95</v>
      </c>
      <c r="AQ40" s="91">
        <f>+AO40/AP40</f>
        <v>0.81871345029239773</v>
      </c>
      <c r="AR40" s="54" t="s">
        <v>372</v>
      </c>
      <c r="AS40" s="388"/>
      <c r="AT40" s="389"/>
      <c r="AU40" s="389"/>
      <c r="AV40" s="390"/>
      <c r="AW40" s="91">
        <f>(18/20)</f>
        <v>0.9</v>
      </c>
      <c r="AX40" s="92">
        <f>+P40</f>
        <v>0.95</v>
      </c>
      <c r="AY40" s="91">
        <f>+AW40/AX40</f>
        <v>0.94736842105263164</v>
      </c>
      <c r="AZ40" s="54" t="s">
        <v>373</v>
      </c>
      <c r="BA40" s="484"/>
      <c r="BB40" s="485"/>
      <c r="BC40" s="485"/>
      <c r="BD40" s="486"/>
      <c r="BE40" s="91">
        <f>(22/23)</f>
        <v>0.95652173913043481</v>
      </c>
      <c r="BF40" s="92">
        <v>0.95</v>
      </c>
      <c r="BG40" s="91">
        <f>+BE40/BF40</f>
        <v>1.0068649885583525</v>
      </c>
      <c r="BH40" s="54" t="s">
        <v>374</v>
      </c>
      <c r="BI40" s="388"/>
      <c r="BJ40" s="389"/>
      <c r="BK40" s="389"/>
      <c r="BL40" s="390"/>
      <c r="BM40" s="91">
        <f>(27/28)</f>
        <v>0.9642857142857143</v>
      </c>
      <c r="BN40" s="92">
        <v>0.95</v>
      </c>
      <c r="BO40" s="91">
        <f>+BM40/BN40</f>
        <v>1.0150375939849625</v>
      </c>
      <c r="BP40" s="54" t="s">
        <v>375</v>
      </c>
      <c r="BQ40" s="484"/>
      <c r="BR40" s="485"/>
      <c r="BS40" s="485"/>
      <c r="BT40" s="486"/>
      <c r="BU40" s="89">
        <f>32/35</f>
        <v>0.91428571428571426</v>
      </c>
      <c r="BV40" s="90">
        <v>0.95</v>
      </c>
      <c r="BW40" s="89">
        <f>+BU40/BV40</f>
        <v>0.96240601503759404</v>
      </c>
      <c r="BX40" s="50" t="s">
        <v>376</v>
      </c>
      <c r="BY40" s="388"/>
      <c r="BZ40" s="389"/>
      <c r="CA40" s="389"/>
      <c r="CB40" s="390"/>
      <c r="CC40" s="89">
        <f>(34/37)</f>
        <v>0.91891891891891897</v>
      </c>
      <c r="CD40" s="90">
        <v>0.95</v>
      </c>
      <c r="CE40" s="89">
        <f>+CC40/CD40</f>
        <v>0.96728307254623058</v>
      </c>
      <c r="CF40" s="50" t="s">
        <v>377</v>
      </c>
      <c r="CG40" s="388"/>
      <c r="CH40" s="389"/>
      <c r="CI40" s="389"/>
      <c r="CJ40" s="390"/>
      <c r="CK40" s="89">
        <f>(41/47)</f>
        <v>0.87234042553191493</v>
      </c>
      <c r="CL40" s="90">
        <v>0.95</v>
      </c>
      <c r="CM40" s="89">
        <f>+CK40/CL40</f>
        <v>0.91825307950727897</v>
      </c>
      <c r="CN40" s="52" t="s">
        <v>627</v>
      </c>
      <c r="CO40" s="388"/>
      <c r="CP40" s="389"/>
      <c r="CQ40" s="389"/>
      <c r="CR40" s="390"/>
    </row>
    <row r="41" spans="1:708" s="18" customFormat="1" ht="70.5" customHeight="1" x14ac:dyDescent="0.25">
      <c r="A41" s="39"/>
      <c r="B41" s="39"/>
      <c r="C41" s="39"/>
      <c r="D41" s="39"/>
      <c r="E41" s="39"/>
      <c r="F41" s="39"/>
      <c r="G41" s="39"/>
      <c r="H41" s="39"/>
      <c r="I41" s="39"/>
      <c r="J41" s="39"/>
      <c r="K41" s="39"/>
      <c r="L41" s="39"/>
      <c r="M41" s="39"/>
      <c r="N41" s="39"/>
      <c r="O41" s="39"/>
      <c r="P41" s="40"/>
      <c r="Q41" s="39"/>
      <c r="R41" s="39"/>
      <c r="S41" s="40"/>
      <c r="T41" s="39"/>
      <c r="U41" s="39"/>
      <c r="V41" s="77"/>
      <c r="W41" s="77"/>
      <c r="X41" s="39"/>
      <c r="Y41" s="382" t="s">
        <v>102</v>
      </c>
      <c r="Z41" s="382"/>
      <c r="AA41" s="42">
        <f>AVERAGE(AA40:AA40)</f>
        <v>0.17543859649122806</v>
      </c>
      <c r="AB41" s="73"/>
      <c r="AC41" s="382" t="s">
        <v>103</v>
      </c>
      <c r="AD41" s="382"/>
      <c r="AE41" s="43" t="s">
        <v>353</v>
      </c>
      <c r="AF41" s="40"/>
      <c r="AG41" s="459" t="s">
        <v>102</v>
      </c>
      <c r="AH41" s="459"/>
      <c r="AI41" s="42">
        <f>AVERAGE(AI40:AI40)</f>
        <v>0.70175438596491224</v>
      </c>
      <c r="AJ41" s="74"/>
      <c r="AK41" s="459" t="s">
        <v>103</v>
      </c>
      <c r="AL41" s="459"/>
      <c r="AM41" s="48" t="s">
        <v>353</v>
      </c>
      <c r="AN41" s="93"/>
      <c r="AO41" s="382" t="s">
        <v>102</v>
      </c>
      <c r="AP41" s="382"/>
      <c r="AQ41" s="42">
        <f>AVERAGE(AQ40:AQ40)</f>
        <v>0.81871345029239773</v>
      </c>
      <c r="AR41" s="73"/>
      <c r="AS41" s="382" t="s">
        <v>103</v>
      </c>
      <c r="AT41" s="382"/>
      <c r="AU41" s="43" t="s">
        <v>353</v>
      </c>
      <c r="AV41" s="40"/>
      <c r="AW41" s="459" t="s">
        <v>102</v>
      </c>
      <c r="AX41" s="459"/>
      <c r="AY41" s="46">
        <f>AVERAGE(AY40:AY40)</f>
        <v>0.94736842105263164</v>
      </c>
      <c r="AZ41" s="74"/>
      <c r="BA41" s="459" t="s">
        <v>103</v>
      </c>
      <c r="BB41" s="459"/>
      <c r="BC41" s="48" t="s">
        <v>353</v>
      </c>
      <c r="BD41" s="93"/>
      <c r="BE41" s="459" t="s">
        <v>102</v>
      </c>
      <c r="BF41" s="459"/>
      <c r="BG41" s="46">
        <f>AVERAGE(BG40:BG40)</f>
        <v>1.0068649885583525</v>
      </c>
      <c r="BH41" s="74"/>
      <c r="BI41" s="382" t="s">
        <v>103</v>
      </c>
      <c r="BJ41" s="382"/>
      <c r="BK41" s="43" t="s">
        <v>353</v>
      </c>
      <c r="BL41" s="40"/>
      <c r="BM41" s="459" t="s">
        <v>102</v>
      </c>
      <c r="BN41" s="459"/>
      <c r="BO41" s="46">
        <f>AVERAGE(BO40:BO40)</f>
        <v>1.0150375939849625</v>
      </c>
      <c r="BP41" s="74"/>
      <c r="BQ41" s="459" t="s">
        <v>103</v>
      </c>
      <c r="BR41" s="459"/>
      <c r="BS41" s="48" t="s">
        <v>353</v>
      </c>
      <c r="BT41" s="93"/>
      <c r="BU41" s="382" t="s">
        <v>102</v>
      </c>
      <c r="BV41" s="382"/>
      <c r="BW41" s="42">
        <f>AVERAGE(BW40:BW40)</f>
        <v>0.96240601503759404</v>
      </c>
      <c r="BX41" s="73"/>
      <c r="BY41" s="382" t="s">
        <v>103</v>
      </c>
      <c r="BZ41" s="382"/>
      <c r="CA41" s="43" t="s">
        <v>353</v>
      </c>
      <c r="CB41" s="40"/>
      <c r="CC41" s="382" t="s">
        <v>102</v>
      </c>
      <c r="CD41" s="382"/>
      <c r="CE41" s="42">
        <f>AVERAGE(CE40:CE40)</f>
        <v>0.96728307254623058</v>
      </c>
      <c r="CF41" s="73"/>
      <c r="CG41" s="382" t="s">
        <v>103</v>
      </c>
      <c r="CH41" s="382"/>
      <c r="CI41" s="43" t="s">
        <v>353</v>
      </c>
      <c r="CJ41" s="40"/>
      <c r="CK41" s="382" t="s">
        <v>102</v>
      </c>
      <c r="CL41" s="382"/>
      <c r="CM41" s="42">
        <f>AVERAGE(CM40:CM40)</f>
        <v>0.91825307950727897</v>
      </c>
      <c r="CN41" s="73"/>
      <c r="CO41" s="382" t="s">
        <v>103</v>
      </c>
      <c r="CP41" s="382"/>
      <c r="CQ41" s="43" t="s">
        <v>353</v>
      </c>
      <c r="CR41" s="40"/>
      <c r="CS41" s="17"/>
      <c r="CT41" s="17"/>
      <c r="CU41" s="17"/>
      <c r="CV41" s="17"/>
      <c r="CW41" s="17"/>
      <c r="CX41" s="17"/>
      <c r="CY41" s="17"/>
      <c r="CZ41" s="17"/>
      <c r="DA41" s="17"/>
      <c r="DB41" s="17"/>
      <c r="DC41" s="17"/>
      <c r="DD41" s="17"/>
      <c r="DE41" s="17"/>
      <c r="DF41" s="17"/>
      <c r="DG41" s="17"/>
      <c r="DH41" s="17"/>
      <c r="DI41" s="17"/>
      <c r="DJ41" s="17"/>
      <c r="DK41" s="17"/>
      <c r="DL41" s="17"/>
      <c r="DM41" s="17"/>
      <c r="DN41" s="17"/>
      <c r="DO41" s="17"/>
      <c r="DP41" s="17"/>
      <c r="DQ41" s="17"/>
      <c r="DR41" s="17"/>
      <c r="DS41" s="17"/>
      <c r="DT41" s="17"/>
      <c r="DU41" s="17"/>
      <c r="DV41" s="17"/>
      <c r="DW41" s="17"/>
      <c r="DX41" s="17"/>
      <c r="DY41" s="17"/>
      <c r="DZ41" s="17"/>
      <c r="EA41" s="17"/>
      <c r="EB41" s="17"/>
      <c r="EC41" s="17"/>
      <c r="ED41" s="17"/>
      <c r="EE41" s="17"/>
      <c r="EF41" s="17"/>
      <c r="EG41" s="17"/>
      <c r="EH41" s="17"/>
      <c r="EI41" s="17"/>
      <c r="EJ41" s="17"/>
      <c r="EK41" s="17"/>
      <c r="EL41" s="17"/>
      <c r="EM41" s="17"/>
      <c r="EN41" s="17"/>
      <c r="EO41" s="17"/>
      <c r="EP41" s="17"/>
      <c r="EQ41" s="17"/>
      <c r="ER41" s="17"/>
      <c r="ES41" s="17"/>
      <c r="ET41" s="17"/>
      <c r="EU41" s="17"/>
      <c r="EV41" s="17"/>
      <c r="EW41" s="17"/>
      <c r="EX41" s="17"/>
      <c r="EY41" s="17"/>
      <c r="EZ41" s="17"/>
      <c r="FA41" s="17"/>
      <c r="FB41" s="17"/>
      <c r="FC41" s="17"/>
      <c r="FD41" s="17"/>
      <c r="FE41" s="17"/>
      <c r="FF41" s="17"/>
      <c r="FG41" s="17"/>
      <c r="FH41" s="17"/>
      <c r="FI41" s="17"/>
      <c r="FJ41" s="17"/>
      <c r="FK41" s="17"/>
      <c r="FL41" s="17"/>
      <c r="FM41" s="17"/>
      <c r="FN41" s="17"/>
      <c r="FO41" s="17"/>
      <c r="FP41" s="17"/>
      <c r="FQ41" s="17"/>
      <c r="FR41" s="17"/>
      <c r="FS41" s="17"/>
      <c r="FT41" s="17"/>
      <c r="FU41" s="17"/>
      <c r="FV41" s="17"/>
      <c r="FW41" s="17"/>
      <c r="FX41" s="17"/>
      <c r="FY41" s="17"/>
      <c r="FZ41" s="17"/>
      <c r="GA41" s="17"/>
      <c r="GB41" s="17"/>
      <c r="GC41" s="17"/>
      <c r="GD41" s="17"/>
      <c r="GE41" s="17"/>
      <c r="GF41" s="17"/>
      <c r="GG41" s="17"/>
      <c r="GH41" s="17"/>
      <c r="GI41" s="17"/>
      <c r="GJ41" s="17"/>
      <c r="GK41" s="17"/>
      <c r="GL41" s="17"/>
      <c r="GM41" s="17"/>
      <c r="GN41" s="17"/>
      <c r="GO41" s="17"/>
      <c r="GP41" s="17"/>
      <c r="GQ41" s="17"/>
      <c r="GR41" s="17"/>
      <c r="GS41" s="17"/>
      <c r="GT41" s="17"/>
      <c r="GU41" s="17"/>
      <c r="GV41" s="17"/>
      <c r="GW41" s="17"/>
      <c r="GX41" s="17"/>
      <c r="GY41" s="17"/>
      <c r="GZ41" s="17"/>
      <c r="HA41" s="17"/>
      <c r="HB41" s="17"/>
      <c r="HC41" s="17"/>
      <c r="HD41" s="17"/>
      <c r="HE41" s="17"/>
      <c r="HF41" s="17"/>
      <c r="HG41" s="17"/>
      <c r="HH41" s="17"/>
      <c r="HI41" s="17"/>
      <c r="HJ41" s="17"/>
      <c r="HK41" s="17"/>
      <c r="HL41" s="17"/>
      <c r="HM41" s="17"/>
      <c r="HN41" s="17"/>
      <c r="HO41" s="17"/>
      <c r="HP41" s="17"/>
      <c r="HQ41" s="17"/>
      <c r="HR41" s="17"/>
      <c r="HS41" s="17"/>
      <c r="HT41" s="17"/>
      <c r="HU41" s="17"/>
      <c r="HV41" s="17"/>
      <c r="HW41" s="17"/>
      <c r="HX41" s="17"/>
      <c r="HY41" s="17"/>
      <c r="HZ41" s="17"/>
      <c r="IA41" s="17"/>
      <c r="IB41" s="17"/>
      <c r="IC41" s="17"/>
      <c r="ID41" s="17"/>
      <c r="IE41" s="17"/>
      <c r="IF41" s="17"/>
      <c r="IG41" s="17"/>
      <c r="IH41" s="17"/>
      <c r="II41" s="17"/>
      <c r="IJ41" s="17"/>
      <c r="IK41" s="17"/>
      <c r="IL41" s="17"/>
      <c r="IM41" s="17"/>
      <c r="IN41" s="17"/>
      <c r="IO41" s="17"/>
      <c r="IP41" s="17"/>
      <c r="IQ41" s="17"/>
      <c r="IR41" s="17"/>
      <c r="IS41" s="17"/>
      <c r="IT41" s="17"/>
      <c r="IU41" s="17"/>
      <c r="IV41" s="17"/>
      <c r="IW41" s="17"/>
      <c r="IX41" s="17"/>
      <c r="IY41" s="17"/>
      <c r="IZ41" s="17"/>
      <c r="JA41" s="17"/>
      <c r="JB41" s="17"/>
      <c r="JC41" s="17"/>
      <c r="JD41" s="17"/>
      <c r="JE41" s="17"/>
      <c r="JF41" s="17"/>
      <c r="JG41" s="17"/>
      <c r="JH41" s="17"/>
      <c r="JI41" s="17"/>
      <c r="JJ41" s="17"/>
      <c r="JK41" s="17"/>
      <c r="JL41" s="17"/>
      <c r="JM41" s="17"/>
      <c r="JN41" s="17"/>
      <c r="JO41" s="17"/>
      <c r="JP41" s="17"/>
      <c r="JQ41" s="17"/>
      <c r="JR41" s="17"/>
      <c r="JS41" s="17"/>
      <c r="JT41" s="17"/>
      <c r="JU41" s="17"/>
      <c r="JV41" s="17"/>
      <c r="JW41" s="17"/>
      <c r="JX41" s="17"/>
      <c r="JY41" s="17"/>
      <c r="JZ41" s="17"/>
      <c r="KA41" s="17"/>
      <c r="KB41" s="17"/>
      <c r="KC41" s="17"/>
      <c r="KD41" s="17"/>
      <c r="KE41" s="17"/>
      <c r="KF41" s="17"/>
      <c r="KG41" s="17"/>
      <c r="KH41" s="17"/>
      <c r="KI41" s="17"/>
      <c r="KJ41" s="17"/>
      <c r="KK41" s="17"/>
      <c r="KL41" s="17"/>
      <c r="KM41" s="17"/>
      <c r="KN41" s="17"/>
      <c r="KO41" s="17"/>
      <c r="KP41" s="17"/>
      <c r="KQ41" s="17"/>
      <c r="KR41" s="17"/>
      <c r="KS41" s="17"/>
      <c r="KT41" s="17"/>
      <c r="KU41" s="17"/>
      <c r="KV41" s="17"/>
      <c r="KW41" s="17"/>
      <c r="KX41" s="17"/>
      <c r="KY41" s="17"/>
      <c r="KZ41" s="17"/>
      <c r="LA41" s="17"/>
      <c r="LB41" s="17"/>
      <c r="LC41" s="17"/>
      <c r="LD41" s="17"/>
      <c r="LE41" s="17"/>
      <c r="LF41" s="17"/>
      <c r="LG41" s="17"/>
      <c r="LH41" s="17"/>
      <c r="LI41" s="17"/>
      <c r="LJ41" s="17"/>
      <c r="LK41" s="17"/>
      <c r="LL41" s="17"/>
      <c r="LM41" s="17"/>
      <c r="LN41" s="17"/>
      <c r="LO41" s="17"/>
      <c r="LP41" s="17"/>
      <c r="LQ41" s="17"/>
      <c r="LR41" s="17"/>
      <c r="LS41" s="17"/>
      <c r="LT41" s="17"/>
      <c r="LU41" s="17"/>
      <c r="LV41" s="17"/>
      <c r="LW41" s="17"/>
      <c r="LX41" s="17"/>
      <c r="LY41" s="17"/>
      <c r="LZ41" s="17"/>
      <c r="MA41" s="17"/>
      <c r="MB41" s="17"/>
      <c r="MC41" s="17"/>
      <c r="MD41" s="17"/>
      <c r="ME41" s="17"/>
      <c r="MF41" s="17"/>
      <c r="MG41" s="17"/>
      <c r="MH41" s="17"/>
      <c r="MI41" s="17"/>
      <c r="MJ41" s="17"/>
      <c r="MK41" s="17"/>
      <c r="ML41" s="17"/>
      <c r="MM41" s="17"/>
      <c r="MN41" s="17"/>
      <c r="MO41" s="17"/>
      <c r="MP41" s="17"/>
      <c r="MQ41" s="17"/>
      <c r="MR41" s="17"/>
      <c r="MS41" s="17"/>
      <c r="MT41" s="17"/>
      <c r="MU41" s="17"/>
      <c r="MV41" s="17"/>
      <c r="MW41" s="17"/>
      <c r="MX41" s="17"/>
      <c r="MY41" s="17"/>
      <c r="MZ41" s="17"/>
      <c r="NA41" s="17"/>
      <c r="NB41" s="17"/>
      <c r="NC41" s="17"/>
      <c r="ND41" s="17"/>
      <c r="NE41" s="17"/>
      <c r="NF41" s="17"/>
      <c r="NG41" s="17"/>
      <c r="NH41" s="17"/>
      <c r="NI41" s="17"/>
      <c r="NJ41" s="17"/>
      <c r="NK41" s="17"/>
      <c r="NL41" s="17"/>
      <c r="NM41" s="17"/>
      <c r="NN41" s="17"/>
      <c r="NO41" s="17"/>
      <c r="NP41" s="17"/>
      <c r="NQ41" s="17"/>
      <c r="NR41" s="17"/>
      <c r="NS41" s="17"/>
      <c r="NT41" s="17"/>
      <c r="NU41" s="17"/>
      <c r="NV41" s="17"/>
      <c r="NW41" s="17"/>
      <c r="NX41" s="17"/>
      <c r="NY41" s="17"/>
      <c r="NZ41" s="17"/>
      <c r="OA41" s="17"/>
      <c r="OB41" s="17"/>
      <c r="OC41" s="17"/>
      <c r="OD41" s="17"/>
      <c r="OE41" s="17"/>
      <c r="OF41" s="17"/>
      <c r="OG41" s="17"/>
      <c r="OH41" s="17"/>
      <c r="OI41" s="17"/>
      <c r="OJ41" s="17"/>
      <c r="OK41" s="17"/>
      <c r="OL41" s="17"/>
      <c r="OM41" s="17"/>
      <c r="ON41" s="17"/>
      <c r="OO41" s="17"/>
      <c r="OP41" s="17"/>
      <c r="OQ41" s="17"/>
      <c r="OR41" s="17"/>
      <c r="OS41" s="17"/>
      <c r="OT41" s="17"/>
      <c r="OU41" s="17"/>
      <c r="OV41" s="17"/>
      <c r="OW41" s="17"/>
      <c r="OX41" s="17"/>
      <c r="OY41" s="17"/>
      <c r="OZ41" s="17"/>
      <c r="PA41" s="17"/>
      <c r="PB41" s="17"/>
      <c r="PC41" s="17"/>
      <c r="PD41" s="17"/>
      <c r="PE41" s="17"/>
      <c r="PF41" s="17"/>
      <c r="PG41" s="17"/>
      <c r="PH41" s="17"/>
      <c r="PI41" s="17"/>
      <c r="PJ41" s="17"/>
      <c r="PK41" s="17"/>
      <c r="PL41" s="17"/>
      <c r="PM41" s="17"/>
      <c r="PN41" s="17"/>
      <c r="PO41" s="17"/>
      <c r="PP41" s="17"/>
      <c r="PQ41" s="17"/>
      <c r="PR41" s="17"/>
      <c r="PS41" s="17"/>
      <c r="PT41" s="17"/>
      <c r="PU41" s="17"/>
      <c r="PV41" s="17"/>
      <c r="PW41" s="17"/>
      <c r="PX41" s="17"/>
      <c r="PY41" s="17"/>
      <c r="PZ41" s="17"/>
      <c r="QA41" s="17"/>
      <c r="QB41" s="17"/>
      <c r="QC41" s="17"/>
      <c r="QD41" s="17"/>
      <c r="QE41" s="17"/>
      <c r="QF41" s="17"/>
      <c r="QG41" s="17"/>
      <c r="QH41" s="17"/>
      <c r="QI41" s="17"/>
      <c r="QJ41" s="17"/>
      <c r="QK41" s="17"/>
      <c r="QL41" s="17"/>
      <c r="QM41" s="17"/>
      <c r="QN41" s="17"/>
      <c r="QO41" s="17"/>
      <c r="QP41" s="17"/>
      <c r="QQ41" s="17"/>
      <c r="QR41" s="17"/>
      <c r="QS41" s="17"/>
      <c r="QT41" s="17"/>
      <c r="QU41" s="17"/>
      <c r="QV41" s="17"/>
      <c r="QW41" s="17"/>
      <c r="QX41" s="17"/>
      <c r="QY41" s="17"/>
      <c r="QZ41" s="17"/>
      <c r="RA41" s="17"/>
      <c r="RB41" s="17"/>
      <c r="RC41" s="17"/>
      <c r="RD41" s="17"/>
      <c r="RE41" s="17"/>
      <c r="RF41" s="17"/>
      <c r="RG41" s="17"/>
      <c r="RH41" s="17"/>
      <c r="RI41" s="17"/>
      <c r="RJ41" s="17"/>
      <c r="RK41" s="17"/>
      <c r="RL41" s="17"/>
      <c r="RM41" s="17"/>
      <c r="RN41" s="17"/>
      <c r="RO41" s="17"/>
      <c r="RP41" s="17"/>
      <c r="RQ41" s="17"/>
      <c r="RR41" s="17"/>
      <c r="RS41" s="17"/>
      <c r="RT41" s="17"/>
      <c r="RU41" s="17"/>
      <c r="RV41" s="17"/>
      <c r="RW41" s="17"/>
      <c r="RX41" s="17"/>
      <c r="RY41" s="17"/>
      <c r="RZ41" s="17"/>
      <c r="SA41" s="17"/>
      <c r="SB41" s="17"/>
      <c r="SC41" s="17"/>
      <c r="SD41" s="17"/>
      <c r="SE41" s="17"/>
      <c r="SF41" s="17"/>
      <c r="SG41" s="17"/>
      <c r="SH41" s="17"/>
      <c r="SI41" s="17"/>
      <c r="SJ41" s="17"/>
      <c r="SK41" s="17"/>
      <c r="SL41" s="17"/>
      <c r="SM41" s="17"/>
      <c r="SN41" s="17"/>
      <c r="SO41" s="17"/>
      <c r="SP41" s="17"/>
      <c r="SQ41" s="17"/>
      <c r="SR41" s="17"/>
      <c r="SS41" s="17"/>
      <c r="ST41" s="17"/>
      <c r="SU41" s="17"/>
      <c r="SV41" s="17"/>
      <c r="SW41" s="17"/>
      <c r="SX41" s="17"/>
      <c r="SY41" s="17"/>
      <c r="SZ41" s="17"/>
      <c r="TA41" s="17"/>
      <c r="TB41" s="17"/>
      <c r="TC41" s="17"/>
      <c r="TD41" s="17"/>
      <c r="TE41" s="17"/>
      <c r="TF41" s="17"/>
      <c r="TG41" s="17"/>
      <c r="TH41" s="17"/>
      <c r="TI41" s="17"/>
      <c r="TJ41" s="17"/>
      <c r="TK41" s="17"/>
      <c r="TL41" s="17"/>
      <c r="TM41" s="17"/>
      <c r="TN41" s="17"/>
      <c r="TO41" s="17"/>
      <c r="TP41" s="17"/>
      <c r="TQ41" s="17"/>
      <c r="TR41" s="17"/>
      <c r="TS41" s="17"/>
      <c r="TT41" s="17"/>
      <c r="TU41" s="17"/>
      <c r="TV41" s="17"/>
      <c r="TW41" s="17"/>
      <c r="TX41" s="17"/>
      <c r="TY41" s="17"/>
      <c r="TZ41" s="17"/>
      <c r="UA41" s="17"/>
      <c r="UB41" s="17"/>
      <c r="UC41" s="17"/>
      <c r="UD41" s="17"/>
      <c r="UE41" s="17"/>
      <c r="UF41" s="17"/>
      <c r="UG41" s="17"/>
      <c r="UH41" s="17"/>
      <c r="UI41" s="17"/>
      <c r="UJ41" s="17"/>
      <c r="UK41" s="17"/>
      <c r="UL41" s="17"/>
      <c r="UM41" s="17"/>
      <c r="UN41" s="17"/>
      <c r="UO41" s="17"/>
      <c r="UP41" s="17"/>
      <c r="UQ41" s="17"/>
      <c r="UR41" s="17"/>
      <c r="US41" s="17"/>
      <c r="UT41" s="17"/>
      <c r="UU41" s="17"/>
      <c r="UV41" s="17"/>
      <c r="UW41" s="17"/>
      <c r="UX41" s="17"/>
      <c r="UY41" s="17"/>
      <c r="UZ41" s="17"/>
      <c r="VA41" s="17"/>
      <c r="VB41" s="17"/>
      <c r="VC41" s="17"/>
      <c r="VD41" s="17"/>
      <c r="VE41" s="17"/>
      <c r="VF41" s="17"/>
      <c r="VG41" s="17"/>
      <c r="VH41" s="17"/>
      <c r="VI41" s="17"/>
      <c r="VJ41" s="17"/>
      <c r="VK41" s="17"/>
      <c r="VL41" s="17"/>
      <c r="VM41" s="17"/>
      <c r="VN41" s="17"/>
      <c r="VO41" s="17"/>
      <c r="VP41" s="17"/>
      <c r="VQ41" s="17"/>
      <c r="VR41" s="17"/>
      <c r="VS41" s="17"/>
      <c r="VT41" s="17"/>
      <c r="VU41" s="17"/>
      <c r="VV41" s="17"/>
      <c r="VW41" s="17"/>
      <c r="VX41" s="17"/>
      <c r="VY41" s="17"/>
      <c r="VZ41" s="17"/>
      <c r="WA41" s="17"/>
      <c r="WB41" s="17"/>
      <c r="WC41" s="17"/>
      <c r="WD41" s="17"/>
      <c r="WE41" s="17"/>
      <c r="WF41" s="17"/>
      <c r="WG41" s="17"/>
      <c r="WH41" s="17"/>
      <c r="WI41" s="17"/>
      <c r="WJ41" s="17"/>
      <c r="WK41" s="17"/>
      <c r="WL41" s="17"/>
      <c r="WM41" s="17"/>
      <c r="WN41" s="17"/>
      <c r="WO41" s="17"/>
      <c r="WP41" s="17"/>
      <c r="WQ41" s="17"/>
      <c r="WR41" s="17"/>
      <c r="WS41" s="17"/>
      <c r="WT41" s="17"/>
      <c r="WU41" s="17"/>
      <c r="WV41" s="17"/>
      <c r="WW41" s="17"/>
      <c r="WX41" s="17"/>
      <c r="WY41" s="17"/>
      <c r="WZ41" s="17"/>
      <c r="XA41" s="17"/>
      <c r="XB41" s="17"/>
      <c r="XC41" s="17"/>
      <c r="XD41" s="17"/>
      <c r="XE41" s="17"/>
      <c r="XF41" s="17"/>
      <c r="XG41" s="17"/>
      <c r="XH41" s="17"/>
      <c r="XI41" s="17"/>
      <c r="XJ41" s="17"/>
      <c r="XK41" s="17"/>
      <c r="XL41" s="17"/>
      <c r="XM41" s="17"/>
      <c r="XN41" s="17"/>
      <c r="XO41" s="17"/>
      <c r="XP41" s="17"/>
      <c r="XQ41" s="17"/>
      <c r="XR41" s="17"/>
      <c r="XS41" s="17"/>
      <c r="XT41" s="17"/>
      <c r="XU41" s="17"/>
      <c r="XV41" s="17"/>
      <c r="XW41" s="17"/>
      <c r="XX41" s="17"/>
      <c r="XY41" s="17"/>
      <c r="XZ41" s="17"/>
      <c r="YA41" s="17"/>
      <c r="YB41" s="17"/>
      <c r="YC41" s="17"/>
      <c r="YD41" s="17"/>
      <c r="YE41" s="17"/>
      <c r="YF41" s="17"/>
      <c r="YG41" s="17"/>
      <c r="YH41" s="17"/>
      <c r="YI41" s="17"/>
      <c r="YJ41" s="17"/>
      <c r="YK41" s="17"/>
      <c r="YL41" s="17"/>
      <c r="YM41" s="17"/>
      <c r="YN41" s="17"/>
      <c r="YO41" s="17"/>
      <c r="YP41" s="17"/>
      <c r="YQ41" s="17"/>
      <c r="YR41" s="17"/>
      <c r="YS41" s="17"/>
      <c r="YT41" s="17"/>
      <c r="YU41" s="17"/>
      <c r="YV41" s="17"/>
      <c r="YW41" s="17"/>
      <c r="YX41" s="17"/>
      <c r="YY41" s="17"/>
      <c r="YZ41" s="17"/>
      <c r="ZA41" s="17"/>
      <c r="ZB41" s="17"/>
      <c r="ZC41" s="17"/>
      <c r="ZD41" s="17"/>
      <c r="ZE41" s="17"/>
      <c r="ZF41" s="17"/>
      <c r="ZG41" s="17"/>
      <c r="ZH41" s="17"/>
      <c r="ZI41" s="17"/>
      <c r="ZJ41" s="17"/>
      <c r="ZK41" s="17"/>
      <c r="ZL41" s="17"/>
      <c r="ZM41" s="17"/>
      <c r="ZN41" s="17"/>
      <c r="ZO41" s="17"/>
      <c r="ZP41" s="17"/>
      <c r="ZQ41" s="17"/>
      <c r="ZR41" s="17"/>
      <c r="ZS41" s="17"/>
      <c r="ZT41" s="17"/>
      <c r="ZU41" s="17"/>
      <c r="ZV41" s="17"/>
      <c r="ZW41" s="17"/>
      <c r="ZX41" s="17"/>
      <c r="ZY41" s="17"/>
      <c r="ZZ41" s="17"/>
      <c r="AAA41" s="17"/>
      <c r="AAB41" s="17"/>
      <c r="AAC41" s="17"/>
      <c r="AAD41" s="17"/>
      <c r="AAE41" s="17"/>
      <c r="AAF41" s="17"/>
    </row>
    <row r="42" spans="1:708" ht="22.5" customHeight="1" x14ac:dyDescent="0.25">
      <c r="A42" s="94"/>
      <c r="B42" s="94"/>
      <c r="C42" s="94"/>
      <c r="D42" s="94"/>
      <c r="E42" s="94"/>
      <c r="F42" s="94"/>
      <c r="G42" s="94"/>
      <c r="H42" s="94"/>
      <c r="I42" s="94"/>
      <c r="J42" s="94"/>
      <c r="K42" s="94"/>
      <c r="L42" s="94"/>
      <c r="M42" s="94"/>
      <c r="N42" s="94"/>
      <c r="O42" s="94"/>
      <c r="P42" s="94"/>
      <c r="Q42" s="94"/>
      <c r="R42" s="94"/>
      <c r="S42" s="95"/>
      <c r="T42" s="94"/>
      <c r="U42" s="94"/>
      <c r="V42" s="96"/>
      <c r="W42" s="96"/>
      <c r="X42" s="94"/>
      <c r="Y42" s="94"/>
      <c r="Z42" s="94"/>
      <c r="AA42" s="94"/>
      <c r="AB42" s="94"/>
      <c r="AC42" s="94"/>
      <c r="AD42" s="94"/>
      <c r="AE42" s="94"/>
      <c r="AF42" s="95"/>
      <c r="AG42" s="97"/>
      <c r="AH42" s="97"/>
      <c r="AI42" s="97"/>
      <c r="AJ42" s="97"/>
      <c r="AK42" s="97"/>
      <c r="AL42" s="97"/>
      <c r="AM42" s="97"/>
      <c r="AN42" s="98"/>
      <c r="AO42" s="94"/>
      <c r="AP42" s="94"/>
      <c r="AQ42" s="94"/>
      <c r="AR42" s="94"/>
      <c r="AS42" s="94"/>
      <c r="AT42" s="94"/>
      <c r="AU42" s="94"/>
      <c r="AV42" s="95"/>
      <c r="AW42" s="97"/>
      <c r="AX42" s="97"/>
      <c r="AY42" s="97"/>
      <c r="AZ42" s="97"/>
      <c r="BA42" s="97"/>
      <c r="BB42" s="97"/>
      <c r="BC42" s="97"/>
      <c r="BD42" s="98"/>
      <c r="BI42" s="94"/>
      <c r="BJ42" s="94"/>
      <c r="BK42" s="94"/>
      <c r="BL42" s="95"/>
      <c r="BM42" s="97"/>
      <c r="BN42" s="97"/>
      <c r="BO42" s="97"/>
      <c r="BP42" s="97"/>
      <c r="BQ42" s="97"/>
      <c r="BR42" s="97"/>
      <c r="BS42" s="97"/>
      <c r="BT42" s="97"/>
      <c r="CC42" s="17"/>
      <c r="CD42" s="17"/>
      <c r="CE42" s="17"/>
      <c r="CF42" s="17"/>
      <c r="CG42" s="17"/>
      <c r="CH42" s="17"/>
      <c r="CI42" s="17"/>
      <c r="CJ42" s="17"/>
    </row>
    <row r="43" spans="1:708" ht="69.75" customHeight="1" x14ac:dyDescent="0.25">
      <c r="A43" s="17"/>
      <c r="B43" s="17"/>
      <c r="C43" s="17"/>
      <c r="D43" s="17"/>
      <c r="E43" s="17"/>
      <c r="F43" s="17"/>
      <c r="G43" s="17"/>
      <c r="H43" s="17"/>
      <c r="I43" s="17"/>
      <c r="J43" s="17"/>
      <c r="K43" s="17"/>
      <c r="L43" s="17"/>
      <c r="M43" s="17"/>
      <c r="N43" s="17"/>
      <c r="O43" s="17"/>
      <c r="P43" s="17"/>
      <c r="Q43" s="17"/>
      <c r="R43" s="17"/>
      <c r="S43" s="1"/>
      <c r="T43" s="17"/>
      <c r="U43" s="17"/>
      <c r="V43" s="99"/>
      <c r="W43" s="99"/>
      <c r="Y43" s="382" t="s">
        <v>378</v>
      </c>
      <c r="Z43" s="382"/>
      <c r="AA43" s="42">
        <f>AVERAGE(AA10,AA15,AA20,AA25,AA30,AA35,AA37,AA39,AA41)</f>
        <v>0.43878062650746752</v>
      </c>
      <c r="AC43" s="382" t="s">
        <v>379</v>
      </c>
      <c r="AD43" s="382"/>
      <c r="AE43" s="42">
        <f>AVERAGE(AE10,AE15,AE20,AE25,AE30,AE35)</f>
        <v>0.23547515210311065</v>
      </c>
      <c r="AG43" s="459" t="s">
        <v>378</v>
      </c>
      <c r="AH43" s="459"/>
      <c r="AI43" s="42">
        <f>AVERAGE(AI10,AI15,AI20,AI25,AI30,AI35,AI37,AI39,AI41)</f>
        <v>0.58482649424577282</v>
      </c>
      <c r="AJ43" s="101"/>
      <c r="AK43" s="459" t="s">
        <v>379</v>
      </c>
      <c r="AL43" s="459"/>
      <c r="AM43" s="42">
        <f>AVERAGE(AM10,AM15,AM20,AM25,AM30,AM35)</f>
        <v>0.36058272542002229</v>
      </c>
      <c r="AN43" s="102"/>
      <c r="AO43" s="382" t="s">
        <v>378</v>
      </c>
      <c r="AP43" s="382"/>
      <c r="AQ43" s="42">
        <f>AVERAGE(AQ10,AQ15,AQ20,AQ25,AQ30,AQ35,AQ37,AQ39,AQ41)</f>
        <v>0.63566203971535784</v>
      </c>
      <c r="AS43" s="382" t="s">
        <v>379</v>
      </c>
      <c r="AT43" s="382"/>
      <c r="AU43" s="42">
        <f>AVERAGE(AU10,AU15,AU20,AU25,AU30,AU35)</f>
        <v>0.37480783918455929</v>
      </c>
      <c r="AW43" s="459" t="s">
        <v>380</v>
      </c>
      <c r="AX43" s="459"/>
      <c r="AY43" s="46">
        <f>AVERAGE(AY10,AY15,AY20,AY25,AY30,AY35,AY37,AY39,AY41)</f>
        <v>0.65906567588834952</v>
      </c>
      <c r="BA43" s="459" t="s">
        <v>381</v>
      </c>
      <c r="BB43" s="459"/>
      <c r="BC43" s="46">
        <f>AVERAGE(BC10,BC15,BC20,BC25,BC30,BC35)</f>
        <v>0.3820443800715822</v>
      </c>
      <c r="BE43" s="459" t="s">
        <v>380</v>
      </c>
      <c r="BF43" s="459"/>
      <c r="BG43" s="46">
        <f>AVERAGE(BG10,BG15,BG20,BG25,BG30,BG35,BG37,BG39,BG41)</f>
        <v>0.67893995066807855</v>
      </c>
      <c r="BH43" s="101"/>
      <c r="BI43" s="382" t="s">
        <v>381</v>
      </c>
      <c r="BJ43" s="382"/>
      <c r="BK43" s="42">
        <f>AVERAGE(BK10,BK15,BK20,BK25,BK30,BK35)</f>
        <v>0.38656216114383996</v>
      </c>
      <c r="BL43" s="100"/>
      <c r="BM43" s="459" t="s">
        <v>380</v>
      </c>
      <c r="BN43" s="459"/>
      <c r="BO43" s="46">
        <f>AVERAGE(BO10,BO15,BO20,BO25,BO30,BO35,BO37,BO39,BO41)</f>
        <v>0.69791430364176721</v>
      </c>
      <c r="BP43" s="101"/>
      <c r="BQ43" s="459" t="s">
        <v>381</v>
      </c>
      <c r="BR43" s="459"/>
      <c r="BS43" s="46">
        <f>AVERAGE(BS10,BS15,BS20,BS25,BS30,BS35)</f>
        <v>0.46669054629161094</v>
      </c>
      <c r="BT43" s="97"/>
      <c r="BU43" s="382" t="s">
        <v>380</v>
      </c>
      <c r="BV43" s="382"/>
      <c r="BW43" s="42">
        <f>AVERAGE(BW10,BW15,BW20,BW25,BW30,BW35,BW37,BW39,BW41)</f>
        <v>0.74864677116601153</v>
      </c>
      <c r="BX43" s="75"/>
      <c r="BY43" s="382" t="s">
        <v>381</v>
      </c>
      <c r="BZ43" s="382"/>
      <c r="CA43" s="42">
        <f>AVERAGE(CA10,CA15,CA20,CA25,CA30,CA35)</f>
        <v>0.49992118866739038</v>
      </c>
      <c r="CC43" s="382" t="s">
        <v>378</v>
      </c>
      <c r="CD43" s="382"/>
      <c r="CE43" s="42">
        <f>AVERAGE(CE10,CE15,CE20,CE25,CE30,CE35,CE37,CE39,CE41)</f>
        <v>0.78255004610378609</v>
      </c>
      <c r="CG43" s="382" t="s">
        <v>379</v>
      </c>
      <c r="CH43" s="382"/>
      <c r="CI43" s="42">
        <f>AVERAGE(CI10,CI15,CI20,CI25,CI30,CI35)</f>
        <v>0.52487008570087335</v>
      </c>
      <c r="CK43" s="382" t="s">
        <v>380</v>
      </c>
      <c r="CL43" s="382"/>
      <c r="CM43" s="42">
        <f>AVERAGE(CM10,CM15,CM20,CM25,CM30,CM35,CM37,CM39,CM41)</f>
        <v>0.79625133868986775</v>
      </c>
      <c r="CN43" s="75"/>
      <c r="CO43" s="382" t="s">
        <v>381</v>
      </c>
      <c r="CP43" s="382"/>
      <c r="CQ43" s="42">
        <f>AVERAGE(CQ10,CQ15,CQ20,CQ25,CQ30,CQ35)</f>
        <v>0.5453616248498403</v>
      </c>
    </row>
    <row r="44" spans="1:708" s="17" customFormat="1" ht="22.5" customHeight="1" x14ac:dyDescent="0.25">
      <c r="S44" s="1"/>
      <c r="V44" s="99"/>
      <c r="W44" s="99"/>
      <c r="AF44" s="1"/>
      <c r="AN44" s="1"/>
      <c r="AV44" s="1"/>
      <c r="AW44" s="97"/>
      <c r="AX44" s="97"/>
      <c r="AY44" s="97"/>
      <c r="AZ44" s="97"/>
      <c r="BA44" s="97"/>
      <c r="BB44" s="97"/>
      <c r="BC44" s="97"/>
      <c r="BD44" s="98"/>
      <c r="BE44" s="97"/>
      <c r="BF44" s="97"/>
      <c r="BG44" s="97"/>
      <c r="BH44" s="97"/>
      <c r="BL44" s="1"/>
      <c r="BM44" s="97"/>
      <c r="BN44" s="97"/>
      <c r="BO44" s="97"/>
      <c r="BP44" s="97"/>
      <c r="BU44" s="97"/>
      <c r="BV44" s="97"/>
      <c r="BW44" s="97"/>
      <c r="BX44" s="97"/>
      <c r="CJ44" s="1"/>
      <c r="CK44" s="97"/>
      <c r="CL44" s="97"/>
      <c r="CM44" s="97"/>
      <c r="CN44" s="97"/>
    </row>
    <row r="45" spans="1:708" s="17" customFormat="1" ht="22.5" customHeight="1" x14ac:dyDescent="0.25">
      <c r="S45" s="1"/>
      <c r="V45" s="99"/>
      <c r="W45" s="99"/>
      <c r="AF45" s="1"/>
      <c r="AN45" s="1"/>
      <c r="AV45" s="1"/>
      <c r="AW45" s="97"/>
      <c r="AX45" s="97"/>
      <c r="AY45" s="97"/>
      <c r="AZ45" s="97"/>
      <c r="BA45" s="97"/>
      <c r="BB45" s="97"/>
      <c r="BC45" s="97"/>
      <c r="BD45" s="98"/>
      <c r="BE45" s="97"/>
      <c r="BF45" s="97"/>
      <c r="BG45" s="97"/>
      <c r="BH45" s="97"/>
      <c r="BM45" s="97"/>
      <c r="BN45" s="97"/>
      <c r="BO45" s="97"/>
      <c r="BP45" s="97"/>
      <c r="BU45" s="97"/>
      <c r="BV45" s="97"/>
      <c r="BW45" s="97"/>
      <c r="BX45" s="97"/>
      <c r="CJ45" s="1"/>
      <c r="CK45" s="97"/>
      <c r="CL45" s="97"/>
      <c r="CM45" s="97"/>
      <c r="CN45" s="97"/>
    </row>
    <row r="46" spans="1:708" s="17" customFormat="1" ht="22.5" customHeight="1" x14ac:dyDescent="0.25">
      <c r="S46" s="1"/>
      <c r="V46" s="99"/>
      <c r="W46" s="99"/>
      <c r="AF46" s="1"/>
      <c r="AN46" s="1"/>
      <c r="AV46" s="1"/>
      <c r="AW46" s="97"/>
      <c r="AX46" s="97"/>
      <c r="AY46" s="97"/>
      <c r="AZ46" s="97"/>
      <c r="BA46" s="97"/>
      <c r="BB46" s="97"/>
      <c r="BC46" s="97"/>
      <c r="BD46" s="98"/>
      <c r="BE46" s="97"/>
      <c r="BF46" s="97"/>
      <c r="BG46" s="97"/>
      <c r="BH46" s="97"/>
      <c r="BM46" s="97"/>
      <c r="BN46" s="97"/>
      <c r="BO46" s="97"/>
      <c r="BP46" s="97"/>
      <c r="BU46" s="97"/>
      <c r="BV46" s="97"/>
      <c r="BW46" s="97"/>
      <c r="BX46" s="97"/>
      <c r="CJ46" s="1"/>
      <c r="CK46" s="97"/>
      <c r="CL46" s="97"/>
      <c r="CM46" s="97"/>
      <c r="CN46" s="97"/>
    </row>
    <row r="47" spans="1:708" s="17" customFormat="1" ht="22.5" customHeight="1" x14ac:dyDescent="0.25">
      <c r="S47" s="1"/>
      <c r="V47" s="99"/>
      <c r="W47" s="99"/>
      <c r="AF47" s="1"/>
      <c r="AN47" s="1"/>
      <c r="AV47" s="1"/>
      <c r="AW47" s="97"/>
      <c r="AX47" s="97"/>
      <c r="AY47" s="97"/>
      <c r="AZ47" s="97"/>
      <c r="BA47" s="97"/>
      <c r="BB47" s="97"/>
      <c r="BC47" s="97"/>
      <c r="BD47" s="98"/>
      <c r="BE47" s="97"/>
      <c r="BF47" s="97"/>
      <c r="BG47" s="97"/>
      <c r="BH47" s="97"/>
      <c r="BM47" s="97"/>
      <c r="BN47" s="97"/>
      <c r="BO47" s="97"/>
      <c r="BP47" s="97"/>
      <c r="BU47" s="97"/>
      <c r="BV47" s="97"/>
      <c r="BW47" s="97"/>
      <c r="BX47" s="97"/>
      <c r="CJ47" s="1"/>
      <c r="CK47" s="97"/>
      <c r="CL47" s="97"/>
      <c r="CM47" s="97"/>
      <c r="CN47" s="97"/>
    </row>
    <row r="48" spans="1:708" s="17" customFormat="1" ht="22.5" customHeight="1" x14ac:dyDescent="0.25">
      <c r="S48" s="1"/>
      <c r="V48" s="99"/>
      <c r="W48" s="99"/>
      <c r="AF48" s="1"/>
      <c r="AN48" s="1"/>
      <c r="AV48" s="1"/>
      <c r="AW48" s="97"/>
      <c r="AX48" s="97"/>
      <c r="AY48" s="97"/>
      <c r="AZ48" s="97"/>
      <c r="BA48" s="97"/>
      <c r="BB48" s="97"/>
      <c r="BC48" s="97"/>
      <c r="BD48" s="98"/>
      <c r="BE48" s="97"/>
      <c r="BF48" s="97"/>
      <c r="BG48" s="97"/>
      <c r="BH48" s="97"/>
      <c r="BM48" s="97"/>
      <c r="BN48" s="97"/>
      <c r="BO48" s="97"/>
      <c r="BP48" s="97"/>
      <c r="BU48" s="97"/>
      <c r="BV48" s="97"/>
      <c r="BW48" s="97"/>
      <c r="BX48" s="97"/>
      <c r="CJ48" s="1"/>
      <c r="CK48" s="97"/>
      <c r="CL48" s="97"/>
      <c r="CM48" s="97"/>
      <c r="CN48" s="97"/>
    </row>
    <row r="49" spans="19:92" s="17" customFormat="1" ht="22.5" customHeight="1" x14ac:dyDescent="0.25">
      <c r="S49" s="1"/>
      <c r="V49" s="99"/>
      <c r="W49" s="99"/>
      <c r="AF49" s="1"/>
      <c r="AN49" s="1"/>
      <c r="AV49" s="1"/>
      <c r="AW49" s="97"/>
      <c r="AX49" s="97"/>
      <c r="AY49" s="97"/>
      <c r="AZ49" s="97"/>
      <c r="BA49" s="97"/>
      <c r="BB49" s="97"/>
      <c r="BC49" s="97"/>
      <c r="BD49" s="98"/>
      <c r="BE49" s="97"/>
      <c r="BF49" s="97"/>
      <c r="BG49" s="97"/>
      <c r="BH49" s="97"/>
      <c r="BM49" s="97"/>
      <c r="BN49" s="97"/>
      <c r="BO49" s="97"/>
      <c r="BP49" s="97"/>
      <c r="BU49" s="97"/>
      <c r="BV49" s="97"/>
      <c r="BW49" s="97"/>
      <c r="BX49" s="97"/>
      <c r="CJ49" s="1"/>
      <c r="CK49" s="97"/>
      <c r="CL49" s="97"/>
      <c r="CM49" s="97"/>
      <c r="CN49" s="97"/>
    </row>
    <row r="50" spans="19:92" s="17" customFormat="1" ht="22.5" customHeight="1" x14ac:dyDescent="0.25">
      <c r="S50" s="1"/>
      <c r="V50" s="99"/>
      <c r="W50" s="99"/>
      <c r="AF50" s="1"/>
      <c r="AN50" s="1"/>
      <c r="AV50" s="1"/>
      <c r="AW50" s="97"/>
      <c r="AX50" s="97"/>
      <c r="AY50" s="97"/>
      <c r="AZ50" s="97"/>
      <c r="BA50" s="97"/>
      <c r="BB50" s="97"/>
      <c r="BC50" s="97"/>
      <c r="BD50" s="98"/>
      <c r="BE50" s="97"/>
      <c r="BF50" s="97"/>
      <c r="BG50" s="97"/>
      <c r="BH50" s="97"/>
      <c r="BM50" s="97"/>
      <c r="BN50" s="97"/>
      <c r="BO50" s="97"/>
      <c r="BP50" s="97"/>
      <c r="BU50" s="97"/>
      <c r="BV50" s="97"/>
      <c r="BW50" s="97"/>
      <c r="BX50" s="97"/>
      <c r="CJ50" s="1"/>
      <c r="CK50" s="97"/>
      <c r="CL50" s="97"/>
      <c r="CM50" s="97"/>
      <c r="CN50" s="97"/>
    </row>
    <row r="51" spans="19:92" s="17" customFormat="1" ht="22.5" customHeight="1" x14ac:dyDescent="0.25">
      <c r="S51" s="1"/>
      <c r="V51" s="99"/>
      <c r="W51" s="99"/>
      <c r="AF51" s="1"/>
      <c r="AN51" s="1"/>
      <c r="AV51" s="1"/>
      <c r="AW51" s="97"/>
      <c r="AX51" s="97"/>
      <c r="AY51" s="97"/>
      <c r="AZ51" s="97"/>
      <c r="BA51" s="97"/>
      <c r="BB51" s="97"/>
      <c r="BC51" s="97"/>
      <c r="BD51" s="98"/>
      <c r="BE51" s="97"/>
      <c r="BF51" s="97"/>
      <c r="BG51" s="97"/>
      <c r="BH51" s="97"/>
      <c r="BM51" s="97"/>
      <c r="BN51" s="97"/>
      <c r="BO51" s="97"/>
      <c r="BP51" s="97"/>
      <c r="BU51" s="97"/>
      <c r="BV51" s="97"/>
      <c r="BW51" s="97"/>
      <c r="BX51" s="97"/>
      <c r="CJ51" s="1"/>
      <c r="CK51" s="97"/>
      <c r="CL51" s="97"/>
      <c r="CM51" s="97"/>
      <c r="CN51" s="97"/>
    </row>
    <row r="52" spans="19:92" s="17" customFormat="1" ht="22.5" customHeight="1" x14ac:dyDescent="0.25">
      <c r="S52" s="1"/>
      <c r="V52" s="99"/>
      <c r="W52" s="99"/>
      <c r="AF52" s="1"/>
      <c r="AN52" s="1"/>
      <c r="AV52" s="1"/>
      <c r="AW52" s="97"/>
      <c r="AX52" s="97"/>
      <c r="AY52" s="97"/>
      <c r="AZ52" s="97"/>
      <c r="BA52" s="97"/>
      <c r="BB52" s="97"/>
      <c r="BC52" s="97"/>
      <c r="BD52" s="98"/>
      <c r="BE52" s="97"/>
      <c r="BF52" s="97"/>
      <c r="BG52" s="97"/>
      <c r="BH52" s="97"/>
      <c r="BM52" s="97"/>
      <c r="BN52" s="97"/>
      <c r="BO52" s="97"/>
      <c r="BP52" s="97"/>
      <c r="BU52" s="97"/>
      <c r="BV52" s="97"/>
      <c r="BW52" s="97"/>
      <c r="BX52" s="97"/>
      <c r="CJ52" s="1"/>
      <c r="CK52" s="97"/>
      <c r="CL52" s="97"/>
      <c r="CM52" s="97"/>
      <c r="CN52" s="97"/>
    </row>
    <row r="53" spans="19:92" s="17" customFormat="1" ht="22.5" customHeight="1" x14ac:dyDescent="0.25">
      <c r="S53" s="1"/>
      <c r="V53" s="99"/>
      <c r="W53" s="99"/>
      <c r="AF53" s="1"/>
      <c r="AN53" s="1"/>
      <c r="AV53" s="1"/>
      <c r="AW53" s="97"/>
      <c r="AX53" s="97"/>
      <c r="AY53" s="97"/>
      <c r="AZ53" s="97"/>
      <c r="BA53" s="97"/>
      <c r="BB53" s="97"/>
      <c r="BC53" s="97"/>
      <c r="BD53" s="98"/>
      <c r="BE53" s="97"/>
      <c r="BF53" s="97"/>
      <c r="BG53" s="97"/>
      <c r="BH53" s="97"/>
      <c r="BM53" s="97"/>
      <c r="BN53" s="97"/>
      <c r="BO53" s="97"/>
      <c r="BP53" s="97"/>
      <c r="CJ53" s="1"/>
    </row>
    <row r="54" spans="19:92" s="17" customFormat="1" ht="22.5" customHeight="1" x14ac:dyDescent="0.25">
      <c r="S54" s="1"/>
      <c r="V54" s="99"/>
      <c r="W54" s="99"/>
      <c r="AF54" s="1"/>
      <c r="AN54" s="1"/>
      <c r="AV54" s="1"/>
      <c r="AW54" s="97"/>
      <c r="AX54" s="97"/>
      <c r="AY54" s="97"/>
      <c r="AZ54" s="97"/>
      <c r="BA54" s="97"/>
      <c r="BB54" s="97"/>
      <c r="BC54" s="97"/>
      <c r="BD54" s="98"/>
      <c r="BE54" s="97"/>
      <c r="BF54" s="97"/>
      <c r="BG54" s="97"/>
      <c r="BH54" s="97"/>
      <c r="BM54" s="97"/>
      <c r="BN54" s="97"/>
      <c r="BO54" s="97"/>
      <c r="BP54" s="97"/>
      <c r="CJ54" s="1"/>
    </row>
    <row r="55" spans="19:92" s="17" customFormat="1" ht="22.5" customHeight="1" x14ac:dyDescent="0.25">
      <c r="S55" s="1"/>
      <c r="V55" s="99"/>
      <c r="W55" s="99"/>
      <c r="AF55" s="1"/>
      <c r="AN55" s="1"/>
      <c r="AV55" s="1"/>
      <c r="AW55" s="97"/>
      <c r="AX55" s="97"/>
      <c r="AY55" s="97"/>
      <c r="AZ55" s="97"/>
      <c r="BA55" s="97"/>
      <c r="BB55" s="97"/>
      <c r="BC55" s="97"/>
      <c r="BD55" s="98"/>
      <c r="BE55" s="97"/>
      <c r="BF55" s="97"/>
      <c r="BG55" s="97"/>
      <c r="BH55" s="97"/>
      <c r="BM55" s="97"/>
      <c r="BN55" s="97"/>
      <c r="BO55" s="97"/>
      <c r="BP55" s="97"/>
      <c r="CJ55" s="1"/>
    </row>
    <row r="56" spans="19:92" s="17" customFormat="1" ht="22.5" customHeight="1" x14ac:dyDescent="0.25">
      <c r="S56" s="1"/>
      <c r="V56" s="99"/>
      <c r="W56" s="99"/>
      <c r="AF56" s="1"/>
      <c r="AN56" s="1"/>
      <c r="AV56" s="1"/>
      <c r="AW56" s="97"/>
      <c r="AX56" s="97"/>
      <c r="AY56" s="97"/>
      <c r="AZ56" s="97"/>
      <c r="BA56" s="97"/>
      <c r="BB56" s="97"/>
      <c r="BC56" s="97"/>
      <c r="BD56" s="98"/>
      <c r="BE56" s="97"/>
      <c r="BF56" s="97"/>
      <c r="BG56" s="97"/>
      <c r="BH56" s="97"/>
      <c r="BM56" s="97"/>
      <c r="BN56" s="97"/>
      <c r="BO56" s="97"/>
      <c r="BP56" s="97"/>
      <c r="CJ56" s="1"/>
    </row>
    <row r="57" spans="19:92" s="17" customFormat="1" ht="22.5" customHeight="1" x14ac:dyDescent="0.25">
      <c r="S57" s="1"/>
      <c r="V57" s="99"/>
      <c r="W57" s="99"/>
      <c r="AF57" s="1"/>
      <c r="AN57" s="1"/>
      <c r="AV57" s="1"/>
      <c r="AW57" s="97"/>
      <c r="AX57" s="97"/>
      <c r="AY57" s="97"/>
      <c r="AZ57" s="97"/>
      <c r="BA57" s="97"/>
      <c r="BB57" s="97"/>
      <c r="BC57" s="97"/>
      <c r="BD57" s="98"/>
      <c r="BE57" s="97"/>
      <c r="BF57" s="97"/>
      <c r="BG57" s="97"/>
      <c r="BH57" s="97"/>
      <c r="BM57" s="97"/>
      <c r="BN57" s="97"/>
      <c r="BO57" s="97"/>
      <c r="BP57" s="97"/>
      <c r="CJ57" s="1"/>
    </row>
    <row r="58" spans="19:92" s="17" customFormat="1" ht="22.5" customHeight="1" x14ac:dyDescent="0.25">
      <c r="S58" s="1"/>
      <c r="V58" s="99"/>
      <c r="W58" s="99"/>
      <c r="AF58" s="1"/>
      <c r="AN58" s="1"/>
      <c r="AV58" s="1"/>
      <c r="AW58" s="97"/>
      <c r="AX58" s="97"/>
      <c r="AY58" s="97"/>
      <c r="AZ58" s="97"/>
      <c r="BA58" s="97"/>
      <c r="BB58" s="97"/>
      <c r="BC58" s="97"/>
      <c r="BD58" s="98"/>
      <c r="BE58" s="97"/>
      <c r="BF58" s="97"/>
      <c r="BG58" s="97"/>
      <c r="BH58" s="97"/>
      <c r="BM58" s="97"/>
      <c r="BN58" s="97"/>
      <c r="BO58" s="97"/>
      <c r="BP58" s="97"/>
      <c r="CJ58" s="1"/>
    </row>
    <row r="59" spans="19:92" s="17" customFormat="1" ht="22.5" customHeight="1" x14ac:dyDescent="0.25">
      <c r="S59" s="1"/>
      <c r="V59" s="99"/>
      <c r="W59" s="99"/>
      <c r="AF59" s="1"/>
      <c r="AN59" s="1"/>
      <c r="AV59" s="1"/>
      <c r="AW59" s="97"/>
      <c r="AX59" s="97"/>
      <c r="AY59" s="97"/>
      <c r="AZ59" s="97"/>
      <c r="BA59" s="97"/>
      <c r="BB59" s="97"/>
      <c r="BC59" s="97"/>
      <c r="BD59" s="98"/>
      <c r="BE59" s="97"/>
      <c r="BF59" s="97"/>
      <c r="BG59" s="97"/>
      <c r="BH59" s="97"/>
      <c r="CJ59" s="1"/>
    </row>
    <row r="60" spans="19:92" s="17" customFormat="1" ht="22.5" customHeight="1" x14ac:dyDescent="0.25">
      <c r="S60" s="1"/>
      <c r="V60" s="99"/>
      <c r="W60" s="99"/>
      <c r="AF60" s="1"/>
      <c r="AN60" s="1"/>
      <c r="AV60" s="1"/>
      <c r="AW60" s="97"/>
      <c r="AX60" s="97"/>
      <c r="AY60" s="97"/>
      <c r="AZ60" s="97"/>
      <c r="BA60" s="97"/>
      <c r="BB60" s="97"/>
      <c r="BC60" s="97"/>
      <c r="BD60" s="98"/>
      <c r="BE60" s="97"/>
      <c r="BF60" s="97"/>
      <c r="BG60" s="97"/>
      <c r="BH60" s="97"/>
      <c r="CJ60" s="1"/>
    </row>
    <row r="61" spans="19:92" s="17" customFormat="1" ht="22.5" customHeight="1" x14ac:dyDescent="0.25">
      <c r="S61" s="1"/>
      <c r="V61" s="99"/>
      <c r="W61" s="99"/>
      <c r="AF61" s="1"/>
      <c r="AN61" s="1"/>
      <c r="AV61" s="1"/>
      <c r="AW61" s="97"/>
      <c r="AX61" s="97"/>
      <c r="AY61" s="97"/>
      <c r="AZ61" s="97"/>
      <c r="BA61" s="97"/>
      <c r="BB61" s="97"/>
      <c r="BC61" s="97"/>
      <c r="BD61" s="98"/>
      <c r="BE61" s="97"/>
      <c r="BF61" s="97"/>
      <c r="BG61" s="97"/>
      <c r="BH61" s="97"/>
      <c r="CJ61" s="1"/>
    </row>
    <row r="62" spans="19:92" s="17" customFormat="1" ht="22.5" customHeight="1" x14ac:dyDescent="0.25">
      <c r="S62" s="1"/>
      <c r="V62" s="99"/>
      <c r="W62" s="99"/>
      <c r="AF62" s="1"/>
      <c r="AN62" s="1"/>
      <c r="AV62" s="1"/>
      <c r="AW62" s="97"/>
      <c r="AX62" s="97"/>
      <c r="AY62" s="97"/>
      <c r="AZ62" s="97"/>
      <c r="BA62" s="97"/>
      <c r="BB62" s="97"/>
      <c r="BC62" s="97"/>
      <c r="BD62" s="98"/>
      <c r="BE62" s="97"/>
      <c r="BF62" s="97"/>
      <c r="BG62" s="97"/>
      <c r="BH62" s="97"/>
      <c r="CJ62" s="1"/>
    </row>
    <row r="63" spans="19:92" s="17" customFormat="1" ht="22.5" customHeight="1" x14ac:dyDescent="0.25">
      <c r="S63" s="1"/>
      <c r="V63" s="99"/>
      <c r="W63" s="99"/>
      <c r="AF63" s="1"/>
      <c r="AN63" s="1"/>
      <c r="AV63" s="1"/>
      <c r="AW63" s="97"/>
      <c r="AX63" s="97"/>
      <c r="AY63" s="97"/>
      <c r="AZ63" s="97"/>
      <c r="BA63" s="97"/>
      <c r="BB63" s="97"/>
      <c r="BC63" s="97"/>
      <c r="BD63" s="98"/>
      <c r="BE63" s="97"/>
      <c r="BF63" s="97"/>
      <c r="BG63" s="97"/>
      <c r="BH63" s="97"/>
      <c r="CJ63" s="1"/>
    </row>
    <row r="64" spans="19:92" s="17" customFormat="1" ht="22.5" customHeight="1" x14ac:dyDescent="0.25">
      <c r="S64" s="1"/>
      <c r="V64" s="99"/>
      <c r="W64" s="99"/>
      <c r="AF64" s="1"/>
      <c r="AN64" s="1"/>
      <c r="AV64" s="1"/>
      <c r="AW64" s="97"/>
      <c r="AX64" s="97"/>
      <c r="AY64" s="97"/>
      <c r="AZ64" s="97"/>
      <c r="BA64" s="97"/>
      <c r="BB64" s="97"/>
      <c r="BC64" s="97"/>
      <c r="BD64" s="98"/>
      <c r="BE64" s="97"/>
      <c r="BF64" s="97"/>
      <c r="BG64" s="97"/>
      <c r="BH64" s="97"/>
      <c r="CJ64" s="1"/>
    </row>
    <row r="65" spans="19:88" s="17" customFormat="1" ht="22.5" customHeight="1" x14ac:dyDescent="0.25">
      <c r="S65" s="1"/>
      <c r="V65" s="99"/>
      <c r="W65" s="99"/>
      <c r="AF65" s="1"/>
      <c r="AN65" s="1"/>
      <c r="AV65" s="1"/>
      <c r="AW65" s="97"/>
      <c r="AX65" s="97"/>
      <c r="AY65" s="97"/>
      <c r="AZ65" s="97"/>
      <c r="BA65" s="97"/>
      <c r="BB65" s="97"/>
      <c r="BC65" s="97"/>
      <c r="BD65" s="98"/>
      <c r="BE65" s="97"/>
      <c r="BF65" s="97"/>
      <c r="BG65" s="97"/>
      <c r="BH65" s="97"/>
      <c r="CJ65" s="1"/>
    </row>
    <row r="66" spans="19:88" s="17" customFormat="1" ht="22.5" customHeight="1" x14ac:dyDescent="0.25">
      <c r="S66" s="1"/>
      <c r="V66" s="99"/>
      <c r="W66" s="99"/>
      <c r="AF66" s="1"/>
      <c r="AN66" s="1"/>
      <c r="AV66" s="1"/>
      <c r="AW66" s="97"/>
      <c r="AX66" s="97"/>
      <c r="AY66" s="97"/>
      <c r="AZ66" s="97"/>
      <c r="BA66" s="97"/>
      <c r="BB66" s="97"/>
      <c r="BC66" s="97"/>
      <c r="BD66" s="98"/>
      <c r="BE66" s="97"/>
      <c r="BF66" s="97"/>
      <c r="BG66" s="97"/>
      <c r="BH66" s="97"/>
      <c r="CJ66" s="1"/>
    </row>
    <row r="67" spans="19:88" s="17" customFormat="1" ht="22.5" customHeight="1" x14ac:dyDescent="0.25">
      <c r="S67" s="1"/>
      <c r="V67" s="99"/>
      <c r="W67" s="99"/>
      <c r="AF67" s="1"/>
      <c r="AN67" s="1"/>
      <c r="AV67" s="1"/>
      <c r="AW67" s="97"/>
      <c r="AX67" s="97"/>
      <c r="AY67" s="97"/>
      <c r="AZ67" s="97"/>
      <c r="BA67" s="97"/>
      <c r="BB67" s="97"/>
      <c r="BC67" s="97"/>
      <c r="BD67" s="98"/>
      <c r="BE67" s="97"/>
      <c r="BF67" s="97"/>
      <c r="BG67" s="97"/>
      <c r="BH67" s="97"/>
      <c r="CJ67" s="1"/>
    </row>
    <row r="68" spans="19:88" s="17" customFormat="1" ht="22.5" customHeight="1" x14ac:dyDescent="0.25">
      <c r="S68" s="1"/>
      <c r="V68" s="99"/>
      <c r="W68" s="99"/>
      <c r="AF68" s="1"/>
      <c r="AN68" s="1"/>
      <c r="AV68" s="1"/>
      <c r="AW68" s="97"/>
      <c r="AX68" s="97"/>
      <c r="AY68" s="97"/>
      <c r="AZ68" s="97"/>
      <c r="BA68" s="97"/>
      <c r="BB68" s="97"/>
      <c r="BC68" s="97"/>
      <c r="BD68" s="98"/>
      <c r="BE68" s="97"/>
      <c r="BF68" s="97"/>
      <c r="BG68" s="97"/>
      <c r="BH68" s="97"/>
      <c r="CJ68" s="1"/>
    </row>
    <row r="69" spans="19:88" s="17" customFormat="1" ht="22.5" customHeight="1" x14ac:dyDescent="0.25">
      <c r="S69" s="1"/>
      <c r="V69" s="99"/>
      <c r="W69" s="99"/>
      <c r="AF69" s="1"/>
      <c r="AN69" s="1"/>
      <c r="AV69" s="1"/>
      <c r="AW69" s="97"/>
      <c r="AX69" s="97"/>
      <c r="AY69" s="97"/>
      <c r="AZ69" s="97"/>
      <c r="BA69" s="97"/>
      <c r="BB69" s="97"/>
      <c r="BC69" s="97"/>
      <c r="BD69" s="98"/>
      <c r="BE69" s="97"/>
      <c r="BF69" s="97"/>
      <c r="BG69" s="97"/>
      <c r="BH69" s="97"/>
      <c r="CJ69" s="1"/>
    </row>
    <row r="70" spans="19:88" s="17" customFormat="1" ht="22.5" customHeight="1" x14ac:dyDescent="0.25">
      <c r="S70" s="1"/>
      <c r="V70" s="99"/>
      <c r="W70" s="99"/>
      <c r="AF70" s="1"/>
      <c r="AN70" s="1"/>
      <c r="AV70" s="1"/>
      <c r="AW70" s="97"/>
      <c r="AX70" s="97"/>
      <c r="AY70" s="97"/>
      <c r="AZ70" s="97"/>
      <c r="BA70" s="97"/>
      <c r="BB70" s="97"/>
      <c r="BC70" s="97"/>
      <c r="BD70" s="98"/>
      <c r="BE70" s="97"/>
      <c r="BF70" s="97"/>
      <c r="BG70" s="97"/>
      <c r="BH70" s="97"/>
      <c r="CJ70" s="1"/>
    </row>
    <row r="71" spans="19:88" s="17" customFormat="1" ht="22.5" customHeight="1" x14ac:dyDescent="0.25">
      <c r="S71" s="1"/>
      <c r="V71" s="99"/>
      <c r="W71" s="99"/>
      <c r="AF71" s="1"/>
      <c r="AN71" s="1"/>
      <c r="AV71" s="1"/>
      <c r="AW71" s="97"/>
      <c r="AX71" s="97"/>
      <c r="AY71" s="97"/>
      <c r="AZ71" s="97"/>
      <c r="BA71" s="97"/>
      <c r="BB71" s="97"/>
      <c r="BC71" s="97"/>
      <c r="BD71" s="98"/>
      <c r="BE71" s="97"/>
      <c r="BF71" s="97"/>
      <c r="BG71" s="97"/>
      <c r="BH71" s="97"/>
      <c r="CJ71" s="1"/>
    </row>
    <row r="72" spans="19:88" s="17" customFormat="1" ht="22.5" customHeight="1" x14ac:dyDescent="0.25">
      <c r="S72" s="1"/>
      <c r="V72" s="99"/>
      <c r="W72" s="99"/>
      <c r="AF72" s="1"/>
      <c r="AN72" s="1"/>
      <c r="AV72" s="1"/>
      <c r="AW72" s="97"/>
      <c r="AX72" s="97"/>
      <c r="AY72" s="97"/>
      <c r="AZ72" s="97"/>
      <c r="BA72" s="97"/>
      <c r="BB72" s="97"/>
      <c r="BC72" s="97"/>
      <c r="BD72" s="98"/>
      <c r="BE72" s="97"/>
      <c r="BF72" s="97"/>
      <c r="BG72" s="97"/>
      <c r="BH72" s="97"/>
      <c r="CJ72" s="1"/>
    </row>
    <row r="73" spans="19:88" s="17" customFormat="1" ht="22.5" customHeight="1" x14ac:dyDescent="0.25">
      <c r="S73" s="1"/>
      <c r="V73" s="99"/>
      <c r="W73" s="99"/>
      <c r="AF73" s="1"/>
      <c r="AN73" s="1"/>
      <c r="AV73" s="1"/>
      <c r="AW73" s="97"/>
      <c r="AX73" s="97"/>
      <c r="AY73" s="97"/>
      <c r="AZ73" s="97"/>
      <c r="BA73" s="97"/>
      <c r="BB73" s="97"/>
      <c r="BC73" s="97"/>
      <c r="BD73" s="98"/>
      <c r="BE73" s="97"/>
      <c r="BF73" s="97"/>
      <c r="BG73" s="97"/>
      <c r="BH73" s="97"/>
      <c r="CJ73" s="1"/>
    </row>
    <row r="74" spans="19:88" s="17" customFormat="1" ht="22.5" customHeight="1" x14ac:dyDescent="0.25">
      <c r="S74" s="1"/>
      <c r="V74" s="99"/>
      <c r="W74" s="99"/>
      <c r="AF74" s="1"/>
      <c r="AN74" s="1"/>
      <c r="AV74" s="1"/>
      <c r="AW74" s="97"/>
      <c r="AX74" s="97"/>
      <c r="AY74" s="97"/>
      <c r="AZ74" s="97"/>
      <c r="BA74" s="97"/>
      <c r="BB74" s="97"/>
      <c r="BC74" s="97"/>
      <c r="BD74" s="98"/>
      <c r="BE74" s="97"/>
      <c r="BF74" s="97"/>
      <c r="BG74" s="97"/>
      <c r="BH74" s="97"/>
      <c r="CJ74" s="1"/>
    </row>
    <row r="75" spans="19:88" s="17" customFormat="1" ht="22.5" customHeight="1" x14ac:dyDescent="0.25">
      <c r="S75" s="1"/>
      <c r="V75" s="99"/>
      <c r="W75" s="99"/>
      <c r="AF75" s="1"/>
      <c r="AN75" s="1"/>
      <c r="AV75" s="1"/>
      <c r="AW75" s="97"/>
      <c r="AX75" s="97"/>
      <c r="AY75" s="97"/>
      <c r="AZ75" s="97"/>
      <c r="BA75" s="97"/>
      <c r="BB75" s="97"/>
      <c r="BC75" s="97"/>
      <c r="BD75" s="98"/>
      <c r="BE75" s="97"/>
      <c r="BF75" s="97"/>
      <c r="BG75" s="97"/>
      <c r="BH75" s="97"/>
      <c r="CJ75" s="1"/>
    </row>
    <row r="76" spans="19:88" s="17" customFormat="1" ht="22.5" customHeight="1" x14ac:dyDescent="0.25">
      <c r="S76" s="1"/>
      <c r="V76" s="99"/>
      <c r="W76" s="99"/>
      <c r="AF76" s="1"/>
      <c r="AN76" s="1"/>
      <c r="AV76" s="1"/>
      <c r="AW76" s="97"/>
      <c r="AX76" s="97"/>
      <c r="AY76" s="97"/>
      <c r="AZ76" s="97"/>
      <c r="BA76" s="97"/>
      <c r="BB76" s="97"/>
      <c r="BC76" s="97"/>
      <c r="BD76" s="98"/>
      <c r="BE76" s="97"/>
      <c r="BF76" s="97"/>
      <c r="BG76" s="97"/>
      <c r="BH76" s="97"/>
      <c r="CJ76" s="1"/>
    </row>
    <row r="77" spans="19:88" s="17" customFormat="1" ht="22.5" customHeight="1" x14ac:dyDescent="0.25">
      <c r="S77" s="1"/>
      <c r="V77" s="99"/>
      <c r="W77" s="99"/>
      <c r="AF77" s="1"/>
      <c r="AN77" s="1"/>
      <c r="AV77" s="1"/>
      <c r="AW77" s="97"/>
      <c r="AX77" s="97"/>
      <c r="AY77" s="97"/>
      <c r="AZ77" s="97"/>
      <c r="BA77" s="97"/>
      <c r="BB77" s="97"/>
      <c r="BC77" s="97"/>
      <c r="BD77" s="98"/>
      <c r="BE77" s="97"/>
      <c r="BF77" s="97"/>
      <c r="BG77" s="97"/>
      <c r="BH77" s="97"/>
      <c r="CJ77" s="1"/>
    </row>
    <row r="78" spans="19:88" s="17" customFormat="1" ht="22.5" customHeight="1" x14ac:dyDescent="0.25">
      <c r="S78" s="1"/>
      <c r="V78" s="99"/>
      <c r="W78" s="99"/>
      <c r="AF78" s="1"/>
      <c r="AN78" s="1"/>
      <c r="AV78" s="1"/>
      <c r="AW78" s="97"/>
      <c r="AX78" s="97"/>
      <c r="AY78" s="97"/>
      <c r="AZ78" s="97"/>
      <c r="BA78" s="97"/>
      <c r="BB78" s="97"/>
      <c r="BC78" s="97"/>
      <c r="BD78" s="98"/>
      <c r="BE78" s="97"/>
      <c r="BF78" s="97"/>
      <c r="BG78" s="97"/>
      <c r="BH78" s="97"/>
      <c r="CJ78" s="1"/>
    </row>
    <row r="79" spans="19:88" s="17" customFormat="1" ht="22.5" customHeight="1" x14ac:dyDescent="0.25">
      <c r="S79" s="1"/>
      <c r="V79" s="99"/>
      <c r="W79" s="99"/>
      <c r="AF79" s="1"/>
      <c r="AN79" s="1"/>
      <c r="AV79" s="1"/>
      <c r="AW79" s="97"/>
      <c r="AX79" s="97"/>
      <c r="AY79" s="97"/>
      <c r="AZ79" s="97"/>
      <c r="BA79" s="97"/>
      <c r="BB79" s="97"/>
      <c r="BC79" s="97"/>
      <c r="BD79" s="98"/>
      <c r="BE79" s="97"/>
      <c r="BF79" s="97"/>
      <c r="BG79" s="97"/>
      <c r="BH79" s="97"/>
      <c r="CJ79" s="1"/>
    </row>
    <row r="80" spans="19:88" s="17" customFormat="1" ht="22.5" customHeight="1" x14ac:dyDescent="0.25">
      <c r="S80" s="1"/>
      <c r="V80" s="99"/>
      <c r="W80" s="99"/>
      <c r="AF80" s="1"/>
      <c r="AN80" s="1"/>
      <c r="AV80" s="1"/>
      <c r="AW80" s="97"/>
      <c r="AX80" s="97"/>
      <c r="AY80" s="97"/>
      <c r="AZ80" s="97"/>
      <c r="BA80" s="97"/>
      <c r="BB80" s="97"/>
      <c r="BC80" s="97"/>
      <c r="BD80" s="98"/>
      <c r="BE80" s="97"/>
      <c r="BF80" s="97"/>
      <c r="BG80" s="97"/>
      <c r="BH80" s="97"/>
      <c r="CJ80" s="1"/>
    </row>
    <row r="81" spans="19:88" s="17" customFormat="1" ht="22.5" customHeight="1" x14ac:dyDescent="0.25">
      <c r="S81" s="1"/>
      <c r="V81" s="99"/>
      <c r="W81" s="99"/>
      <c r="AF81" s="1"/>
      <c r="AN81" s="1"/>
      <c r="AV81" s="1"/>
      <c r="AW81" s="97"/>
      <c r="AX81" s="97"/>
      <c r="AY81" s="97"/>
      <c r="AZ81" s="97"/>
      <c r="BA81" s="97"/>
      <c r="BB81" s="97"/>
      <c r="BC81" s="97"/>
      <c r="BD81" s="98"/>
      <c r="BE81" s="97"/>
      <c r="BF81" s="97"/>
      <c r="BG81" s="97"/>
      <c r="BH81" s="97"/>
      <c r="CJ81" s="1"/>
    </row>
    <row r="82" spans="19:88" s="17" customFormat="1" ht="22.5" customHeight="1" x14ac:dyDescent="0.25">
      <c r="S82" s="1"/>
      <c r="V82" s="99"/>
      <c r="W82" s="99"/>
      <c r="AF82" s="1"/>
      <c r="AN82" s="1"/>
      <c r="AV82" s="1"/>
      <c r="AW82" s="97"/>
      <c r="AX82" s="97"/>
      <c r="AY82" s="97"/>
      <c r="AZ82" s="97"/>
      <c r="BA82" s="97"/>
      <c r="BB82" s="97"/>
      <c r="BC82" s="97"/>
      <c r="BD82" s="98"/>
      <c r="BE82" s="97"/>
      <c r="BF82" s="97"/>
      <c r="BG82" s="97"/>
      <c r="BH82" s="97"/>
      <c r="CJ82" s="1"/>
    </row>
    <row r="83" spans="19:88" s="17" customFormat="1" ht="22.5" customHeight="1" x14ac:dyDescent="0.25">
      <c r="S83" s="1"/>
      <c r="V83" s="99"/>
      <c r="W83" s="99"/>
      <c r="AF83" s="1"/>
      <c r="AN83" s="1"/>
      <c r="AV83" s="1"/>
      <c r="AW83" s="97"/>
      <c r="AX83" s="97"/>
      <c r="AY83" s="97"/>
      <c r="AZ83" s="97"/>
      <c r="BA83" s="97"/>
      <c r="BB83" s="97"/>
      <c r="BC83" s="97"/>
      <c r="BD83" s="98"/>
      <c r="BE83" s="97"/>
      <c r="BF83" s="97"/>
      <c r="BG83" s="97"/>
      <c r="BH83" s="97"/>
      <c r="CJ83" s="1"/>
    </row>
    <row r="84" spans="19:88" s="17" customFormat="1" ht="22.5" customHeight="1" x14ac:dyDescent="0.25">
      <c r="S84" s="1"/>
      <c r="V84" s="99"/>
      <c r="W84" s="99"/>
      <c r="AF84" s="1"/>
      <c r="AN84" s="1"/>
      <c r="AV84" s="1"/>
      <c r="AW84" s="97"/>
      <c r="AX84" s="97"/>
      <c r="AY84" s="97"/>
      <c r="AZ84" s="97"/>
      <c r="BA84" s="97"/>
      <c r="BB84" s="97"/>
      <c r="BC84" s="97"/>
      <c r="BD84" s="98"/>
      <c r="BE84" s="97"/>
      <c r="BF84" s="97"/>
      <c r="BG84" s="97"/>
      <c r="BH84" s="97"/>
      <c r="CJ84" s="1"/>
    </row>
    <row r="85" spans="19:88" s="17" customFormat="1" ht="22.5" customHeight="1" x14ac:dyDescent="0.25">
      <c r="S85" s="1"/>
      <c r="V85" s="99"/>
      <c r="W85" s="99"/>
      <c r="AF85" s="1"/>
      <c r="AN85" s="1"/>
      <c r="AV85" s="1"/>
      <c r="AW85" s="97"/>
      <c r="AX85" s="97"/>
      <c r="AY85" s="97"/>
      <c r="AZ85" s="97"/>
      <c r="BA85" s="97"/>
      <c r="BB85" s="97"/>
      <c r="BC85" s="97"/>
      <c r="BD85" s="98"/>
      <c r="BE85" s="97"/>
      <c r="BF85" s="97"/>
      <c r="BG85" s="97"/>
      <c r="BH85" s="97"/>
      <c r="CJ85" s="1"/>
    </row>
    <row r="86" spans="19:88" s="17" customFormat="1" ht="22.5" customHeight="1" x14ac:dyDescent="0.25">
      <c r="S86" s="1"/>
      <c r="V86" s="99"/>
      <c r="W86" s="99"/>
      <c r="AF86" s="1"/>
      <c r="AN86" s="1"/>
      <c r="AV86" s="1"/>
      <c r="AW86" s="97"/>
      <c r="AX86" s="97"/>
      <c r="AY86" s="97"/>
      <c r="AZ86" s="97"/>
      <c r="BA86" s="97"/>
      <c r="BB86" s="97"/>
      <c r="BC86" s="97"/>
      <c r="BD86" s="98"/>
      <c r="BE86" s="97"/>
      <c r="BF86" s="97"/>
      <c r="BG86" s="97"/>
      <c r="BH86" s="97"/>
      <c r="CJ86" s="1"/>
    </row>
    <row r="87" spans="19:88" s="17" customFormat="1" ht="22.5" customHeight="1" x14ac:dyDescent="0.25">
      <c r="S87" s="1"/>
      <c r="V87" s="99"/>
      <c r="W87" s="99"/>
      <c r="AF87" s="1"/>
      <c r="AN87" s="1"/>
      <c r="AV87" s="1"/>
      <c r="AW87" s="97"/>
      <c r="AX87" s="97"/>
      <c r="AY87" s="97"/>
      <c r="AZ87" s="97"/>
      <c r="BA87" s="97"/>
      <c r="BB87" s="97"/>
      <c r="BC87" s="97"/>
      <c r="BD87" s="98"/>
      <c r="BE87" s="97"/>
      <c r="BF87" s="97"/>
      <c r="BG87" s="97"/>
      <c r="BH87" s="97"/>
      <c r="CJ87" s="1"/>
    </row>
    <row r="88" spans="19:88" s="17" customFormat="1" ht="22.5" customHeight="1" x14ac:dyDescent="0.25">
      <c r="S88" s="1"/>
      <c r="V88" s="99"/>
      <c r="W88" s="99"/>
      <c r="AF88" s="1"/>
      <c r="AN88" s="1"/>
      <c r="AV88" s="1"/>
      <c r="AW88" s="97"/>
      <c r="AX88" s="97"/>
      <c r="AY88" s="97"/>
      <c r="AZ88" s="97"/>
      <c r="BA88" s="97"/>
      <c r="BB88" s="97"/>
      <c r="BC88" s="97"/>
      <c r="BD88" s="98"/>
      <c r="BE88" s="97"/>
      <c r="BF88" s="97"/>
      <c r="BG88" s="97"/>
      <c r="BH88" s="97"/>
      <c r="CJ88" s="1"/>
    </row>
    <row r="89" spans="19:88" s="17" customFormat="1" ht="22.5" customHeight="1" x14ac:dyDescent="0.25">
      <c r="S89" s="1"/>
      <c r="V89" s="99"/>
      <c r="W89" s="99"/>
      <c r="AF89" s="1"/>
      <c r="AN89" s="1"/>
      <c r="AV89" s="1"/>
      <c r="AW89" s="97"/>
      <c r="AX89" s="97"/>
      <c r="AY89" s="97"/>
      <c r="AZ89" s="97"/>
      <c r="BA89" s="97"/>
      <c r="BB89" s="97"/>
      <c r="BC89" s="97"/>
      <c r="BD89" s="98"/>
      <c r="BE89" s="97"/>
      <c r="BF89" s="97"/>
      <c r="BG89" s="97"/>
      <c r="BH89" s="97"/>
      <c r="CJ89" s="1"/>
    </row>
    <row r="90" spans="19:88" s="17" customFormat="1" ht="22.5" customHeight="1" x14ac:dyDescent="0.25">
      <c r="S90" s="1"/>
      <c r="V90" s="99"/>
      <c r="W90" s="99"/>
      <c r="AF90" s="1"/>
      <c r="AN90" s="1"/>
      <c r="AV90" s="1"/>
      <c r="AW90" s="97"/>
      <c r="AX90" s="97"/>
      <c r="AY90" s="97"/>
      <c r="AZ90" s="97"/>
      <c r="BA90" s="97"/>
      <c r="BB90" s="97"/>
      <c r="BC90" s="97"/>
      <c r="BD90" s="98"/>
      <c r="BE90" s="97"/>
      <c r="BF90" s="97"/>
      <c r="BG90" s="97"/>
      <c r="BH90" s="97"/>
      <c r="CJ90" s="1"/>
    </row>
    <row r="91" spans="19:88" s="17" customFormat="1" ht="22.5" customHeight="1" x14ac:dyDescent="0.25">
      <c r="S91" s="1"/>
      <c r="V91" s="99"/>
      <c r="W91" s="99"/>
      <c r="AF91" s="1"/>
      <c r="AN91" s="1"/>
      <c r="AV91" s="1"/>
      <c r="AW91" s="97"/>
      <c r="AX91" s="97"/>
      <c r="AY91" s="97"/>
      <c r="AZ91" s="97"/>
      <c r="BA91" s="97"/>
      <c r="BB91" s="97"/>
      <c r="BC91" s="97"/>
      <c r="BD91" s="98"/>
      <c r="BE91" s="97"/>
      <c r="BF91" s="97"/>
      <c r="BG91" s="97"/>
      <c r="BH91" s="97"/>
      <c r="CJ91" s="1"/>
    </row>
    <row r="92" spans="19:88" s="17" customFormat="1" ht="22.5" customHeight="1" x14ac:dyDescent="0.25">
      <c r="S92" s="1"/>
      <c r="V92" s="99"/>
      <c r="W92" s="99"/>
      <c r="AF92" s="1"/>
      <c r="AN92" s="1"/>
      <c r="AV92" s="1"/>
      <c r="AW92" s="97"/>
      <c r="AX92" s="97"/>
      <c r="AY92" s="97"/>
      <c r="AZ92" s="97"/>
      <c r="BA92" s="97"/>
      <c r="BB92" s="97"/>
      <c r="BC92" s="97"/>
      <c r="BD92" s="98"/>
      <c r="BE92" s="97"/>
      <c r="BF92" s="97"/>
      <c r="BG92" s="97"/>
      <c r="BH92" s="97"/>
      <c r="CJ92" s="1"/>
    </row>
    <row r="93" spans="19:88" s="17" customFormat="1" ht="22.5" customHeight="1" x14ac:dyDescent="0.25">
      <c r="S93" s="1"/>
      <c r="V93" s="99"/>
      <c r="W93" s="99"/>
      <c r="AF93" s="1"/>
      <c r="AN93" s="1"/>
      <c r="AV93" s="1"/>
      <c r="AW93" s="97"/>
      <c r="AX93" s="97"/>
      <c r="AY93" s="97"/>
      <c r="AZ93" s="97"/>
      <c r="BA93" s="97"/>
      <c r="BB93" s="97"/>
      <c r="BC93" s="97"/>
      <c r="BD93" s="98"/>
      <c r="BE93" s="97"/>
      <c r="BF93" s="97"/>
      <c r="BG93" s="97"/>
      <c r="BH93" s="97"/>
      <c r="CJ93" s="1"/>
    </row>
    <row r="94" spans="19:88" s="17" customFormat="1" ht="22.5" customHeight="1" x14ac:dyDescent="0.25">
      <c r="S94" s="1"/>
      <c r="V94" s="99"/>
      <c r="W94" s="99"/>
      <c r="AF94" s="1"/>
      <c r="AN94" s="1"/>
      <c r="AV94" s="1"/>
      <c r="AW94" s="97"/>
      <c r="AX94" s="97"/>
      <c r="AY94" s="97"/>
      <c r="AZ94" s="97"/>
      <c r="BA94" s="97"/>
      <c r="BB94" s="97"/>
      <c r="BC94" s="97"/>
      <c r="BD94" s="98"/>
      <c r="BE94" s="97"/>
      <c r="BF94" s="97"/>
      <c r="BG94" s="97"/>
      <c r="BH94" s="97"/>
      <c r="CJ94" s="1"/>
    </row>
    <row r="95" spans="19:88" s="17" customFormat="1" ht="22.5" customHeight="1" x14ac:dyDescent="0.25">
      <c r="S95" s="1"/>
      <c r="V95" s="99"/>
      <c r="W95" s="99"/>
      <c r="AF95" s="1"/>
      <c r="AN95" s="1"/>
      <c r="AV95" s="1"/>
      <c r="AW95" s="97"/>
      <c r="AX95" s="97"/>
      <c r="AY95" s="97"/>
      <c r="AZ95" s="97"/>
      <c r="BA95" s="97"/>
      <c r="BB95" s="97"/>
      <c r="BC95" s="97"/>
      <c r="BD95" s="98"/>
      <c r="BE95" s="97"/>
      <c r="BF95" s="97"/>
      <c r="BG95" s="97"/>
      <c r="BH95" s="97"/>
      <c r="CJ95" s="1"/>
    </row>
    <row r="96" spans="19:88" s="17" customFormat="1" ht="22.5" customHeight="1" x14ac:dyDescent="0.25">
      <c r="S96" s="1"/>
      <c r="V96" s="99"/>
      <c r="W96" s="99"/>
      <c r="AF96" s="1"/>
      <c r="AN96" s="1"/>
      <c r="AV96" s="1"/>
      <c r="AW96" s="97"/>
      <c r="AX96" s="97"/>
      <c r="AY96" s="97"/>
      <c r="AZ96" s="97"/>
      <c r="BA96" s="97"/>
      <c r="BB96" s="97"/>
      <c r="BC96" s="97"/>
      <c r="BD96" s="98"/>
      <c r="BE96" s="97"/>
      <c r="BF96" s="97"/>
      <c r="BG96" s="97"/>
      <c r="BH96" s="97"/>
      <c r="CJ96" s="1"/>
    </row>
    <row r="97" spans="19:88" s="17" customFormat="1" ht="22.5" customHeight="1" x14ac:dyDescent="0.25">
      <c r="S97" s="1"/>
      <c r="V97" s="99"/>
      <c r="W97" s="99"/>
      <c r="AF97" s="1"/>
      <c r="AN97" s="1"/>
      <c r="AV97" s="1"/>
      <c r="AW97" s="97"/>
      <c r="AX97" s="97"/>
      <c r="AY97" s="97"/>
      <c r="AZ97" s="97"/>
      <c r="BA97" s="97"/>
      <c r="BB97" s="97"/>
      <c r="BC97" s="97"/>
      <c r="BD97" s="98"/>
      <c r="BE97" s="97"/>
      <c r="BF97" s="97"/>
      <c r="BG97" s="97"/>
      <c r="BH97" s="97"/>
      <c r="CJ97" s="1"/>
    </row>
    <row r="98" spans="19:88" s="17" customFormat="1" ht="22.5" customHeight="1" x14ac:dyDescent="0.25">
      <c r="S98" s="1"/>
      <c r="V98" s="99"/>
      <c r="W98" s="99"/>
      <c r="AF98" s="1"/>
      <c r="AN98" s="1"/>
      <c r="AV98" s="1"/>
      <c r="AW98" s="97"/>
      <c r="AX98" s="97"/>
      <c r="AY98" s="97"/>
      <c r="AZ98" s="97"/>
      <c r="BA98" s="97"/>
      <c r="BB98" s="97"/>
      <c r="BC98" s="97"/>
      <c r="BD98" s="98"/>
      <c r="BE98" s="97"/>
      <c r="BF98" s="97"/>
      <c r="BG98" s="97"/>
      <c r="BH98" s="97"/>
      <c r="CJ98" s="1"/>
    </row>
    <row r="99" spans="19:88" s="17" customFormat="1" ht="22.5" customHeight="1" x14ac:dyDescent="0.25">
      <c r="S99" s="1"/>
      <c r="V99" s="99"/>
      <c r="W99" s="99"/>
      <c r="AF99" s="1"/>
      <c r="AN99" s="1"/>
      <c r="AV99" s="1"/>
      <c r="AW99" s="97"/>
      <c r="AX99" s="97"/>
      <c r="AY99" s="97"/>
      <c r="AZ99" s="97"/>
      <c r="BA99" s="97"/>
      <c r="BB99" s="97"/>
      <c r="BC99" s="97"/>
      <c r="BD99" s="98"/>
      <c r="BE99" s="97"/>
      <c r="BF99" s="97"/>
      <c r="BG99" s="97"/>
      <c r="BH99" s="97"/>
      <c r="CJ99" s="1"/>
    </row>
    <row r="100" spans="19:88" s="17" customFormat="1" ht="22.5" customHeight="1" x14ac:dyDescent="0.25">
      <c r="S100" s="1"/>
      <c r="V100" s="99"/>
      <c r="W100" s="99"/>
      <c r="AF100" s="1"/>
      <c r="AN100" s="1"/>
      <c r="AV100" s="1"/>
      <c r="AW100" s="97"/>
      <c r="AX100" s="97"/>
      <c r="AY100" s="97"/>
      <c r="AZ100" s="97"/>
      <c r="BA100" s="97"/>
      <c r="BB100" s="97"/>
      <c r="BC100" s="97"/>
      <c r="BD100" s="98"/>
      <c r="BE100" s="97"/>
      <c r="BF100" s="97"/>
      <c r="BG100" s="97"/>
      <c r="BH100" s="97"/>
      <c r="CJ100" s="1"/>
    </row>
    <row r="101" spans="19:88" s="17" customFormat="1" ht="22.5" customHeight="1" x14ac:dyDescent="0.25">
      <c r="S101" s="1"/>
      <c r="V101" s="99"/>
      <c r="W101" s="99"/>
      <c r="AF101" s="1"/>
      <c r="AN101" s="1"/>
      <c r="AV101" s="1"/>
      <c r="AW101" s="97"/>
      <c r="AX101" s="97"/>
      <c r="AY101" s="97"/>
      <c r="AZ101" s="97"/>
      <c r="BA101" s="97"/>
      <c r="BB101" s="97"/>
      <c r="BC101" s="97"/>
      <c r="BD101" s="98"/>
      <c r="BE101" s="97"/>
      <c r="BF101" s="97"/>
      <c r="BG101" s="97"/>
      <c r="BH101" s="97"/>
      <c r="CJ101" s="1"/>
    </row>
    <row r="102" spans="19:88" s="17" customFormat="1" ht="22.5" customHeight="1" x14ac:dyDescent="0.25">
      <c r="S102" s="1"/>
      <c r="V102" s="99"/>
      <c r="W102" s="99"/>
      <c r="AF102" s="1"/>
      <c r="AN102" s="1"/>
      <c r="AV102" s="1"/>
      <c r="AW102" s="97"/>
      <c r="AX102" s="97"/>
      <c r="AY102" s="97"/>
      <c r="AZ102" s="97"/>
      <c r="BA102" s="97"/>
      <c r="BB102" s="97"/>
      <c r="BC102" s="97"/>
      <c r="BD102" s="98"/>
      <c r="BE102" s="97"/>
      <c r="BF102" s="97"/>
      <c r="BG102" s="97"/>
      <c r="BH102" s="97"/>
      <c r="CJ102" s="1"/>
    </row>
    <row r="103" spans="19:88" s="17" customFormat="1" ht="22.5" customHeight="1" x14ac:dyDescent="0.25">
      <c r="S103" s="1"/>
      <c r="V103" s="99"/>
      <c r="W103" s="99"/>
      <c r="AF103" s="1"/>
      <c r="AN103" s="1"/>
      <c r="AV103" s="1"/>
      <c r="AW103" s="97"/>
      <c r="AX103" s="97"/>
      <c r="AY103" s="97"/>
      <c r="AZ103" s="97"/>
      <c r="BA103" s="97"/>
      <c r="BB103" s="97"/>
      <c r="BC103" s="97"/>
      <c r="BD103" s="98"/>
      <c r="BE103" s="97"/>
      <c r="BF103" s="97"/>
      <c r="BG103" s="97"/>
      <c r="BH103" s="97"/>
      <c r="CJ103" s="1"/>
    </row>
    <row r="104" spans="19:88" s="17" customFormat="1" ht="22.5" customHeight="1" x14ac:dyDescent="0.25">
      <c r="S104" s="1"/>
      <c r="V104" s="99"/>
      <c r="W104" s="99"/>
      <c r="AF104" s="1"/>
      <c r="AN104" s="1"/>
      <c r="AV104" s="1"/>
      <c r="AW104" s="97"/>
      <c r="AX104" s="97"/>
      <c r="AY104" s="97"/>
      <c r="AZ104" s="97"/>
      <c r="BA104" s="97"/>
      <c r="BB104" s="97"/>
      <c r="BC104" s="97"/>
      <c r="BD104" s="98"/>
      <c r="BE104" s="97"/>
      <c r="BF104" s="97"/>
      <c r="BG104" s="97"/>
      <c r="BH104" s="97"/>
      <c r="CJ104" s="1"/>
    </row>
    <row r="105" spans="19:88" s="17" customFormat="1" ht="22.5" customHeight="1" x14ac:dyDescent="0.25">
      <c r="S105" s="1"/>
      <c r="V105" s="99"/>
      <c r="W105" s="99"/>
      <c r="AF105" s="1"/>
      <c r="AN105" s="1"/>
      <c r="AV105" s="1"/>
      <c r="AW105" s="97"/>
      <c r="AX105" s="97"/>
      <c r="AY105" s="97"/>
      <c r="AZ105" s="97"/>
      <c r="BA105" s="97"/>
      <c r="BB105" s="97"/>
      <c r="BC105" s="97"/>
      <c r="BD105" s="98"/>
      <c r="BE105" s="97"/>
      <c r="BF105" s="97"/>
      <c r="BG105" s="97"/>
      <c r="BH105" s="97"/>
      <c r="CJ105" s="1"/>
    </row>
    <row r="106" spans="19:88" s="17" customFormat="1" ht="22.5" customHeight="1" x14ac:dyDescent="0.25">
      <c r="S106" s="1"/>
      <c r="V106" s="99"/>
      <c r="W106" s="99"/>
      <c r="AF106" s="1"/>
      <c r="AN106" s="1"/>
      <c r="AV106" s="1"/>
      <c r="AW106" s="97"/>
      <c r="AX106" s="97"/>
      <c r="AY106" s="97"/>
      <c r="AZ106" s="97"/>
      <c r="BA106" s="97"/>
      <c r="BB106" s="97"/>
      <c r="BC106" s="97"/>
      <c r="BD106" s="98"/>
      <c r="BE106" s="97"/>
      <c r="BF106" s="97"/>
      <c r="BG106" s="97"/>
      <c r="BH106" s="97"/>
      <c r="CJ106" s="1"/>
    </row>
    <row r="107" spans="19:88" s="17" customFormat="1" ht="22.5" customHeight="1" x14ac:dyDescent="0.25">
      <c r="S107" s="1"/>
      <c r="V107" s="99"/>
      <c r="W107" s="99"/>
      <c r="AF107" s="1"/>
      <c r="AN107" s="1"/>
      <c r="AV107" s="1"/>
      <c r="AW107" s="97"/>
      <c r="AX107" s="97"/>
      <c r="AY107" s="97"/>
      <c r="AZ107" s="97"/>
      <c r="BA107" s="97"/>
      <c r="BB107" s="97"/>
      <c r="BC107" s="97"/>
      <c r="BD107" s="98"/>
      <c r="BE107" s="97"/>
      <c r="BF107" s="97"/>
      <c r="BG107" s="97"/>
      <c r="BH107" s="97"/>
      <c r="CJ107" s="1"/>
    </row>
    <row r="108" spans="19:88" s="17" customFormat="1" ht="22.5" customHeight="1" x14ac:dyDescent="0.25">
      <c r="S108" s="1"/>
      <c r="V108" s="99"/>
      <c r="W108" s="99"/>
      <c r="AF108" s="1"/>
      <c r="AN108" s="1"/>
      <c r="AV108" s="1"/>
      <c r="AW108" s="97"/>
      <c r="AX108" s="97"/>
      <c r="AY108" s="97"/>
      <c r="AZ108" s="97"/>
      <c r="BA108" s="97"/>
      <c r="BB108" s="97"/>
      <c r="BC108" s="97"/>
      <c r="BD108" s="98"/>
      <c r="BE108" s="97"/>
      <c r="BF108" s="97"/>
      <c r="BG108" s="97"/>
      <c r="BH108" s="97"/>
      <c r="CJ108" s="1"/>
    </row>
    <row r="109" spans="19:88" s="17" customFormat="1" ht="22.5" customHeight="1" x14ac:dyDescent="0.25">
      <c r="S109" s="1"/>
      <c r="V109" s="99"/>
      <c r="W109" s="99"/>
      <c r="AF109" s="1"/>
      <c r="AN109" s="1"/>
      <c r="AV109" s="1"/>
      <c r="AW109" s="97"/>
      <c r="AX109" s="97"/>
      <c r="AY109" s="97"/>
      <c r="AZ109" s="97"/>
      <c r="BA109" s="97"/>
      <c r="BB109" s="97"/>
      <c r="BC109" s="97"/>
      <c r="BD109" s="98"/>
      <c r="BE109" s="97"/>
      <c r="BF109" s="97"/>
      <c r="BG109" s="97"/>
      <c r="BH109" s="97"/>
      <c r="CJ109" s="1"/>
    </row>
    <row r="110" spans="19:88" s="17" customFormat="1" ht="22.5" customHeight="1" x14ac:dyDescent="0.25">
      <c r="S110" s="1"/>
      <c r="V110" s="99"/>
      <c r="W110" s="99"/>
      <c r="AF110" s="1"/>
      <c r="AN110" s="1"/>
      <c r="AV110" s="1"/>
      <c r="AW110" s="97"/>
      <c r="AX110" s="97"/>
      <c r="AY110" s="97"/>
      <c r="AZ110" s="97"/>
      <c r="BA110" s="97"/>
      <c r="BB110" s="97"/>
      <c r="BC110" s="97"/>
      <c r="BD110" s="98"/>
      <c r="BE110" s="97"/>
      <c r="BF110" s="97"/>
      <c r="BG110" s="97"/>
      <c r="BH110" s="97"/>
      <c r="CJ110" s="1"/>
    </row>
    <row r="111" spans="19:88" s="17" customFormat="1" ht="22.5" customHeight="1" x14ac:dyDescent="0.25">
      <c r="S111" s="1"/>
      <c r="V111" s="99"/>
      <c r="W111" s="99"/>
      <c r="AF111" s="1"/>
      <c r="AN111" s="1"/>
      <c r="AV111" s="1"/>
      <c r="AW111" s="97"/>
      <c r="AX111" s="97"/>
      <c r="AY111" s="97"/>
      <c r="AZ111" s="97"/>
      <c r="BA111" s="97"/>
      <c r="BB111" s="97"/>
      <c r="BC111" s="97"/>
      <c r="BD111" s="98"/>
      <c r="BE111" s="97"/>
      <c r="BF111" s="97"/>
      <c r="BG111" s="97"/>
      <c r="BH111" s="97"/>
      <c r="CJ111" s="1"/>
    </row>
    <row r="112" spans="19:88" s="17" customFormat="1" ht="22.5" customHeight="1" x14ac:dyDescent="0.25">
      <c r="S112" s="1"/>
      <c r="V112" s="99"/>
      <c r="W112" s="99"/>
      <c r="AF112" s="1"/>
      <c r="AN112" s="1"/>
      <c r="AV112" s="1"/>
      <c r="AW112" s="97"/>
      <c r="AX112" s="97"/>
      <c r="AY112" s="97"/>
      <c r="AZ112" s="97"/>
      <c r="BA112" s="97"/>
      <c r="BB112" s="97"/>
      <c r="BC112" s="97"/>
      <c r="BD112" s="98"/>
      <c r="BE112" s="97"/>
      <c r="BF112" s="97"/>
      <c r="BG112" s="97"/>
      <c r="BH112" s="97"/>
      <c r="CJ112" s="1"/>
    </row>
    <row r="113" spans="19:88" s="17" customFormat="1" ht="22.5" customHeight="1" x14ac:dyDescent="0.25">
      <c r="S113" s="1"/>
      <c r="V113" s="99"/>
      <c r="W113" s="99"/>
      <c r="AF113" s="1"/>
      <c r="AN113" s="1"/>
      <c r="AV113" s="1"/>
      <c r="AW113" s="97"/>
      <c r="AX113" s="97"/>
      <c r="AY113" s="97"/>
      <c r="AZ113" s="97"/>
      <c r="BA113" s="97"/>
      <c r="BB113" s="97"/>
      <c r="BC113" s="97"/>
      <c r="BD113" s="98"/>
      <c r="BE113" s="97"/>
      <c r="BF113" s="97"/>
      <c r="BG113" s="97"/>
      <c r="BH113" s="97"/>
      <c r="CJ113" s="1"/>
    </row>
    <row r="114" spans="19:88" s="17" customFormat="1" ht="22.5" customHeight="1" x14ac:dyDescent="0.25">
      <c r="S114" s="1"/>
      <c r="V114" s="99"/>
      <c r="W114" s="99"/>
      <c r="AF114" s="1"/>
      <c r="AN114" s="1"/>
      <c r="AV114" s="1"/>
      <c r="AW114" s="97"/>
      <c r="AX114" s="97"/>
      <c r="AY114" s="97"/>
      <c r="AZ114" s="97"/>
      <c r="BA114" s="97"/>
      <c r="BB114" s="97"/>
      <c r="BC114" s="97"/>
      <c r="BD114" s="98"/>
      <c r="BE114" s="97"/>
      <c r="BF114" s="97"/>
      <c r="BG114" s="97"/>
      <c r="BH114" s="97"/>
      <c r="CJ114" s="1"/>
    </row>
    <row r="115" spans="19:88" s="17" customFormat="1" ht="22.5" customHeight="1" x14ac:dyDescent="0.25">
      <c r="S115" s="1"/>
      <c r="V115" s="99"/>
      <c r="W115" s="99"/>
      <c r="AF115" s="1"/>
      <c r="AN115" s="1"/>
      <c r="AV115" s="1"/>
      <c r="AW115" s="97"/>
      <c r="AX115" s="97"/>
      <c r="AY115" s="97"/>
      <c r="AZ115" s="97"/>
      <c r="BA115" s="97"/>
      <c r="BB115" s="97"/>
      <c r="BC115" s="97"/>
      <c r="BD115" s="98"/>
      <c r="BE115" s="97"/>
      <c r="BF115" s="97"/>
      <c r="BG115" s="97"/>
      <c r="BH115" s="97"/>
      <c r="CJ115" s="1"/>
    </row>
    <row r="116" spans="19:88" s="17" customFormat="1" ht="22.5" customHeight="1" x14ac:dyDescent="0.25">
      <c r="S116" s="1"/>
      <c r="V116" s="99"/>
      <c r="W116" s="99"/>
      <c r="AF116" s="1"/>
      <c r="AN116" s="1"/>
      <c r="AV116" s="1"/>
      <c r="AW116" s="97"/>
      <c r="AX116" s="97"/>
      <c r="AY116" s="97"/>
      <c r="AZ116" s="97"/>
      <c r="BA116" s="97"/>
      <c r="BB116" s="97"/>
      <c r="BC116" s="97"/>
      <c r="BD116" s="98"/>
      <c r="BE116" s="97"/>
      <c r="BF116" s="97"/>
      <c r="BG116" s="97"/>
      <c r="BH116" s="97"/>
      <c r="CJ116" s="1"/>
    </row>
    <row r="117" spans="19:88" s="17" customFormat="1" ht="22.5" customHeight="1" x14ac:dyDescent="0.25">
      <c r="S117" s="1"/>
      <c r="V117" s="99"/>
      <c r="W117" s="99"/>
      <c r="AF117" s="1"/>
      <c r="AN117" s="1"/>
      <c r="AV117" s="1"/>
      <c r="AW117" s="97"/>
      <c r="AX117" s="97"/>
      <c r="AY117" s="97"/>
      <c r="AZ117" s="97"/>
      <c r="BA117" s="97"/>
      <c r="BB117" s="97"/>
      <c r="BC117" s="97"/>
      <c r="BD117" s="98"/>
      <c r="BE117" s="97"/>
      <c r="BF117" s="97"/>
      <c r="BG117" s="97"/>
      <c r="BH117" s="97"/>
      <c r="CJ117" s="1"/>
    </row>
    <row r="118" spans="19:88" s="17" customFormat="1" ht="22.5" customHeight="1" x14ac:dyDescent="0.25">
      <c r="S118" s="1"/>
      <c r="V118" s="99"/>
      <c r="W118" s="99"/>
      <c r="AF118" s="1"/>
      <c r="AN118" s="1"/>
      <c r="AV118" s="1"/>
      <c r="AW118" s="97"/>
      <c r="AX118" s="97"/>
      <c r="AY118" s="97"/>
      <c r="AZ118" s="97"/>
      <c r="BA118" s="97"/>
      <c r="BB118" s="97"/>
      <c r="BC118" s="97"/>
      <c r="BD118" s="98"/>
      <c r="BE118" s="97"/>
      <c r="BF118" s="97"/>
      <c r="BG118" s="97"/>
      <c r="BH118" s="97"/>
      <c r="CJ118" s="1"/>
    </row>
    <row r="119" spans="19:88" s="17" customFormat="1" ht="22.5" customHeight="1" x14ac:dyDescent="0.25">
      <c r="S119" s="1"/>
      <c r="V119" s="99"/>
      <c r="W119" s="99"/>
      <c r="AF119" s="1"/>
      <c r="AN119" s="1"/>
      <c r="AV119" s="1"/>
      <c r="AW119" s="97"/>
      <c r="AX119" s="97"/>
      <c r="AY119" s="97"/>
      <c r="AZ119" s="97"/>
      <c r="BA119" s="97"/>
      <c r="BB119" s="97"/>
      <c r="BC119" s="97"/>
      <c r="BD119" s="98"/>
      <c r="BE119" s="97"/>
      <c r="BF119" s="97"/>
      <c r="BG119" s="97"/>
      <c r="BH119" s="97"/>
      <c r="CJ119" s="1"/>
    </row>
    <row r="120" spans="19:88" s="17" customFormat="1" ht="22.5" customHeight="1" x14ac:dyDescent="0.25">
      <c r="S120" s="1"/>
      <c r="V120" s="99"/>
      <c r="W120" s="99"/>
      <c r="AF120" s="1"/>
      <c r="AN120" s="1"/>
      <c r="AV120" s="1"/>
      <c r="AW120" s="97"/>
      <c r="AX120" s="97"/>
      <c r="AY120" s="97"/>
      <c r="AZ120" s="97"/>
      <c r="BA120" s="97"/>
      <c r="BB120" s="97"/>
      <c r="BC120" s="97"/>
      <c r="BD120" s="98"/>
      <c r="BE120" s="97"/>
      <c r="BF120" s="97"/>
      <c r="BG120" s="97"/>
      <c r="BH120" s="97"/>
      <c r="CJ120" s="1"/>
    </row>
    <row r="121" spans="19:88" s="17" customFormat="1" ht="22.5" customHeight="1" x14ac:dyDescent="0.25">
      <c r="S121" s="1"/>
      <c r="V121" s="99"/>
      <c r="W121" s="99"/>
      <c r="AF121" s="1"/>
      <c r="AN121" s="1"/>
      <c r="AV121" s="1"/>
      <c r="AW121" s="97"/>
      <c r="AX121" s="97"/>
      <c r="AY121" s="97"/>
      <c r="AZ121" s="97"/>
      <c r="BA121" s="97"/>
      <c r="BB121" s="97"/>
      <c r="BC121" s="97"/>
      <c r="BD121" s="98"/>
      <c r="BE121" s="97"/>
      <c r="BF121" s="97"/>
      <c r="BG121" s="97"/>
      <c r="BH121" s="97"/>
      <c r="CJ121" s="1"/>
    </row>
    <row r="122" spans="19:88" s="17" customFormat="1" ht="22.5" customHeight="1" x14ac:dyDescent="0.25">
      <c r="S122" s="1"/>
      <c r="V122" s="99"/>
      <c r="W122" s="99"/>
      <c r="AF122" s="1"/>
      <c r="AN122" s="1"/>
      <c r="AV122" s="1"/>
      <c r="AW122" s="97"/>
      <c r="AX122" s="97"/>
      <c r="AY122" s="97"/>
      <c r="AZ122" s="97"/>
      <c r="BA122" s="97"/>
      <c r="BB122" s="97"/>
      <c r="BC122" s="97"/>
      <c r="BD122" s="98"/>
      <c r="BE122" s="97"/>
      <c r="BF122" s="97"/>
      <c r="BG122" s="97"/>
      <c r="BH122" s="97"/>
      <c r="CJ122" s="1"/>
    </row>
    <row r="123" spans="19:88" s="17" customFormat="1" ht="22.5" customHeight="1" x14ac:dyDescent="0.25">
      <c r="S123" s="1"/>
      <c r="V123" s="99"/>
      <c r="W123" s="99"/>
      <c r="AF123" s="1"/>
      <c r="AN123" s="1"/>
      <c r="AV123" s="1"/>
      <c r="AW123" s="97"/>
      <c r="AX123" s="97"/>
      <c r="AY123" s="97"/>
      <c r="AZ123" s="97"/>
      <c r="BA123" s="97"/>
      <c r="BB123" s="97"/>
      <c r="BC123" s="97"/>
      <c r="BD123" s="98"/>
      <c r="BE123" s="97"/>
      <c r="BF123" s="97"/>
      <c r="BG123" s="97"/>
      <c r="BH123" s="97"/>
      <c r="CJ123" s="1"/>
    </row>
    <row r="124" spans="19:88" s="17" customFormat="1" ht="22.5" customHeight="1" x14ac:dyDescent="0.25">
      <c r="S124" s="1"/>
      <c r="V124" s="99"/>
      <c r="W124" s="99"/>
      <c r="AF124" s="1"/>
      <c r="AN124" s="1"/>
      <c r="AV124" s="1"/>
      <c r="AW124" s="97"/>
      <c r="AX124" s="97"/>
      <c r="AY124" s="97"/>
      <c r="AZ124" s="97"/>
      <c r="BA124" s="97"/>
      <c r="BB124" s="97"/>
      <c r="BC124" s="97"/>
      <c r="BD124" s="98"/>
      <c r="BE124" s="97"/>
      <c r="BF124" s="97"/>
      <c r="BG124" s="97"/>
      <c r="BH124" s="97"/>
      <c r="CJ124" s="1"/>
    </row>
    <row r="125" spans="19:88" s="17" customFormat="1" ht="22.5" customHeight="1" x14ac:dyDescent="0.25">
      <c r="S125" s="1"/>
      <c r="V125" s="99"/>
      <c r="W125" s="99"/>
      <c r="AF125" s="1"/>
      <c r="AN125" s="1"/>
      <c r="AV125" s="1"/>
      <c r="AW125" s="97"/>
      <c r="AX125" s="97"/>
      <c r="AY125" s="97"/>
      <c r="AZ125" s="97"/>
      <c r="BA125" s="97"/>
      <c r="BB125" s="97"/>
      <c r="BC125" s="97"/>
      <c r="BD125" s="98"/>
      <c r="BE125" s="97"/>
      <c r="BF125" s="97"/>
      <c r="BG125" s="97"/>
      <c r="BH125" s="97"/>
      <c r="CJ125" s="1"/>
    </row>
    <row r="126" spans="19:88" s="17" customFormat="1" ht="22.5" customHeight="1" x14ac:dyDescent="0.25">
      <c r="S126" s="1"/>
      <c r="V126" s="99"/>
      <c r="W126" s="99"/>
      <c r="AF126" s="1"/>
      <c r="AN126" s="1"/>
      <c r="AV126" s="1"/>
      <c r="AW126" s="97"/>
      <c r="AX126" s="97"/>
      <c r="AY126" s="97"/>
      <c r="AZ126" s="97"/>
      <c r="BA126" s="97"/>
      <c r="BB126" s="97"/>
      <c r="BC126" s="97"/>
      <c r="BD126" s="98"/>
      <c r="BE126" s="97"/>
      <c r="BF126" s="97"/>
      <c r="BG126" s="97"/>
      <c r="BH126" s="97"/>
      <c r="CJ126" s="1"/>
    </row>
    <row r="127" spans="19:88" s="17" customFormat="1" ht="22.5" customHeight="1" x14ac:dyDescent="0.25">
      <c r="S127" s="1"/>
      <c r="V127" s="99"/>
      <c r="W127" s="99"/>
      <c r="AF127" s="1"/>
      <c r="AN127" s="1"/>
      <c r="AV127" s="1"/>
      <c r="AW127" s="97"/>
      <c r="AX127" s="97"/>
      <c r="AY127" s="97"/>
      <c r="AZ127" s="97"/>
      <c r="BA127" s="97"/>
      <c r="BB127" s="97"/>
      <c r="BC127" s="97"/>
      <c r="BD127" s="98"/>
      <c r="BE127" s="97"/>
      <c r="BF127" s="97"/>
      <c r="BG127" s="97"/>
      <c r="BH127" s="97"/>
      <c r="CJ127" s="1"/>
    </row>
    <row r="128" spans="19:88" s="17" customFormat="1" ht="22.5" customHeight="1" x14ac:dyDescent="0.25">
      <c r="S128" s="1"/>
      <c r="V128" s="99"/>
      <c r="W128" s="99"/>
      <c r="AF128" s="1"/>
      <c r="AN128" s="1"/>
      <c r="AV128" s="1"/>
      <c r="AW128" s="97"/>
      <c r="AX128" s="97"/>
      <c r="AY128" s="97"/>
      <c r="AZ128" s="97"/>
      <c r="BA128" s="97"/>
      <c r="BB128" s="97"/>
      <c r="BC128" s="97"/>
      <c r="BD128" s="98"/>
      <c r="BE128" s="97"/>
      <c r="BF128" s="97"/>
      <c r="BG128" s="97"/>
      <c r="BH128" s="97"/>
      <c r="CJ128" s="1"/>
    </row>
    <row r="129" spans="19:88" s="17" customFormat="1" ht="22.5" customHeight="1" x14ac:dyDescent="0.25">
      <c r="S129" s="1"/>
      <c r="V129" s="99"/>
      <c r="W129" s="99"/>
      <c r="AF129" s="1"/>
      <c r="AN129" s="1"/>
      <c r="AV129" s="1"/>
      <c r="AW129" s="97"/>
      <c r="AX129" s="97"/>
      <c r="AY129" s="97"/>
      <c r="AZ129" s="97"/>
      <c r="BA129" s="97"/>
      <c r="BB129" s="97"/>
      <c r="BC129" s="97"/>
      <c r="BD129" s="98"/>
      <c r="BE129" s="97"/>
      <c r="BF129" s="97"/>
      <c r="BG129" s="97"/>
      <c r="BH129" s="97"/>
      <c r="CJ129" s="1"/>
    </row>
    <row r="130" spans="19:88" s="17" customFormat="1" ht="22.5" customHeight="1" x14ac:dyDescent="0.25">
      <c r="S130" s="1"/>
      <c r="V130" s="99"/>
      <c r="W130" s="99"/>
      <c r="AF130" s="1"/>
      <c r="AN130" s="1"/>
      <c r="AV130" s="1"/>
      <c r="AW130" s="97"/>
      <c r="AX130" s="97"/>
      <c r="AY130" s="97"/>
      <c r="AZ130" s="97"/>
      <c r="BA130" s="97"/>
      <c r="BB130" s="97"/>
      <c r="BC130" s="97"/>
      <c r="BD130" s="98"/>
      <c r="BE130" s="97"/>
      <c r="BF130" s="97"/>
      <c r="BG130" s="97"/>
      <c r="BH130" s="97"/>
      <c r="CJ130" s="1"/>
    </row>
    <row r="131" spans="19:88" s="17" customFormat="1" ht="22.5" customHeight="1" x14ac:dyDescent="0.25">
      <c r="S131" s="1"/>
      <c r="V131" s="99"/>
      <c r="W131" s="99"/>
      <c r="AF131" s="1"/>
      <c r="AN131" s="1"/>
      <c r="AV131" s="1"/>
      <c r="AW131" s="97"/>
      <c r="AX131" s="97"/>
      <c r="AY131" s="97"/>
      <c r="AZ131" s="97"/>
      <c r="BA131" s="97"/>
      <c r="BB131" s="97"/>
      <c r="BC131" s="97"/>
      <c r="BD131" s="98"/>
      <c r="BE131" s="97"/>
      <c r="BF131" s="97"/>
      <c r="BG131" s="97"/>
      <c r="BH131" s="97"/>
      <c r="CJ131" s="1"/>
    </row>
    <row r="132" spans="19:88" s="17" customFormat="1" ht="22.5" customHeight="1" x14ac:dyDescent="0.25">
      <c r="S132" s="1"/>
      <c r="V132" s="99"/>
      <c r="W132" s="99"/>
      <c r="AF132" s="1"/>
      <c r="AN132" s="1"/>
      <c r="AV132" s="1"/>
      <c r="AW132" s="97"/>
      <c r="AX132" s="97"/>
      <c r="AY132" s="97"/>
      <c r="AZ132" s="97"/>
      <c r="BA132" s="97"/>
      <c r="BB132" s="97"/>
      <c r="BC132" s="97"/>
      <c r="BD132" s="98"/>
      <c r="BE132" s="97"/>
      <c r="BF132" s="97"/>
      <c r="BG132" s="97"/>
      <c r="BH132" s="97"/>
      <c r="CJ132" s="1"/>
    </row>
    <row r="133" spans="19:88" s="17" customFormat="1" ht="22.5" customHeight="1" x14ac:dyDescent="0.25">
      <c r="S133" s="1"/>
      <c r="V133" s="99"/>
      <c r="W133" s="99"/>
      <c r="AF133" s="1"/>
      <c r="AN133" s="1"/>
      <c r="AV133" s="1"/>
      <c r="AW133" s="97"/>
      <c r="AX133" s="97"/>
      <c r="AY133" s="97"/>
      <c r="AZ133" s="97"/>
      <c r="BA133" s="97"/>
      <c r="BB133" s="97"/>
      <c r="BC133" s="97"/>
      <c r="BD133" s="98"/>
      <c r="BE133" s="97"/>
      <c r="BF133" s="97"/>
      <c r="BG133" s="97"/>
      <c r="BH133" s="97"/>
      <c r="CJ133" s="1"/>
    </row>
    <row r="134" spans="19:88" s="17" customFormat="1" ht="22.5" customHeight="1" x14ac:dyDescent="0.25">
      <c r="S134" s="1"/>
      <c r="V134" s="99"/>
      <c r="W134" s="99"/>
      <c r="AF134" s="1"/>
      <c r="AN134" s="1"/>
      <c r="AV134" s="1"/>
      <c r="AW134" s="97"/>
      <c r="AX134" s="97"/>
      <c r="AY134" s="97"/>
      <c r="AZ134" s="97"/>
      <c r="BA134" s="97"/>
      <c r="BB134" s="97"/>
      <c r="BC134" s="97"/>
      <c r="BD134" s="98"/>
      <c r="BE134" s="97"/>
      <c r="BF134" s="97"/>
      <c r="BG134" s="97"/>
      <c r="BH134" s="97"/>
      <c r="CJ134" s="1"/>
    </row>
    <row r="135" spans="19:88" s="17" customFormat="1" ht="22.5" customHeight="1" x14ac:dyDescent="0.25">
      <c r="S135" s="1"/>
      <c r="V135" s="99"/>
      <c r="W135" s="99"/>
      <c r="AF135" s="1"/>
      <c r="AN135" s="1"/>
      <c r="AV135" s="1"/>
      <c r="AW135" s="97"/>
      <c r="AX135" s="97"/>
      <c r="AY135" s="97"/>
      <c r="AZ135" s="97"/>
      <c r="BA135" s="97"/>
      <c r="BB135" s="97"/>
      <c r="BC135" s="97"/>
      <c r="BD135" s="98"/>
      <c r="BE135" s="97"/>
      <c r="BF135" s="97"/>
      <c r="BG135" s="97"/>
      <c r="BH135" s="97"/>
      <c r="CJ135" s="1"/>
    </row>
    <row r="136" spans="19:88" s="17" customFormat="1" ht="22.5" customHeight="1" x14ac:dyDescent="0.25">
      <c r="S136" s="1"/>
      <c r="V136" s="99"/>
      <c r="W136" s="99"/>
      <c r="AF136" s="1"/>
      <c r="AN136" s="1"/>
      <c r="AV136" s="1"/>
      <c r="AW136" s="97"/>
      <c r="AX136" s="97"/>
      <c r="AY136" s="97"/>
      <c r="AZ136" s="97"/>
      <c r="BA136" s="97"/>
      <c r="BB136" s="97"/>
      <c r="BC136" s="97"/>
      <c r="BD136" s="98"/>
      <c r="BE136" s="97"/>
      <c r="BF136" s="97"/>
      <c r="BG136" s="97"/>
      <c r="BH136" s="97"/>
      <c r="CJ136" s="1"/>
    </row>
    <row r="137" spans="19:88" s="17" customFormat="1" ht="22.5" customHeight="1" x14ac:dyDescent="0.25">
      <c r="S137" s="1"/>
      <c r="V137" s="99"/>
      <c r="W137" s="99"/>
      <c r="AF137" s="1"/>
      <c r="AN137" s="1"/>
      <c r="AV137" s="1"/>
      <c r="AW137" s="97"/>
      <c r="AX137" s="97"/>
      <c r="AY137" s="97"/>
      <c r="AZ137" s="97"/>
      <c r="BA137" s="97"/>
      <c r="BB137" s="97"/>
      <c r="BC137" s="97"/>
      <c r="BD137" s="98"/>
      <c r="BE137" s="97"/>
      <c r="BF137" s="97"/>
      <c r="BG137" s="97"/>
      <c r="BH137" s="97"/>
      <c r="CJ137" s="1"/>
    </row>
    <row r="138" spans="19:88" s="17" customFormat="1" ht="22.5" customHeight="1" x14ac:dyDescent="0.25">
      <c r="S138" s="1"/>
      <c r="V138" s="99"/>
      <c r="W138" s="99"/>
      <c r="AF138" s="1"/>
      <c r="AN138" s="1"/>
      <c r="AV138" s="1"/>
      <c r="AW138" s="97"/>
      <c r="AX138" s="97"/>
      <c r="AY138" s="97"/>
      <c r="AZ138" s="97"/>
      <c r="BA138" s="97"/>
      <c r="BB138" s="97"/>
      <c r="BC138" s="97"/>
      <c r="BD138" s="98"/>
      <c r="BE138" s="97"/>
      <c r="BF138" s="97"/>
      <c r="BG138" s="97"/>
      <c r="BH138" s="97"/>
      <c r="CJ138" s="1"/>
    </row>
    <row r="139" spans="19:88" s="17" customFormat="1" ht="22.5" customHeight="1" x14ac:dyDescent="0.25">
      <c r="S139" s="1"/>
      <c r="V139" s="99"/>
      <c r="W139" s="99"/>
      <c r="AF139" s="1"/>
      <c r="AN139" s="1"/>
      <c r="AV139" s="1"/>
      <c r="AW139" s="97"/>
      <c r="AX139" s="97"/>
      <c r="AY139" s="97"/>
      <c r="AZ139" s="97"/>
      <c r="BA139" s="97"/>
      <c r="BB139" s="97"/>
      <c r="BC139" s="97"/>
      <c r="BD139" s="98"/>
      <c r="BE139" s="97"/>
      <c r="BF139" s="97"/>
      <c r="BG139" s="97"/>
      <c r="BH139" s="97"/>
      <c r="CJ139" s="1"/>
    </row>
    <row r="140" spans="19:88" s="17" customFormat="1" ht="22.5" customHeight="1" x14ac:dyDescent="0.25">
      <c r="S140" s="1"/>
      <c r="V140" s="99"/>
      <c r="W140" s="99"/>
      <c r="AF140" s="1"/>
      <c r="AN140" s="1"/>
      <c r="AV140" s="1"/>
      <c r="AW140" s="97"/>
      <c r="AX140" s="97"/>
      <c r="AY140" s="97"/>
      <c r="AZ140" s="97"/>
      <c r="BA140" s="97"/>
      <c r="BB140" s="97"/>
      <c r="BC140" s="97"/>
      <c r="BD140" s="98"/>
      <c r="BE140" s="97"/>
      <c r="BF140" s="97"/>
      <c r="BG140" s="97"/>
      <c r="BH140" s="97"/>
      <c r="CJ140" s="1"/>
    </row>
    <row r="141" spans="19:88" s="17" customFormat="1" ht="22.5" customHeight="1" x14ac:dyDescent="0.25">
      <c r="S141" s="1"/>
      <c r="V141" s="99"/>
      <c r="W141" s="99"/>
      <c r="AF141" s="1"/>
      <c r="AN141" s="1"/>
      <c r="AV141" s="1"/>
      <c r="AW141" s="97"/>
      <c r="AX141" s="97"/>
      <c r="AY141" s="97"/>
      <c r="AZ141" s="97"/>
      <c r="BA141" s="97"/>
      <c r="BB141" s="97"/>
      <c r="BC141" s="97"/>
      <c r="BD141" s="98"/>
      <c r="BE141" s="97"/>
      <c r="BF141" s="97"/>
      <c r="BG141" s="97"/>
      <c r="BH141" s="97"/>
      <c r="CJ141" s="1"/>
    </row>
    <row r="142" spans="19:88" s="17" customFormat="1" ht="22.5" customHeight="1" x14ac:dyDescent="0.25">
      <c r="S142" s="1"/>
      <c r="V142" s="99"/>
      <c r="W142" s="99"/>
      <c r="AF142" s="1"/>
      <c r="AN142" s="1"/>
      <c r="AV142" s="1"/>
      <c r="AW142" s="97"/>
      <c r="AX142" s="97"/>
      <c r="AY142" s="97"/>
      <c r="AZ142" s="97"/>
      <c r="BA142" s="97"/>
      <c r="BB142" s="97"/>
      <c r="BC142" s="97"/>
      <c r="BD142" s="98"/>
      <c r="BE142" s="97"/>
      <c r="BF142" s="97"/>
      <c r="BG142" s="97"/>
      <c r="BH142" s="97"/>
      <c r="CJ142" s="1"/>
    </row>
    <row r="143" spans="19:88" s="17" customFormat="1" ht="22.5" customHeight="1" x14ac:dyDescent="0.25">
      <c r="S143" s="1"/>
      <c r="V143" s="99"/>
      <c r="W143" s="99"/>
      <c r="AF143" s="1"/>
      <c r="AN143" s="1"/>
      <c r="AV143" s="1"/>
      <c r="AW143" s="97"/>
      <c r="AX143" s="97"/>
      <c r="AY143" s="97"/>
      <c r="AZ143" s="97"/>
      <c r="BA143" s="97"/>
      <c r="BB143" s="97"/>
      <c r="BC143" s="97"/>
      <c r="BD143" s="98"/>
      <c r="BE143" s="97"/>
      <c r="BF143" s="97"/>
      <c r="BG143" s="97"/>
      <c r="BH143" s="97"/>
      <c r="CJ143" s="1"/>
    </row>
    <row r="144" spans="19:88" s="17" customFormat="1" ht="22.5" customHeight="1" x14ac:dyDescent="0.25">
      <c r="S144" s="1"/>
      <c r="V144" s="99"/>
      <c r="W144" s="99"/>
      <c r="AF144" s="1"/>
      <c r="AN144" s="1"/>
      <c r="AV144" s="1"/>
      <c r="AW144" s="97"/>
      <c r="AX144" s="97"/>
      <c r="AY144" s="97"/>
      <c r="AZ144" s="97"/>
      <c r="BA144" s="97"/>
      <c r="BB144" s="97"/>
      <c r="BC144" s="97"/>
      <c r="BD144" s="98"/>
      <c r="BE144" s="97"/>
      <c r="BF144" s="97"/>
      <c r="BG144" s="97"/>
      <c r="BH144" s="97"/>
      <c r="CJ144" s="1"/>
    </row>
    <row r="145" spans="19:88" s="17" customFormat="1" ht="22.5" customHeight="1" x14ac:dyDescent="0.25">
      <c r="S145" s="1"/>
      <c r="V145" s="99"/>
      <c r="W145" s="99"/>
      <c r="AF145" s="1"/>
      <c r="AN145" s="1"/>
      <c r="AV145" s="1"/>
      <c r="AW145" s="97"/>
      <c r="AX145" s="97"/>
      <c r="AY145" s="97"/>
      <c r="AZ145" s="97"/>
      <c r="BA145" s="97"/>
      <c r="BB145" s="97"/>
      <c r="BC145" s="97"/>
      <c r="BD145" s="98"/>
      <c r="BE145" s="97"/>
      <c r="BF145" s="97"/>
      <c r="BG145" s="97"/>
      <c r="BH145" s="97"/>
      <c r="CJ145" s="1"/>
    </row>
    <row r="146" spans="19:88" s="17" customFormat="1" ht="22.5" customHeight="1" x14ac:dyDescent="0.25">
      <c r="S146" s="1"/>
      <c r="V146" s="99"/>
      <c r="W146" s="99"/>
      <c r="AF146" s="1"/>
      <c r="AN146" s="1"/>
      <c r="AV146" s="1"/>
      <c r="AW146" s="97"/>
      <c r="AX146" s="97"/>
      <c r="AY146" s="97"/>
      <c r="AZ146" s="97"/>
      <c r="BA146" s="97"/>
      <c r="BB146" s="97"/>
      <c r="BC146" s="97"/>
      <c r="BD146" s="98"/>
      <c r="BE146" s="97"/>
      <c r="BF146" s="97"/>
      <c r="BG146" s="97"/>
      <c r="BH146" s="97"/>
      <c r="CJ146" s="1"/>
    </row>
    <row r="147" spans="19:88" s="17" customFormat="1" ht="22.5" customHeight="1" x14ac:dyDescent="0.25">
      <c r="S147" s="1"/>
      <c r="V147" s="99"/>
      <c r="W147" s="99"/>
      <c r="AF147" s="1"/>
      <c r="AN147" s="1"/>
      <c r="AV147" s="1"/>
      <c r="AW147" s="97"/>
      <c r="AX147" s="97"/>
      <c r="AY147" s="97"/>
      <c r="AZ147" s="97"/>
      <c r="BA147" s="97"/>
      <c r="BB147" s="97"/>
      <c r="BC147" s="97"/>
      <c r="BD147" s="98"/>
      <c r="BE147" s="97"/>
      <c r="BF147" s="97"/>
      <c r="BG147" s="97"/>
      <c r="BH147" s="97"/>
      <c r="CJ147" s="1"/>
    </row>
    <row r="148" spans="19:88" s="17" customFormat="1" ht="22.5" customHeight="1" x14ac:dyDescent="0.25">
      <c r="S148" s="1"/>
      <c r="V148" s="99"/>
      <c r="W148" s="99"/>
      <c r="AF148" s="1"/>
      <c r="AN148" s="1"/>
      <c r="AV148" s="1"/>
      <c r="AW148" s="97"/>
      <c r="AX148" s="97"/>
      <c r="AY148" s="97"/>
      <c r="AZ148" s="97"/>
      <c r="BA148" s="97"/>
      <c r="BB148" s="97"/>
      <c r="BC148" s="97"/>
      <c r="BD148" s="98"/>
      <c r="BE148" s="97"/>
      <c r="BF148" s="97"/>
      <c r="BG148" s="97"/>
      <c r="BH148" s="97"/>
      <c r="CJ148" s="1"/>
    </row>
    <row r="149" spans="19:88" s="17" customFormat="1" ht="22.5" customHeight="1" x14ac:dyDescent="0.25">
      <c r="S149" s="1"/>
      <c r="V149" s="99"/>
      <c r="W149" s="99"/>
      <c r="AF149" s="1"/>
      <c r="AN149" s="1"/>
      <c r="AV149" s="1"/>
      <c r="AW149" s="97"/>
      <c r="AX149" s="97"/>
      <c r="AY149" s="97"/>
      <c r="AZ149" s="97"/>
      <c r="BA149" s="97"/>
      <c r="BB149" s="97"/>
      <c r="BC149" s="97"/>
      <c r="BD149" s="98"/>
      <c r="BE149" s="97"/>
      <c r="BF149" s="97"/>
      <c r="BG149" s="97"/>
      <c r="BH149" s="97"/>
      <c r="CJ149" s="1"/>
    </row>
    <row r="150" spans="19:88" s="17" customFormat="1" ht="22.5" customHeight="1" x14ac:dyDescent="0.25">
      <c r="S150" s="1"/>
      <c r="V150" s="99"/>
      <c r="W150" s="99"/>
      <c r="AF150" s="1"/>
      <c r="AN150" s="1"/>
      <c r="AV150" s="1"/>
      <c r="AW150" s="97"/>
      <c r="AX150" s="97"/>
      <c r="AY150" s="97"/>
      <c r="AZ150" s="97"/>
      <c r="BA150" s="97"/>
      <c r="BB150" s="97"/>
      <c r="BC150" s="97"/>
      <c r="BD150" s="98"/>
      <c r="BE150" s="97"/>
      <c r="BF150" s="97"/>
      <c r="BG150" s="97"/>
      <c r="BH150" s="97"/>
      <c r="CJ150" s="1"/>
    </row>
    <row r="151" spans="19:88" s="17" customFormat="1" ht="22.5" customHeight="1" x14ac:dyDescent="0.25">
      <c r="S151" s="1"/>
      <c r="V151" s="99"/>
      <c r="W151" s="99"/>
      <c r="AF151" s="1"/>
      <c r="AN151" s="1"/>
      <c r="AV151" s="1"/>
      <c r="AW151" s="97"/>
      <c r="AX151" s="97"/>
      <c r="AY151" s="97"/>
      <c r="AZ151" s="97"/>
      <c r="BA151" s="97"/>
      <c r="BB151" s="97"/>
      <c r="BC151" s="97"/>
      <c r="BD151" s="98"/>
      <c r="BE151" s="97"/>
      <c r="BF151" s="97"/>
      <c r="BG151" s="97"/>
      <c r="BH151" s="97"/>
      <c r="CJ151" s="1"/>
    </row>
    <row r="152" spans="19:88" s="17" customFormat="1" ht="22.5" customHeight="1" x14ac:dyDescent="0.25">
      <c r="S152" s="1"/>
      <c r="V152" s="99"/>
      <c r="W152" s="99"/>
      <c r="AF152" s="1"/>
      <c r="AN152" s="1"/>
      <c r="AV152" s="1"/>
      <c r="AW152" s="97"/>
      <c r="AX152" s="97"/>
      <c r="AY152" s="97"/>
      <c r="AZ152" s="97"/>
      <c r="BA152" s="97"/>
      <c r="BB152" s="97"/>
      <c r="BC152" s="97"/>
      <c r="BD152" s="98"/>
      <c r="BE152" s="97"/>
      <c r="BF152" s="97"/>
      <c r="BG152" s="97"/>
      <c r="BH152" s="97"/>
      <c r="CJ152" s="1"/>
    </row>
    <row r="153" spans="19:88" s="17" customFormat="1" ht="22.5" customHeight="1" x14ac:dyDescent="0.25">
      <c r="S153" s="1"/>
      <c r="V153" s="99"/>
      <c r="W153" s="99"/>
      <c r="AF153" s="1"/>
      <c r="AN153" s="1"/>
      <c r="AV153" s="1"/>
      <c r="AW153" s="97"/>
      <c r="AX153" s="97"/>
      <c r="AY153" s="97"/>
      <c r="AZ153" s="97"/>
      <c r="BA153" s="97"/>
      <c r="BB153" s="97"/>
      <c r="BC153" s="97"/>
      <c r="BD153" s="98"/>
      <c r="BE153" s="97"/>
      <c r="BF153" s="97"/>
      <c r="BG153" s="97"/>
      <c r="BH153" s="97"/>
      <c r="CJ153" s="1"/>
    </row>
    <row r="154" spans="19:88" s="17" customFormat="1" ht="22.5" customHeight="1" x14ac:dyDescent="0.25">
      <c r="S154" s="1"/>
      <c r="V154" s="99"/>
      <c r="W154" s="99"/>
      <c r="AF154" s="1"/>
      <c r="AN154" s="1"/>
      <c r="AV154" s="1"/>
      <c r="AW154" s="97"/>
      <c r="AX154" s="97"/>
      <c r="AY154" s="97"/>
      <c r="AZ154" s="97"/>
      <c r="BA154" s="97"/>
      <c r="BB154" s="97"/>
      <c r="BC154" s="97"/>
      <c r="BD154" s="98"/>
      <c r="BE154" s="97"/>
      <c r="BF154" s="97"/>
      <c r="BG154" s="97"/>
      <c r="BH154" s="97"/>
      <c r="CJ154" s="1"/>
    </row>
    <row r="155" spans="19:88" s="17" customFormat="1" ht="22.5" customHeight="1" x14ac:dyDescent="0.25">
      <c r="S155" s="1"/>
      <c r="V155" s="99"/>
      <c r="W155" s="99"/>
      <c r="AF155" s="1"/>
      <c r="AN155" s="1"/>
      <c r="AV155" s="1"/>
      <c r="AW155" s="97"/>
      <c r="AX155" s="97"/>
      <c r="AY155" s="97"/>
      <c r="AZ155" s="97"/>
      <c r="BA155" s="97"/>
      <c r="BB155" s="97"/>
      <c r="BC155" s="97"/>
      <c r="BD155" s="98"/>
      <c r="BE155" s="97"/>
      <c r="BF155" s="97"/>
      <c r="BG155" s="97"/>
      <c r="BH155" s="97"/>
      <c r="CJ155" s="1"/>
    </row>
    <row r="156" spans="19:88" s="17" customFormat="1" ht="22.5" customHeight="1" x14ac:dyDescent="0.25">
      <c r="S156" s="1"/>
      <c r="V156" s="99"/>
      <c r="W156" s="99"/>
      <c r="AF156" s="1"/>
      <c r="AN156" s="1"/>
      <c r="AV156" s="1"/>
      <c r="AW156" s="97"/>
      <c r="AX156" s="97"/>
      <c r="AY156" s="97"/>
      <c r="AZ156" s="97"/>
      <c r="BA156" s="97"/>
      <c r="BB156" s="97"/>
      <c r="BC156" s="97"/>
      <c r="BD156" s="98"/>
      <c r="BE156" s="97"/>
      <c r="BF156" s="97"/>
      <c r="BG156" s="97"/>
      <c r="BH156" s="97"/>
      <c r="CJ156" s="1"/>
    </row>
    <row r="157" spans="19:88" s="17" customFormat="1" ht="22.5" customHeight="1" x14ac:dyDescent="0.25">
      <c r="S157" s="1"/>
      <c r="V157" s="99"/>
      <c r="W157" s="99"/>
      <c r="AF157" s="1"/>
      <c r="AN157" s="1"/>
      <c r="AV157" s="1"/>
      <c r="AW157" s="97"/>
      <c r="AX157" s="97"/>
      <c r="AY157" s="97"/>
      <c r="AZ157" s="97"/>
      <c r="BA157" s="97"/>
      <c r="BB157" s="97"/>
      <c r="BC157" s="97"/>
      <c r="BD157" s="98"/>
      <c r="BE157" s="97"/>
      <c r="BF157" s="97"/>
      <c r="BG157" s="97"/>
      <c r="BH157" s="97"/>
      <c r="CJ157" s="1"/>
    </row>
    <row r="158" spans="19:88" s="17" customFormat="1" ht="22.5" customHeight="1" x14ac:dyDescent="0.25">
      <c r="S158" s="1"/>
      <c r="V158" s="99"/>
      <c r="W158" s="99"/>
      <c r="AF158" s="1"/>
      <c r="AN158" s="1"/>
      <c r="AV158" s="1"/>
      <c r="AW158" s="97"/>
      <c r="AX158" s="97"/>
      <c r="AY158" s="97"/>
      <c r="AZ158" s="97"/>
      <c r="BA158" s="97"/>
      <c r="BB158" s="97"/>
      <c r="BC158" s="97"/>
      <c r="BD158" s="98"/>
      <c r="BE158" s="97"/>
      <c r="BF158" s="97"/>
      <c r="BG158" s="97"/>
      <c r="BH158" s="97"/>
      <c r="CJ158" s="1"/>
    </row>
    <row r="159" spans="19:88" s="17" customFormat="1" ht="22.5" customHeight="1" x14ac:dyDescent="0.25">
      <c r="S159" s="1"/>
      <c r="V159" s="99"/>
      <c r="W159" s="99"/>
      <c r="AF159" s="1"/>
      <c r="AN159" s="1"/>
      <c r="AV159" s="1"/>
      <c r="AW159" s="97"/>
      <c r="AX159" s="97"/>
      <c r="AY159" s="97"/>
      <c r="AZ159" s="97"/>
      <c r="BA159" s="97"/>
      <c r="BB159" s="97"/>
      <c r="BC159" s="97"/>
      <c r="BD159" s="98"/>
      <c r="BE159" s="97"/>
      <c r="BF159" s="97"/>
      <c r="BG159" s="97"/>
      <c r="BH159" s="97"/>
      <c r="CJ159" s="1"/>
    </row>
    <row r="160" spans="19:88" s="17" customFormat="1" ht="22.5" customHeight="1" x14ac:dyDescent="0.25">
      <c r="S160" s="1"/>
      <c r="V160" s="99"/>
      <c r="W160" s="99"/>
      <c r="AF160" s="1"/>
      <c r="AN160" s="1"/>
      <c r="AV160" s="1"/>
      <c r="AW160" s="97"/>
      <c r="AX160" s="97"/>
      <c r="AY160" s="97"/>
      <c r="AZ160" s="97"/>
      <c r="BA160" s="97"/>
      <c r="BB160" s="97"/>
      <c r="BC160" s="97"/>
      <c r="BD160" s="98"/>
      <c r="BE160" s="97"/>
      <c r="BF160" s="97"/>
      <c r="BG160" s="97"/>
      <c r="BH160" s="97"/>
      <c r="CJ160" s="1"/>
    </row>
    <row r="161" spans="19:88" s="17" customFormat="1" ht="22.5" customHeight="1" x14ac:dyDescent="0.25">
      <c r="S161" s="1"/>
      <c r="V161" s="99"/>
      <c r="W161" s="99"/>
      <c r="AF161" s="1"/>
      <c r="AN161" s="1"/>
      <c r="AV161" s="1"/>
      <c r="AW161" s="97"/>
      <c r="AX161" s="97"/>
      <c r="AY161" s="97"/>
      <c r="AZ161" s="97"/>
      <c r="BA161" s="97"/>
      <c r="BB161" s="97"/>
      <c r="BC161" s="97"/>
      <c r="BD161" s="98"/>
      <c r="BE161" s="97"/>
      <c r="BF161" s="97"/>
      <c r="BG161" s="97"/>
      <c r="BH161" s="97"/>
      <c r="CJ161" s="1"/>
    </row>
    <row r="162" spans="19:88" s="17" customFormat="1" ht="22.5" customHeight="1" x14ac:dyDescent="0.25">
      <c r="S162" s="1"/>
      <c r="V162" s="99"/>
      <c r="W162" s="99"/>
      <c r="AF162" s="1"/>
      <c r="AN162" s="1"/>
      <c r="AV162" s="1"/>
      <c r="AW162" s="97"/>
      <c r="AX162" s="97"/>
      <c r="AY162" s="97"/>
      <c r="AZ162" s="97"/>
      <c r="BA162" s="97"/>
      <c r="BB162" s="97"/>
      <c r="BC162" s="97"/>
      <c r="BD162" s="98"/>
      <c r="BE162" s="97"/>
      <c r="BF162" s="97"/>
      <c r="BG162" s="97"/>
      <c r="BH162" s="97"/>
      <c r="CJ162" s="1"/>
    </row>
    <row r="163" spans="19:88" s="17" customFormat="1" ht="22.5" customHeight="1" x14ac:dyDescent="0.25">
      <c r="S163" s="1"/>
      <c r="V163" s="99"/>
      <c r="W163" s="99"/>
      <c r="AF163" s="1"/>
      <c r="AN163" s="1"/>
      <c r="AV163" s="1"/>
      <c r="AW163" s="97"/>
      <c r="AX163" s="97"/>
      <c r="AY163" s="97"/>
      <c r="AZ163" s="97"/>
      <c r="BA163" s="97"/>
      <c r="BB163" s="97"/>
      <c r="BC163" s="97"/>
      <c r="BD163" s="98"/>
      <c r="BE163" s="97"/>
      <c r="BF163" s="97"/>
      <c r="BG163" s="97"/>
      <c r="BH163" s="97"/>
      <c r="CJ163" s="1"/>
    </row>
    <row r="164" spans="19:88" s="17" customFormat="1" ht="22.5" customHeight="1" x14ac:dyDescent="0.25">
      <c r="S164" s="1"/>
      <c r="V164" s="99"/>
      <c r="W164" s="99"/>
      <c r="AF164" s="1"/>
      <c r="AN164" s="1"/>
      <c r="AV164" s="1"/>
      <c r="AW164" s="97"/>
      <c r="AX164" s="97"/>
      <c r="AY164" s="97"/>
      <c r="AZ164" s="97"/>
      <c r="BA164" s="97"/>
      <c r="BB164" s="97"/>
      <c r="BC164" s="97"/>
      <c r="BD164" s="98"/>
      <c r="BE164" s="97"/>
      <c r="BF164" s="97"/>
      <c r="BG164" s="97"/>
      <c r="BH164" s="97"/>
      <c r="CJ164" s="1"/>
    </row>
    <row r="165" spans="19:88" s="17" customFormat="1" ht="22.5" customHeight="1" x14ac:dyDescent="0.25">
      <c r="S165" s="1"/>
      <c r="V165" s="99"/>
      <c r="W165" s="99"/>
      <c r="AF165" s="1"/>
      <c r="AN165" s="1"/>
      <c r="AV165" s="1"/>
      <c r="AW165" s="97"/>
      <c r="AX165" s="97"/>
      <c r="AY165" s="97"/>
      <c r="AZ165" s="97"/>
      <c r="BA165" s="97"/>
      <c r="BB165" s="97"/>
      <c r="BC165" s="97"/>
      <c r="BD165" s="98"/>
      <c r="BE165" s="97"/>
      <c r="BF165" s="97"/>
      <c r="BG165" s="97"/>
      <c r="BH165" s="97"/>
      <c r="CJ165" s="1"/>
    </row>
    <row r="166" spans="19:88" s="17" customFormat="1" ht="22.5" customHeight="1" x14ac:dyDescent="0.25">
      <c r="S166" s="1"/>
      <c r="V166" s="99"/>
      <c r="W166" s="99"/>
      <c r="AF166" s="1"/>
      <c r="AN166" s="1"/>
      <c r="AV166" s="1"/>
      <c r="AW166" s="97"/>
      <c r="AX166" s="97"/>
      <c r="AY166" s="97"/>
      <c r="AZ166" s="97"/>
      <c r="BA166" s="97"/>
      <c r="BB166" s="97"/>
      <c r="BC166" s="97"/>
      <c r="BD166" s="98"/>
      <c r="BE166" s="97"/>
      <c r="BF166" s="97"/>
      <c r="BG166" s="97"/>
      <c r="BH166" s="97"/>
      <c r="CJ166" s="1"/>
    </row>
    <row r="167" spans="19:88" s="17" customFormat="1" ht="22.5" customHeight="1" x14ac:dyDescent="0.25">
      <c r="S167" s="1"/>
      <c r="V167" s="99"/>
      <c r="W167" s="99"/>
      <c r="AF167" s="1"/>
      <c r="AN167" s="1"/>
      <c r="AV167" s="1"/>
      <c r="AW167" s="97"/>
      <c r="AX167" s="97"/>
      <c r="AY167" s="97"/>
      <c r="AZ167" s="97"/>
      <c r="BA167" s="97"/>
      <c r="BB167" s="97"/>
      <c r="BC167" s="97"/>
      <c r="BD167" s="98"/>
      <c r="BE167" s="97"/>
      <c r="BF167" s="97"/>
      <c r="BG167" s="97"/>
      <c r="BH167" s="97"/>
      <c r="CJ167" s="1"/>
    </row>
    <row r="168" spans="19:88" s="17" customFormat="1" ht="22.5" customHeight="1" x14ac:dyDescent="0.25">
      <c r="S168" s="1"/>
      <c r="V168" s="99"/>
      <c r="W168" s="99"/>
      <c r="AF168" s="1"/>
      <c r="AN168" s="1"/>
      <c r="AV168" s="1"/>
      <c r="AW168" s="97"/>
      <c r="AX168" s="97"/>
      <c r="AY168" s="97"/>
      <c r="AZ168" s="97"/>
      <c r="BA168" s="97"/>
      <c r="BB168" s="97"/>
      <c r="BC168" s="97"/>
      <c r="BD168" s="98"/>
      <c r="BE168" s="97"/>
      <c r="BF168" s="97"/>
      <c r="BG168" s="97"/>
      <c r="BH168" s="97"/>
      <c r="CJ168" s="1"/>
    </row>
    <row r="169" spans="19:88" s="17" customFormat="1" ht="22.5" customHeight="1" x14ac:dyDescent="0.25">
      <c r="S169" s="1"/>
      <c r="V169" s="99"/>
      <c r="W169" s="99"/>
      <c r="AF169" s="1"/>
      <c r="AN169" s="1"/>
      <c r="AV169" s="1"/>
      <c r="AW169" s="97"/>
      <c r="AX169" s="97"/>
      <c r="AY169" s="97"/>
      <c r="AZ169" s="97"/>
      <c r="BA169" s="97"/>
      <c r="BB169" s="97"/>
      <c r="BC169" s="97"/>
      <c r="BD169" s="98"/>
      <c r="BE169" s="97"/>
      <c r="BF169" s="97"/>
      <c r="BG169" s="97"/>
      <c r="BH169" s="97"/>
      <c r="CJ169" s="1"/>
    </row>
    <row r="170" spans="19:88" s="17" customFormat="1" ht="22.5" customHeight="1" x14ac:dyDescent="0.25">
      <c r="S170" s="1"/>
      <c r="V170" s="99"/>
      <c r="W170" s="99"/>
      <c r="AF170" s="1"/>
      <c r="AN170" s="1"/>
      <c r="AV170" s="1"/>
      <c r="AW170" s="97"/>
      <c r="AX170" s="97"/>
      <c r="AY170" s="97"/>
      <c r="AZ170" s="97"/>
      <c r="BA170" s="97"/>
      <c r="BB170" s="97"/>
      <c r="BC170" s="97"/>
      <c r="BD170" s="98"/>
      <c r="BE170" s="97"/>
      <c r="BF170" s="97"/>
      <c r="BG170" s="97"/>
      <c r="BH170" s="97"/>
      <c r="CJ170" s="1"/>
    </row>
    <row r="171" spans="19:88" s="17" customFormat="1" ht="22.5" customHeight="1" x14ac:dyDescent="0.25">
      <c r="S171" s="1"/>
      <c r="V171" s="99"/>
      <c r="W171" s="99"/>
      <c r="AF171" s="1"/>
      <c r="AN171" s="1"/>
      <c r="AV171" s="1"/>
      <c r="AW171" s="97"/>
      <c r="AX171" s="97"/>
      <c r="AY171" s="97"/>
      <c r="AZ171" s="97"/>
      <c r="BA171" s="97"/>
      <c r="BB171" s="97"/>
      <c r="BC171" s="97"/>
      <c r="BD171" s="98"/>
      <c r="BE171" s="97"/>
      <c r="BF171" s="97"/>
      <c r="BG171" s="97"/>
      <c r="BH171" s="97"/>
      <c r="CJ171" s="1"/>
    </row>
    <row r="172" spans="19:88" s="17" customFormat="1" ht="22.5" customHeight="1" x14ac:dyDescent="0.25">
      <c r="S172" s="1"/>
      <c r="V172" s="99"/>
      <c r="W172" s="99"/>
      <c r="AF172" s="1"/>
      <c r="AN172" s="1"/>
      <c r="AV172" s="1"/>
      <c r="AW172" s="97"/>
      <c r="AX172" s="97"/>
      <c r="AY172" s="97"/>
      <c r="AZ172" s="97"/>
      <c r="BA172" s="97"/>
      <c r="BB172" s="97"/>
      <c r="BC172" s="97"/>
      <c r="BD172" s="98"/>
      <c r="BE172" s="97"/>
      <c r="BF172" s="97"/>
      <c r="BG172" s="97"/>
      <c r="BH172" s="97"/>
      <c r="CJ172" s="1"/>
    </row>
    <row r="173" spans="19:88" s="17" customFormat="1" ht="22.5" customHeight="1" x14ac:dyDescent="0.25">
      <c r="S173" s="1"/>
      <c r="V173" s="99"/>
      <c r="W173" s="99"/>
      <c r="AF173" s="1"/>
      <c r="AN173" s="1"/>
      <c r="AV173" s="1"/>
      <c r="AW173" s="97"/>
      <c r="AX173" s="97"/>
      <c r="AY173" s="97"/>
      <c r="AZ173" s="97"/>
      <c r="BA173" s="97"/>
      <c r="BB173" s="97"/>
      <c r="BC173" s="97"/>
      <c r="BD173" s="98"/>
      <c r="BE173" s="97"/>
      <c r="BF173" s="97"/>
      <c r="BG173" s="97"/>
      <c r="BH173" s="97"/>
      <c r="CJ173" s="1"/>
    </row>
    <row r="174" spans="19:88" s="17" customFormat="1" ht="22.5" customHeight="1" x14ac:dyDescent="0.25">
      <c r="S174" s="1"/>
      <c r="V174" s="99"/>
      <c r="W174" s="99"/>
      <c r="AF174" s="1"/>
      <c r="AN174" s="1"/>
      <c r="AV174" s="1"/>
      <c r="AW174" s="97"/>
      <c r="AX174" s="97"/>
      <c r="AY174" s="97"/>
      <c r="AZ174" s="97"/>
      <c r="BA174" s="97"/>
      <c r="BB174" s="97"/>
      <c r="BC174" s="97"/>
      <c r="BD174" s="98"/>
      <c r="BE174" s="97"/>
      <c r="BF174" s="97"/>
      <c r="BG174" s="97"/>
      <c r="BH174" s="97"/>
      <c r="CJ174" s="1"/>
    </row>
    <row r="175" spans="19:88" s="17" customFormat="1" ht="22.5" customHeight="1" x14ac:dyDescent="0.25">
      <c r="S175" s="1"/>
      <c r="V175" s="99"/>
      <c r="W175" s="99"/>
      <c r="AF175" s="1"/>
      <c r="AN175" s="1"/>
      <c r="AV175" s="1"/>
      <c r="AW175" s="97"/>
      <c r="AX175" s="97"/>
      <c r="AY175" s="97"/>
      <c r="AZ175" s="97"/>
      <c r="BA175" s="97"/>
      <c r="BB175" s="97"/>
      <c r="BC175" s="97"/>
      <c r="BD175" s="98"/>
      <c r="BE175" s="97"/>
      <c r="BF175" s="97"/>
      <c r="BG175" s="97"/>
      <c r="BH175" s="97"/>
      <c r="CJ175" s="1"/>
    </row>
    <row r="176" spans="19:88" s="17" customFormat="1" ht="22.5" customHeight="1" x14ac:dyDescent="0.25">
      <c r="S176" s="1"/>
      <c r="V176" s="99"/>
      <c r="W176" s="99"/>
      <c r="AF176" s="1"/>
      <c r="AN176" s="1"/>
      <c r="AV176" s="1"/>
      <c r="AW176" s="97"/>
      <c r="AX176" s="97"/>
      <c r="AY176" s="97"/>
      <c r="AZ176" s="97"/>
      <c r="BA176" s="97"/>
      <c r="BB176" s="97"/>
      <c r="BC176" s="97"/>
      <c r="BD176" s="98"/>
      <c r="BE176" s="97"/>
      <c r="BF176" s="97"/>
      <c r="BG176" s="97"/>
      <c r="BH176" s="97"/>
      <c r="CJ176" s="1"/>
    </row>
    <row r="177" spans="19:88" s="17" customFormat="1" ht="22.5" customHeight="1" x14ac:dyDescent="0.25">
      <c r="S177" s="1"/>
      <c r="V177" s="99"/>
      <c r="W177" s="99"/>
      <c r="AF177" s="1"/>
      <c r="AN177" s="1"/>
      <c r="AV177" s="1"/>
      <c r="AW177" s="97"/>
      <c r="AX177" s="97"/>
      <c r="AY177" s="97"/>
      <c r="AZ177" s="97"/>
      <c r="BA177" s="97"/>
      <c r="BB177" s="97"/>
      <c r="BC177" s="97"/>
      <c r="BD177" s="98"/>
      <c r="BE177" s="97"/>
      <c r="BF177" s="97"/>
      <c r="BG177" s="97"/>
      <c r="BH177" s="97"/>
      <c r="CJ177" s="1"/>
    </row>
    <row r="178" spans="19:88" s="17" customFormat="1" ht="22.5" customHeight="1" x14ac:dyDescent="0.25">
      <c r="S178" s="1"/>
      <c r="V178" s="99"/>
      <c r="W178" s="99"/>
      <c r="AF178" s="1"/>
      <c r="AN178" s="1"/>
      <c r="AV178" s="1"/>
      <c r="AW178" s="97"/>
      <c r="AX178" s="97"/>
      <c r="AY178" s="97"/>
      <c r="AZ178" s="97"/>
      <c r="BA178" s="97"/>
      <c r="BB178" s="97"/>
      <c r="BC178" s="97"/>
      <c r="BD178" s="98"/>
      <c r="BE178" s="97"/>
      <c r="BF178" s="97"/>
      <c r="BG178" s="97"/>
      <c r="BH178" s="97"/>
      <c r="CJ178" s="1"/>
    </row>
    <row r="179" spans="19:88" s="17" customFormat="1" ht="22.5" customHeight="1" x14ac:dyDescent="0.25">
      <c r="S179" s="1"/>
      <c r="V179" s="99"/>
      <c r="W179" s="99"/>
      <c r="AF179" s="1"/>
      <c r="AN179" s="1"/>
      <c r="AV179" s="1"/>
      <c r="AW179" s="97"/>
      <c r="AX179" s="97"/>
      <c r="AY179" s="97"/>
      <c r="AZ179" s="97"/>
      <c r="BA179" s="97"/>
      <c r="BB179" s="97"/>
      <c r="BC179" s="97"/>
      <c r="BD179" s="98"/>
      <c r="BE179" s="97"/>
      <c r="BF179" s="97"/>
      <c r="BG179" s="97"/>
      <c r="BH179" s="97"/>
      <c r="CJ179" s="1"/>
    </row>
    <row r="180" spans="19:88" s="17" customFormat="1" ht="22.5" customHeight="1" x14ac:dyDescent="0.25">
      <c r="S180" s="1"/>
      <c r="V180" s="99"/>
      <c r="W180" s="99"/>
      <c r="AF180" s="1"/>
      <c r="AN180" s="1"/>
      <c r="AV180" s="1"/>
      <c r="AW180" s="97"/>
      <c r="AX180" s="97"/>
      <c r="AY180" s="97"/>
      <c r="AZ180" s="97"/>
      <c r="BA180" s="97"/>
      <c r="BB180" s="97"/>
      <c r="BC180" s="97"/>
      <c r="BD180" s="98"/>
      <c r="BE180" s="97"/>
      <c r="BF180" s="97"/>
      <c r="BG180" s="97"/>
      <c r="BH180" s="97"/>
      <c r="CJ180" s="1"/>
    </row>
    <row r="181" spans="19:88" s="17" customFormat="1" ht="22.5" customHeight="1" x14ac:dyDescent="0.25">
      <c r="S181" s="1"/>
      <c r="V181" s="99"/>
      <c r="W181" s="99"/>
      <c r="AF181" s="1"/>
      <c r="AN181" s="1"/>
      <c r="AV181" s="1"/>
      <c r="AW181" s="97"/>
      <c r="AX181" s="97"/>
      <c r="AY181" s="97"/>
      <c r="AZ181" s="97"/>
      <c r="BA181" s="97"/>
      <c r="BB181" s="97"/>
      <c r="BC181" s="97"/>
      <c r="BD181" s="98"/>
      <c r="BE181" s="97"/>
      <c r="BF181" s="97"/>
      <c r="BG181" s="97"/>
      <c r="BH181" s="97"/>
      <c r="CJ181" s="1"/>
    </row>
    <row r="182" spans="19:88" s="17" customFormat="1" ht="22.5" customHeight="1" x14ac:dyDescent="0.25">
      <c r="S182" s="1"/>
      <c r="V182" s="99"/>
      <c r="W182" s="99"/>
      <c r="AF182" s="1"/>
      <c r="AN182" s="1"/>
      <c r="AV182" s="1"/>
      <c r="AW182" s="97"/>
      <c r="AX182" s="97"/>
      <c r="AY182" s="97"/>
      <c r="AZ182" s="97"/>
      <c r="BA182" s="97"/>
      <c r="BB182" s="97"/>
      <c r="BC182" s="97"/>
      <c r="BD182" s="98"/>
      <c r="BE182" s="97"/>
      <c r="BF182" s="97"/>
      <c r="BG182" s="97"/>
      <c r="BH182" s="97"/>
      <c r="CJ182" s="1"/>
    </row>
    <row r="183" spans="19:88" s="17" customFormat="1" ht="22.5" customHeight="1" x14ac:dyDescent="0.25">
      <c r="S183" s="1"/>
      <c r="V183" s="99"/>
      <c r="W183" s="99"/>
      <c r="AF183" s="1"/>
      <c r="AN183" s="1"/>
      <c r="AV183" s="1"/>
      <c r="AW183" s="97"/>
      <c r="AX183" s="97"/>
      <c r="AY183" s="97"/>
      <c r="AZ183" s="97"/>
      <c r="BA183" s="97"/>
      <c r="BB183" s="97"/>
      <c r="BC183" s="97"/>
      <c r="BD183" s="98"/>
      <c r="BE183" s="97"/>
      <c r="BF183" s="97"/>
      <c r="BG183" s="97"/>
      <c r="BH183" s="97"/>
      <c r="CJ183" s="1"/>
    </row>
    <row r="184" spans="19:88" s="17" customFormat="1" ht="22.5" customHeight="1" x14ac:dyDescent="0.25">
      <c r="S184" s="1"/>
      <c r="V184" s="99"/>
      <c r="W184" s="99"/>
      <c r="AF184" s="1"/>
      <c r="AN184" s="1"/>
      <c r="AV184" s="1"/>
      <c r="AW184" s="97"/>
      <c r="AX184" s="97"/>
      <c r="AY184" s="97"/>
      <c r="AZ184" s="97"/>
      <c r="BA184" s="97"/>
      <c r="BB184" s="97"/>
      <c r="BC184" s="97"/>
      <c r="BD184" s="98"/>
      <c r="BE184" s="97"/>
      <c r="BF184" s="97"/>
      <c r="BG184" s="97"/>
      <c r="BH184" s="97"/>
      <c r="CJ184" s="1"/>
    </row>
    <row r="185" spans="19:88" s="17" customFormat="1" ht="22.5" customHeight="1" x14ac:dyDescent="0.25">
      <c r="S185" s="1"/>
      <c r="V185" s="99"/>
      <c r="W185" s="99"/>
      <c r="AF185" s="1"/>
      <c r="AN185" s="1"/>
      <c r="AV185" s="1"/>
      <c r="AW185" s="97"/>
      <c r="AX185" s="97"/>
      <c r="AY185" s="97"/>
      <c r="AZ185" s="97"/>
      <c r="BA185" s="97"/>
      <c r="BB185" s="97"/>
      <c r="BC185" s="97"/>
      <c r="BD185" s="98"/>
      <c r="BE185" s="97"/>
      <c r="BF185" s="97"/>
      <c r="BG185" s="97"/>
      <c r="BH185" s="97"/>
      <c r="CJ185" s="1"/>
    </row>
    <row r="186" spans="19:88" s="17" customFormat="1" ht="22.5" customHeight="1" x14ac:dyDescent="0.25">
      <c r="S186" s="1"/>
      <c r="V186" s="99"/>
      <c r="W186" s="99"/>
      <c r="AF186" s="1"/>
      <c r="AN186" s="1"/>
      <c r="AV186" s="1"/>
      <c r="AW186" s="97"/>
      <c r="AX186" s="97"/>
      <c r="AY186" s="97"/>
      <c r="AZ186" s="97"/>
      <c r="BA186" s="97"/>
      <c r="BB186" s="97"/>
      <c r="BC186" s="97"/>
      <c r="BD186" s="98"/>
      <c r="BE186" s="97"/>
      <c r="BF186" s="97"/>
      <c r="BG186" s="97"/>
      <c r="BH186" s="97"/>
      <c r="CJ186" s="1"/>
    </row>
    <row r="187" spans="19:88" s="17" customFormat="1" ht="22.5" customHeight="1" x14ac:dyDescent="0.25">
      <c r="S187" s="1"/>
      <c r="V187" s="99"/>
      <c r="W187" s="99"/>
      <c r="AF187" s="1"/>
      <c r="AN187" s="1"/>
      <c r="AV187" s="1"/>
      <c r="AW187" s="97"/>
      <c r="AX187" s="97"/>
      <c r="AY187" s="97"/>
      <c r="AZ187" s="97"/>
      <c r="BA187" s="97"/>
      <c r="BB187" s="97"/>
      <c r="BC187" s="97"/>
      <c r="BD187" s="98"/>
      <c r="BE187" s="97"/>
      <c r="BF187" s="97"/>
      <c r="BG187" s="97"/>
      <c r="BH187" s="97"/>
      <c r="CJ187" s="1"/>
    </row>
    <row r="188" spans="19:88" s="17" customFormat="1" ht="22.5" customHeight="1" x14ac:dyDescent="0.25">
      <c r="S188" s="1"/>
      <c r="V188" s="99"/>
      <c r="W188" s="99"/>
      <c r="AF188" s="1"/>
      <c r="AN188" s="1"/>
      <c r="AV188" s="1"/>
      <c r="AW188" s="97"/>
      <c r="AX188" s="97"/>
      <c r="AY188" s="97"/>
      <c r="AZ188" s="97"/>
      <c r="BA188" s="97"/>
      <c r="BB188" s="97"/>
      <c r="BC188" s="97"/>
      <c r="BD188" s="98"/>
      <c r="BE188" s="97"/>
      <c r="BF188" s="97"/>
      <c r="BG188" s="97"/>
      <c r="BH188" s="97"/>
      <c r="CJ188" s="1"/>
    </row>
    <row r="189" spans="19:88" s="17" customFormat="1" ht="22.5" customHeight="1" x14ac:dyDescent="0.25">
      <c r="S189" s="1"/>
      <c r="V189" s="99"/>
      <c r="W189" s="99"/>
      <c r="AF189" s="1"/>
      <c r="AN189" s="1"/>
      <c r="AV189" s="1"/>
      <c r="AW189" s="97"/>
      <c r="AX189" s="97"/>
      <c r="AY189" s="97"/>
      <c r="AZ189" s="97"/>
      <c r="BA189" s="97"/>
      <c r="BB189" s="97"/>
      <c r="BC189" s="97"/>
      <c r="BD189" s="98"/>
      <c r="BE189" s="97"/>
      <c r="BF189" s="97"/>
      <c r="BG189" s="97"/>
      <c r="BH189" s="97"/>
      <c r="CJ189" s="1"/>
    </row>
    <row r="190" spans="19:88" s="17" customFormat="1" ht="22.5" customHeight="1" x14ac:dyDescent="0.25">
      <c r="S190" s="1"/>
      <c r="V190" s="99"/>
      <c r="W190" s="99"/>
      <c r="AF190" s="1"/>
      <c r="AN190" s="1"/>
      <c r="AV190" s="1"/>
      <c r="AW190" s="97"/>
      <c r="AX190" s="97"/>
      <c r="AY190" s="97"/>
      <c r="AZ190" s="97"/>
      <c r="BA190" s="97"/>
      <c r="BB190" s="97"/>
      <c r="BC190" s="97"/>
      <c r="BD190" s="98"/>
      <c r="BE190" s="97"/>
      <c r="BF190" s="97"/>
      <c r="BG190" s="97"/>
      <c r="BH190" s="97"/>
      <c r="CJ190" s="1"/>
    </row>
    <row r="191" spans="19:88" s="17" customFormat="1" ht="22.5" customHeight="1" x14ac:dyDescent="0.25">
      <c r="S191" s="1"/>
      <c r="V191" s="99"/>
      <c r="W191" s="99"/>
      <c r="AF191" s="1"/>
      <c r="AN191" s="1"/>
      <c r="AV191" s="1"/>
      <c r="AW191" s="97"/>
      <c r="AX191" s="97"/>
      <c r="AY191" s="97"/>
      <c r="AZ191" s="97"/>
      <c r="BA191" s="97"/>
      <c r="BB191" s="97"/>
      <c r="BC191" s="97"/>
      <c r="BD191" s="98"/>
      <c r="BE191" s="97"/>
      <c r="BF191" s="97"/>
      <c r="BG191" s="97"/>
      <c r="BH191" s="97"/>
      <c r="CJ191" s="1"/>
    </row>
    <row r="192" spans="19:88" s="17" customFormat="1" ht="22.5" customHeight="1" x14ac:dyDescent="0.25">
      <c r="S192" s="1"/>
      <c r="V192" s="99"/>
      <c r="W192" s="99"/>
      <c r="AF192" s="1"/>
      <c r="AN192" s="1"/>
      <c r="AV192" s="1"/>
      <c r="AW192" s="97"/>
      <c r="AX192" s="97"/>
      <c r="AY192" s="97"/>
      <c r="AZ192" s="97"/>
      <c r="BA192" s="97"/>
      <c r="BB192" s="97"/>
      <c r="BC192" s="97"/>
      <c r="BD192" s="98"/>
      <c r="BE192" s="97"/>
      <c r="BF192" s="97"/>
      <c r="BG192" s="97"/>
      <c r="BH192" s="97"/>
      <c r="CJ192" s="1"/>
    </row>
    <row r="193" spans="19:88" s="17" customFormat="1" ht="22.5" customHeight="1" x14ac:dyDescent="0.25">
      <c r="S193" s="1"/>
      <c r="V193" s="99"/>
      <c r="W193" s="99"/>
      <c r="AF193" s="1"/>
      <c r="AN193" s="1"/>
      <c r="AV193" s="1"/>
      <c r="AW193" s="97"/>
      <c r="AX193" s="97"/>
      <c r="AY193" s="97"/>
      <c r="AZ193" s="97"/>
      <c r="BA193" s="97"/>
      <c r="BB193" s="97"/>
      <c r="BC193" s="97"/>
      <c r="BD193" s="98"/>
      <c r="BE193" s="97"/>
      <c r="BF193" s="97"/>
      <c r="BG193" s="97"/>
      <c r="BH193" s="97"/>
      <c r="CJ193" s="1"/>
    </row>
    <row r="194" spans="19:88" s="17" customFormat="1" ht="22.5" customHeight="1" x14ac:dyDescent="0.25">
      <c r="S194" s="1"/>
      <c r="V194" s="99"/>
      <c r="W194" s="99"/>
      <c r="AF194" s="1"/>
      <c r="AN194" s="1"/>
      <c r="AV194" s="1"/>
      <c r="AW194" s="97"/>
      <c r="AX194" s="97"/>
      <c r="AY194" s="97"/>
      <c r="AZ194" s="97"/>
      <c r="BA194" s="97"/>
      <c r="BB194" s="97"/>
      <c r="BC194" s="97"/>
      <c r="BD194" s="98"/>
      <c r="BE194" s="97"/>
      <c r="BF194" s="97"/>
      <c r="BG194" s="97"/>
      <c r="BH194" s="97"/>
      <c r="CJ194" s="1"/>
    </row>
    <row r="195" spans="19:88" s="17" customFormat="1" ht="22.5" customHeight="1" x14ac:dyDescent="0.25">
      <c r="S195" s="1"/>
      <c r="V195" s="99"/>
      <c r="W195" s="99"/>
      <c r="AF195" s="1"/>
      <c r="AN195" s="1"/>
      <c r="AV195" s="1"/>
      <c r="AW195" s="97"/>
      <c r="AX195" s="97"/>
      <c r="AY195" s="97"/>
      <c r="AZ195" s="97"/>
      <c r="BA195" s="97"/>
      <c r="BB195" s="97"/>
      <c r="BC195" s="97"/>
      <c r="BD195" s="98"/>
      <c r="BE195" s="97"/>
      <c r="BF195" s="97"/>
      <c r="BG195" s="97"/>
      <c r="BH195" s="97"/>
      <c r="CJ195" s="1"/>
    </row>
    <row r="196" spans="19:88" s="17" customFormat="1" ht="22.5" customHeight="1" x14ac:dyDescent="0.25">
      <c r="S196" s="1"/>
      <c r="V196" s="99"/>
      <c r="W196" s="99"/>
      <c r="AF196" s="1"/>
      <c r="AN196" s="1"/>
      <c r="AV196" s="1"/>
      <c r="AW196" s="97"/>
      <c r="AX196" s="97"/>
      <c r="AY196" s="97"/>
      <c r="AZ196" s="97"/>
      <c r="BA196" s="97"/>
      <c r="BB196" s="97"/>
      <c r="BC196" s="97"/>
      <c r="BD196" s="98"/>
      <c r="BE196" s="97"/>
      <c r="BF196" s="97"/>
      <c r="BG196" s="97"/>
      <c r="BH196" s="97"/>
      <c r="CJ196" s="1"/>
    </row>
    <row r="197" spans="19:88" s="17" customFormat="1" ht="22.5" customHeight="1" x14ac:dyDescent="0.25">
      <c r="S197" s="1"/>
      <c r="V197" s="99"/>
      <c r="W197" s="99"/>
      <c r="AF197" s="1"/>
      <c r="AN197" s="1"/>
      <c r="AV197" s="1"/>
      <c r="AW197" s="97"/>
      <c r="AX197" s="97"/>
      <c r="AY197" s="97"/>
      <c r="AZ197" s="97"/>
      <c r="BA197" s="97"/>
      <c r="BB197" s="97"/>
      <c r="BC197" s="97"/>
      <c r="BD197" s="98"/>
      <c r="BE197" s="97"/>
      <c r="BF197" s="97"/>
      <c r="BG197" s="97"/>
      <c r="BH197" s="97"/>
      <c r="CJ197" s="1"/>
    </row>
    <row r="198" spans="19:88" s="17" customFormat="1" ht="22.5" customHeight="1" x14ac:dyDescent="0.25">
      <c r="S198" s="1"/>
      <c r="V198" s="99"/>
      <c r="W198" s="99"/>
      <c r="AF198" s="1"/>
      <c r="AN198" s="1"/>
      <c r="AV198" s="1"/>
      <c r="AW198" s="97"/>
      <c r="AX198" s="97"/>
      <c r="AY198" s="97"/>
      <c r="AZ198" s="97"/>
      <c r="BA198" s="97"/>
      <c r="BB198" s="97"/>
      <c r="BC198" s="97"/>
      <c r="BD198" s="98"/>
      <c r="BE198" s="97"/>
      <c r="BF198" s="97"/>
      <c r="BG198" s="97"/>
      <c r="BH198" s="97"/>
      <c r="CJ198" s="1"/>
    </row>
    <row r="199" spans="19:88" s="17" customFormat="1" ht="22.5" customHeight="1" x14ac:dyDescent="0.25">
      <c r="S199" s="1"/>
      <c r="V199" s="99"/>
      <c r="W199" s="99"/>
      <c r="AF199" s="1"/>
      <c r="AN199" s="1"/>
      <c r="AV199" s="1"/>
      <c r="AW199" s="97"/>
      <c r="AX199" s="97"/>
      <c r="AY199" s="97"/>
      <c r="AZ199" s="97"/>
      <c r="BA199" s="97"/>
      <c r="BB199" s="97"/>
      <c r="BC199" s="97"/>
      <c r="BD199" s="98"/>
      <c r="BE199" s="97"/>
      <c r="BF199" s="97"/>
      <c r="BG199" s="97"/>
      <c r="BH199" s="97"/>
      <c r="CJ199" s="1"/>
    </row>
    <row r="200" spans="19:88" s="17" customFormat="1" ht="22.5" customHeight="1" x14ac:dyDescent="0.25">
      <c r="S200" s="1"/>
      <c r="V200" s="99"/>
      <c r="W200" s="99"/>
      <c r="AF200" s="1"/>
      <c r="AN200" s="1"/>
      <c r="AV200" s="1"/>
      <c r="AW200" s="97"/>
      <c r="AX200" s="97"/>
      <c r="AY200" s="97"/>
      <c r="AZ200" s="97"/>
      <c r="BA200" s="97"/>
      <c r="BB200" s="97"/>
      <c r="BC200" s="97"/>
      <c r="BD200" s="98"/>
      <c r="BE200" s="97"/>
      <c r="BF200" s="97"/>
      <c r="BG200" s="97"/>
      <c r="BH200" s="97"/>
      <c r="CJ200" s="1"/>
    </row>
    <row r="201" spans="19:88" s="17" customFormat="1" ht="22.5" customHeight="1" x14ac:dyDescent="0.25">
      <c r="S201" s="1"/>
      <c r="V201" s="99"/>
      <c r="W201" s="99"/>
      <c r="AF201" s="1"/>
      <c r="AN201" s="1"/>
      <c r="AV201" s="1"/>
      <c r="AW201" s="97"/>
      <c r="AX201" s="97"/>
      <c r="AY201" s="97"/>
      <c r="AZ201" s="97"/>
      <c r="BA201" s="97"/>
      <c r="BB201" s="97"/>
      <c r="BC201" s="97"/>
      <c r="BD201" s="98"/>
      <c r="BE201" s="97"/>
      <c r="BF201" s="97"/>
      <c r="BG201" s="97"/>
      <c r="BH201" s="97"/>
      <c r="CJ201" s="1"/>
    </row>
    <row r="202" spans="19:88" s="17" customFormat="1" ht="22.5" customHeight="1" x14ac:dyDescent="0.25">
      <c r="S202" s="1"/>
      <c r="V202" s="99"/>
      <c r="W202" s="99"/>
      <c r="AF202" s="1"/>
      <c r="AN202" s="1"/>
      <c r="AV202" s="1"/>
      <c r="AW202" s="97"/>
      <c r="AX202" s="97"/>
      <c r="AY202" s="97"/>
      <c r="AZ202" s="97"/>
      <c r="BA202" s="97"/>
      <c r="BB202" s="97"/>
      <c r="BC202" s="97"/>
      <c r="BD202" s="98"/>
      <c r="BE202" s="97"/>
      <c r="BF202" s="97"/>
      <c r="BG202" s="97"/>
      <c r="BH202" s="97"/>
      <c r="CJ202" s="1"/>
    </row>
    <row r="203" spans="19:88" s="17" customFormat="1" ht="22.5" customHeight="1" x14ac:dyDescent="0.25">
      <c r="S203" s="1"/>
      <c r="V203" s="99"/>
      <c r="W203" s="99"/>
      <c r="AF203" s="1"/>
      <c r="AN203" s="1"/>
      <c r="AV203" s="1"/>
      <c r="AW203" s="97"/>
      <c r="AX203" s="97"/>
      <c r="AY203" s="97"/>
      <c r="AZ203" s="97"/>
      <c r="BA203" s="97"/>
      <c r="BB203" s="97"/>
      <c r="BC203" s="97"/>
      <c r="BD203" s="98"/>
      <c r="BE203" s="97"/>
      <c r="BF203" s="97"/>
      <c r="BG203" s="97"/>
      <c r="BH203" s="97"/>
      <c r="CJ203" s="1"/>
    </row>
    <row r="204" spans="19:88" s="17" customFormat="1" ht="22.5" customHeight="1" x14ac:dyDescent="0.25">
      <c r="S204" s="1"/>
      <c r="V204" s="99"/>
      <c r="W204" s="99"/>
      <c r="AF204" s="1"/>
      <c r="AN204" s="1"/>
      <c r="AV204" s="1"/>
      <c r="AW204" s="97"/>
      <c r="AX204" s="97"/>
      <c r="AY204" s="97"/>
      <c r="AZ204" s="97"/>
      <c r="BA204" s="97"/>
      <c r="BB204" s="97"/>
      <c r="BC204" s="97"/>
      <c r="BD204" s="98"/>
      <c r="BE204" s="97"/>
      <c r="BF204" s="97"/>
      <c r="BG204" s="97"/>
      <c r="BH204" s="97"/>
      <c r="CJ204" s="1"/>
    </row>
    <row r="205" spans="19:88" s="17" customFormat="1" ht="22.5" customHeight="1" x14ac:dyDescent="0.25">
      <c r="S205" s="1"/>
      <c r="V205" s="99"/>
      <c r="W205" s="99"/>
      <c r="AF205" s="1"/>
      <c r="AN205" s="1"/>
      <c r="AV205" s="1"/>
      <c r="AW205" s="97"/>
      <c r="AX205" s="97"/>
      <c r="AY205" s="97"/>
      <c r="AZ205" s="97"/>
      <c r="BA205" s="97"/>
      <c r="BB205" s="97"/>
      <c r="BC205" s="97"/>
      <c r="BD205" s="98"/>
      <c r="BE205" s="97"/>
      <c r="BF205" s="97"/>
      <c r="BG205" s="97"/>
      <c r="BH205" s="97"/>
      <c r="CJ205" s="1"/>
    </row>
    <row r="206" spans="19:88" s="17" customFormat="1" ht="22.5" customHeight="1" x14ac:dyDescent="0.25">
      <c r="S206" s="1"/>
      <c r="V206" s="99"/>
      <c r="W206" s="99"/>
      <c r="AF206" s="1"/>
      <c r="AN206" s="1"/>
      <c r="AV206" s="1"/>
      <c r="AW206" s="97"/>
      <c r="AX206" s="97"/>
      <c r="AY206" s="97"/>
      <c r="AZ206" s="97"/>
      <c r="BA206" s="97"/>
      <c r="BB206" s="97"/>
      <c r="BC206" s="97"/>
      <c r="BD206" s="98"/>
      <c r="BE206" s="97"/>
      <c r="BF206" s="97"/>
      <c r="BG206" s="97"/>
      <c r="BH206" s="97"/>
      <c r="CJ206" s="1"/>
    </row>
    <row r="207" spans="19:88" s="17" customFormat="1" ht="22.5" customHeight="1" x14ac:dyDescent="0.25">
      <c r="S207" s="1"/>
      <c r="V207" s="99"/>
      <c r="W207" s="99"/>
      <c r="AF207" s="1"/>
      <c r="AN207" s="1"/>
      <c r="AV207" s="1"/>
      <c r="AW207" s="97"/>
      <c r="AX207" s="97"/>
      <c r="AY207" s="97"/>
      <c r="AZ207" s="97"/>
      <c r="BA207" s="97"/>
      <c r="BB207" s="97"/>
      <c r="BC207" s="97"/>
      <c r="BD207" s="98"/>
      <c r="BE207" s="97"/>
      <c r="BF207" s="97"/>
      <c r="BG207" s="97"/>
      <c r="BH207" s="97"/>
      <c r="CJ207" s="1"/>
    </row>
    <row r="208" spans="19:88" s="17" customFormat="1" ht="22.5" customHeight="1" x14ac:dyDescent="0.25">
      <c r="S208" s="1"/>
      <c r="V208" s="99"/>
      <c r="W208" s="99"/>
      <c r="AF208" s="1"/>
      <c r="AN208" s="1"/>
      <c r="AV208" s="1"/>
      <c r="AW208" s="97"/>
      <c r="AX208" s="97"/>
      <c r="AY208" s="97"/>
      <c r="AZ208" s="97"/>
      <c r="BA208" s="97"/>
      <c r="BB208" s="97"/>
      <c r="BC208" s="97"/>
      <c r="BD208" s="98"/>
      <c r="BE208" s="97"/>
      <c r="BF208" s="97"/>
      <c r="BG208" s="97"/>
      <c r="BH208" s="97"/>
      <c r="CJ208" s="1"/>
    </row>
    <row r="209" spans="19:88" s="17" customFormat="1" ht="22.5" customHeight="1" x14ac:dyDescent="0.25">
      <c r="S209" s="1"/>
      <c r="V209" s="99"/>
      <c r="W209" s="99"/>
      <c r="AF209" s="1"/>
      <c r="AN209" s="1"/>
      <c r="AV209" s="1"/>
      <c r="AW209" s="97"/>
      <c r="AX209" s="97"/>
      <c r="AY209" s="97"/>
      <c r="AZ209" s="97"/>
      <c r="BA209" s="97"/>
      <c r="BB209" s="97"/>
      <c r="BC209" s="97"/>
      <c r="BD209" s="98"/>
      <c r="BE209" s="97"/>
      <c r="BF209" s="97"/>
      <c r="BG209" s="97"/>
      <c r="BH209" s="97"/>
      <c r="CJ209" s="1"/>
    </row>
    <row r="210" spans="19:88" s="17" customFormat="1" ht="22.5" customHeight="1" x14ac:dyDescent="0.25">
      <c r="S210" s="1"/>
      <c r="V210" s="99"/>
      <c r="W210" s="99"/>
      <c r="AF210" s="1"/>
      <c r="AN210" s="1"/>
      <c r="AV210" s="1"/>
      <c r="AW210" s="97"/>
      <c r="AX210" s="97"/>
      <c r="AY210" s="97"/>
      <c r="AZ210" s="97"/>
      <c r="BA210" s="97"/>
      <c r="BB210" s="97"/>
      <c r="BC210" s="97"/>
      <c r="BD210" s="98"/>
      <c r="BE210" s="97"/>
      <c r="BF210" s="97"/>
      <c r="BG210" s="97"/>
      <c r="BH210" s="97"/>
      <c r="CJ210" s="1"/>
    </row>
    <row r="211" spans="19:88" s="17" customFormat="1" ht="22.5" customHeight="1" x14ac:dyDescent="0.25">
      <c r="S211" s="1"/>
      <c r="V211" s="99"/>
      <c r="W211" s="99"/>
      <c r="AF211" s="1"/>
      <c r="AN211" s="1"/>
      <c r="AV211" s="1"/>
      <c r="AW211" s="97"/>
      <c r="AX211" s="97"/>
      <c r="AY211" s="97"/>
      <c r="AZ211" s="97"/>
      <c r="BA211" s="97"/>
      <c r="BB211" s="97"/>
      <c r="BC211" s="97"/>
      <c r="BD211" s="98"/>
      <c r="BE211" s="97"/>
      <c r="BF211" s="97"/>
      <c r="BG211" s="97"/>
      <c r="BH211" s="97"/>
      <c r="CJ211" s="1"/>
    </row>
    <row r="212" spans="19:88" s="17" customFormat="1" ht="22.5" customHeight="1" x14ac:dyDescent="0.25">
      <c r="S212" s="1"/>
      <c r="V212" s="99"/>
      <c r="W212" s="99"/>
      <c r="AF212" s="1"/>
      <c r="AN212" s="1"/>
      <c r="AV212" s="1"/>
      <c r="AW212" s="97"/>
      <c r="AX212" s="97"/>
      <c r="AY212" s="97"/>
      <c r="AZ212" s="97"/>
      <c r="BA212" s="97"/>
      <c r="BB212" s="97"/>
      <c r="BC212" s="97"/>
      <c r="BD212" s="98"/>
      <c r="BE212" s="97"/>
      <c r="BF212" s="97"/>
      <c r="BG212" s="97"/>
      <c r="BH212" s="97"/>
      <c r="CJ212" s="1"/>
    </row>
    <row r="213" spans="19:88" s="17" customFormat="1" ht="22.5" customHeight="1" x14ac:dyDescent="0.25">
      <c r="S213" s="1"/>
      <c r="V213" s="99"/>
      <c r="W213" s="99"/>
      <c r="AF213" s="1"/>
      <c r="AN213" s="1"/>
      <c r="AV213" s="1"/>
      <c r="AW213" s="97"/>
      <c r="AX213" s="97"/>
      <c r="AY213" s="97"/>
      <c r="AZ213" s="97"/>
      <c r="BA213" s="97"/>
      <c r="BB213" s="97"/>
      <c r="BC213" s="97"/>
      <c r="BD213" s="98"/>
      <c r="BE213" s="97"/>
      <c r="BF213" s="97"/>
      <c r="BG213" s="97"/>
      <c r="BH213" s="97"/>
      <c r="CJ213" s="1"/>
    </row>
    <row r="214" spans="19:88" s="17" customFormat="1" ht="22.5" customHeight="1" x14ac:dyDescent="0.25">
      <c r="S214" s="1"/>
      <c r="V214" s="99"/>
      <c r="W214" s="99"/>
      <c r="AF214" s="1"/>
      <c r="AN214" s="1"/>
      <c r="AV214" s="1"/>
      <c r="AW214" s="97"/>
      <c r="AX214" s="97"/>
      <c r="AY214" s="97"/>
      <c r="AZ214" s="97"/>
      <c r="BA214" s="97"/>
      <c r="BB214" s="97"/>
      <c r="BC214" s="97"/>
      <c r="BD214" s="98"/>
      <c r="BE214" s="97"/>
      <c r="BF214" s="97"/>
      <c r="BG214" s="97"/>
      <c r="BH214" s="97"/>
      <c r="CJ214" s="1"/>
    </row>
    <row r="215" spans="19:88" s="17" customFormat="1" ht="22.5" customHeight="1" x14ac:dyDescent="0.25">
      <c r="S215" s="1"/>
      <c r="V215" s="99"/>
      <c r="W215" s="99"/>
      <c r="AF215" s="1"/>
      <c r="AN215" s="1"/>
      <c r="AV215" s="1"/>
      <c r="AW215" s="97"/>
      <c r="AX215" s="97"/>
      <c r="AY215" s="97"/>
      <c r="AZ215" s="97"/>
      <c r="BA215" s="97"/>
      <c r="BB215" s="97"/>
      <c r="BC215" s="97"/>
      <c r="BD215" s="98"/>
      <c r="BE215" s="97"/>
      <c r="BF215" s="97"/>
      <c r="BG215" s="97"/>
      <c r="BH215" s="97"/>
      <c r="CJ215" s="1"/>
    </row>
    <row r="216" spans="19:88" s="17" customFormat="1" ht="22.5" customHeight="1" x14ac:dyDescent="0.25">
      <c r="S216" s="1"/>
      <c r="V216" s="99"/>
      <c r="W216" s="99"/>
      <c r="AF216" s="1"/>
      <c r="AN216" s="1"/>
      <c r="AV216" s="1"/>
      <c r="AW216" s="97"/>
      <c r="AX216" s="97"/>
      <c r="AY216" s="97"/>
      <c r="AZ216" s="97"/>
      <c r="BA216" s="97"/>
      <c r="BB216" s="97"/>
      <c r="BC216" s="97"/>
      <c r="BD216" s="98"/>
      <c r="BE216" s="97"/>
      <c r="BF216" s="97"/>
      <c r="BG216" s="97"/>
      <c r="BH216" s="97"/>
      <c r="CJ216" s="1"/>
    </row>
    <row r="217" spans="19:88" s="17" customFormat="1" ht="22.5" customHeight="1" x14ac:dyDescent="0.25">
      <c r="S217" s="1"/>
      <c r="V217" s="99"/>
      <c r="W217" s="99"/>
      <c r="AF217" s="1"/>
      <c r="AN217" s="1"/>
      <c r="AV217" s="1"/>
      <c r="AW217" s="97"/>
      <c r="AX217" s="97"/>
      <c r="AY217" s="97"/>
      <c r="AZ217" s="97"/>
      <c r="BA217" s="97"/>
      <c r="BB217" s="97"/>
      <c r="BC217" s="97"/>
      <c r="BD217" s="98"/>
      <c r="BE217" s="97"/>
      <c r="BF217" s="97"/>
      <c r="BG217" s="97"/>
      <c r="BH217" s="97"/>
      <c r="CJ217" s="1"/>
    </row>
    <row r="218" spans="19:88" s="17" customFormat="1" ht="22.5" customHeight="1" x14ac:dyDescent="0.25">
      <c r="S218" s="1"/>
      <c r="V218" s="99"/>
      <c r="W218" s="99"/>
      <c r="AF218" s="1"/>
      <c r="AN218" s="1"/>
      <c r="AV218" s="1"/>
      <c r="AW218" s="97"/>
      <c r="AX218" s="97"/>
      <c r="AY218" s="97"/>
      <c r="AZ218" s="97"/>
      <c r="BA218" s="97"/>
      <c r="BB218" s="97"/>
      <c r="BC218" s="97"/>
      <c r="BD218" s="98"/>
      <c r="BE218" s="97"/>
      <c r="BF218" s="97"/>
      <c r="BG218" s="97"/>
      <c r="BH218" s="97"/>
      <c r="CJ218" s="1"/>
    </row>
    <row r="219" spans="19:88" s="17" customFormat="1" ht="22.5" customHeight="1" x14ac:dyDescent="0.25">
      <c r="S219" s="1"/>
      <c r="V219" s="99"/>
      <c r="W219" s="99"/>
      <c r="AF219" s="1"/>
      <c r="AN219" s="1"/>
      <c r="AV219" s="1"/>
      <c r="AW219" s="97"/>
      <c r="AX219" s="97"/>
      <c r="AY219" s="97"/>
      <c r="AZ219" s="97"/>
      <c r="BA219" s="97"/>
      <c r="BB219" s="97"/>
      <c r="BC219" s="97"/>
      <c r="BD219" s="98"/>
      <c r="BE219" s="97"/>
      <c r="BF219" s="97"/>
      <c r="BG219" s="97"/>
      <c r="BH219" s="97"/>
      <c r="CJ219" s="1"/>
    </row>
    <row r="220" spans="19:88" s="17" customFormat="1" ht="22.5" customHeight="1" x14ac:dyDescent="0.25">
      <c r="S220" s="1"/>
      <c r="V220" s="99"/>
      <c r="W220" s="99"/>
      <c r="AF220" s="1"/>
      <c r="AN220" s="1"/>
      <c r="AV220" s="1"/>
      <c r="AW220" s="97"/>
      <c r="AX220" s="97"/>
      <c r="AY220" s="97"/>
      <c r="AZ220" s="97"/>
      <c r="BA220" s="97"/>
      <c r="BB220" s="97"/>
      <c r="BC220" s="97"/>
      <c r="BD220" s="98"/>
      <c r="BE220" s="97"/>
      <c r="BF220" s="97"/>
      <c r="BG220" s="97"/>
      <c r="BH220" s="97"/>
      <c r="CJ220" s="1"/>
    </row>
    <row r="221" spans="19:88" s="17" customFormat="1" ht="22.5" customHeight="1" x14ac:dyDescent="0.25">
      <c r="S221" s="1"/>
      <c r="V221" s="99"/>
      <c r="W221" s="99"/>
      <c r="AF221" s="1"/>
      <c r="AN221" s="1"/>
      <c r="AV221" s="1"/>
      <c r="AW221" s="97"/>
      <c r="AX221" s="97"/>
      <c r="AY221" s="97"/>
      <c r="AZ221" s="97"/>
      <c r="BA221" s="97"/>
      <c r="BB221" s="97"/>
      <c r="BC221" s="97"/>
      <c r="BD221" s="98"/>
      <c r="BE221" s="97"/>
      <c r="BF221" s="97"/>
      <c r="BG221" s="97"/>
      <c r="BH221" s="97"/>
      <c r="CJ221" s="1"/>
    </row>
    <row r="222" spans="19:88" s="17" customFormat="1" ht="22.5" customHeight="1" x14ac:dyDescent="0.25">
      <c r="S222" s="1"/>
      <c r="V222" s="99"/>
      <c r="W222" s="99"/>
      <c r="AF222" s="1"/>
      <c r="AN222" s="1"/>
      <c r="AV222" s="1"/>
      <c r="AW222" s="97"/>
      <c r="AX222" s="97"/>
      <c r="AY222" s="97"/>
      <c r="AZ222" s="97"/>
      <c r="BA222" s="97"/>
      <c r="BB222" s="97"/>
      <c r="BC222" s="97"/>
      <c r="BD222" s="98"/>
      <c r="BE222" s="97"/>
      <c r="BF222" s="97"/>
      <c r="BG222" s="97"/>
      <c r="BH222" s="97"/>
      <c r="CJ222" s="1"/>
    </row>
    <row r="223" spans="19:88" s="17" customFormat="1" ht="22.5" customHeight="1" x14ac:dyDescent="0.25">
      <c r="S223" s="1"/>
      <c r="V223" s="99"/>
      <c r="W223" s="99"/>
      <c r="AF223" s="1"/>
      <c r="AN223" s="1"/>
      <c r="AV223" s="1"/>
      <c r="AW223" s="97"/>
      <c r="AX223" s="97"/>
      <c r="AY223" s="97"/>
      <c r="AZ223" s="97"/>
      <c r="BA223" s="97"/>
      <c r="BB223" s="97"/>
      <c r="BC223" s="97"/>
      <c r="BD223" s="98"/>
      <c r="BE223" s="97"/>
      <c r="BF223" s="97"/>
      <c r="BG223" s="97"/>
      <c r="BH223" s="97"/>
      <c r="CJ223" s="1"/>
    </row>
    <row r="224" spans="19:88" s="17" customFormat="1" ht="22.5" customHeight="1" x14ac:dyDescent="0.25">
      <c r="S224" s="1"/>
      <c r="V224" s="99"/>
      <c r="W224" s="99"/>
      <c r="AF224" s="1"/>
      <c r="AN224" s="1"/>
      <c r="AV224" s="1"/>
      <c r="AW224" s="97"/>
      <c r="AX224" s="97"/>
      <c r="AY224" s="97"/>
      <c r="AZ224" s="97"/>
      <c r="BA224" s="97"/>
      <c r="BB224" s="97"/>
      <c r="BC224" s="97"/>
      <c r="BD224" s="98"/>
      <c r="BE224" s="97"/>
      <c r="BF224" s="97"/>
      <c r="BG224" s="97"/>
      <c r="BH224" s="97"/>
      <c r="CJ224" s="1"/>
    </row>
    <row r="225" spans="19:88" s="17" customFormat="1" ht="22.5" customHeight="1" x14ac:dyDescent="0.25">
      <c r="S225" s="1"/>
      <c r="V225" s="99"/>
      <c r="W225" s="99"/>
      <c r="AF225" s="1"/>
      <c r="AN225" s="1"/>
      <c r="AV225" s="1"/>
      <c r="AW225" s="97"/>
      <c r="AX225" s="97"/>
      <c r="AY225" s="97"/>
      <c r="AZ225" s="97"/>
      <c r="BA225" s="97"/>
      <c r="BB225" s="97"/>
      <c r="BC225" s="97"/>
      <c r="BD225" s="98"/>
      <c r="BE225" s="97"/>
      <c r="BF225" s="97"/>
      <c r="BG225" s="97"/>
      <c r="BH225" s="97"/>
      <c r="CJ225" s="1"/>
    </row>
    <row r="226" spans="19:88" s="17" customFormat="1" ht="22.5" customHeight="1" x14ac:dyDescent="0.25">
      <c r="S226" s="1"/>
      <c r="V226" s="99"/>
      <c r="W226" s="99"/>
      <c r="AF226" s="1"/>
      <c r="AN226" s="1"/>
      <c r="AV226" s="1"/>
      <c r="AW226" s="97"/>
      <c r="AX226" s="97"/>
      <c r="AY226" s="97"/>
      <c r="AZ226" s="97"/>
      <c r="BA226" s="97"/>
      <c r="BB226" s="97"/>
      <c r="BC226" s="97"/>
      <c r="BD226" s="98"/>
      <c r="BE226" s="97"/>
      <c r="BF226" s="97"/>
      <c r="BG226" s="97"/>
      <c r="BH226" s="97"/>
      <c r="CJ226" s="1"/>
    </row>
    <row r="227" spans="19:88" s="17" customFormat="1" ht="22.5" customHeight="1" x14ac:dyDescent="0.25">
      <c r="S227" s="1"/>
      <c r="V227" s="99"/>
      <c r="W227" s="99"/>
      <c r="AF227" s="1"/>
      <c r="AN227" s="1"/>
      <c r="AV227" s="1"/>
      <c r="AW227" s="97"/>
      <c r="AX227" s="97"/>
      <c r="AY227" s="97"/>
      <c r="AZ227" s="97"/>
      <c r="BA227" s="97"/>
      <c r="BB227" s="97"/>
      <c r="BC227" s="97"/>
      <c r="BD227" s="98"/>
      <c r="BE227" s="97"/>
      <c r="BF227" s="97"/>
      <c r="BG227" s="97"/>
      <c r="BH227" s="97"/>
      <c r="CJ227" s="1"/>
    </row>
    <row r="228" spans="19:88" s="17" customFormat="1" ht="22.5" customHeight="1" x14ac:dyDescent="0.25">
      <c r="S228" s="1"/>
      <c r="V228" s="99"/>
      <c r="W228" s="99"/>
      <c r="AF228" s="1"/>
      <c r="AN228" s="1"/>
      <c r="AV228" s="1"/>
      <c r="AW228" s="97"/>
      <c r="AX228" s="97"/>
      <c r="AY228" s="97"/>
      <c r="AZ228" s="97"/>
      <c r="BA228" s="97"/>
      <c r="BB228" s="97"/>
      <c r="BC228" s="97"/>
      <c r="BD228" s="98"/>
      <c r="BE228" s="97"/>
      <c r="BF228" s="97"/>
      <c r="BG228" s="97"/>
      <c r="BH228" s="97"/>
      <c r="CJ228" s="1"/>
    </row>
    <row r="229" spans="19:88" s="17" customFormat="1" ht="22.5" customHeight="1" x14ac:dyDescent="0.25">
      <c r="S229" s="1"/>
      <c r="V229" s="99"/>
      <c r="W229" s="99"/>
      <c r="AF229" s="1"/>
      <c r="AN229" s="1"/>
      <c r="AV229" s="1"/>
      <c r="AW229" s="97"/>
      <c r="AX229" s="97"/>
      <c r="AY229" s="97"/>
      <c r="AZ229" s="97"/>
      <c r="BA229" s="97"/>
      <c r="BB229" s="97"/>
      <c r="BC229" s="97"/>
      <c r="BD229" s="98"/>
      <c r="BE229" s="97"/>
      <c r="BF229" s="97"/>
      <c r="BG229" s="97"/>
      <c r="BH229" s="97"/>
      <c r="CJ229" s="1"/>
    </row>
    <row r="230" spans="19:88" s="17" customFormat="1" ht="22.5" customHeight="1" x14ac:dyDescent="0.25">
      <c r="S230" s="1"/>
      <c r="V230" s="99"/>
      <c r="W230" s="99"/>
      <c r="AF230" s="1"/>
      <c r="AN230" s="1"/>
      <c r="AV230" s="1"/>
      <c r="AW230" s="97"/>
      <c r="AX230" s="97"/>
      <c r="AY230" s="97"/>
      <c r="AZ230" s="97"/>
      <c r="BA230" s="97"/>
      <c r="BB230" s="97"/>
      <c r="BC230" s="97"/>
      <c r="BD230" s="98"/>
      <c r="BE230" s="97"/>
      <c r="BF230" s="97"/>
      <c r="BG230" s="97"/>
      <c r="BH230" s="97"/>
      <c r="CJ230" s="1"/>
    </row>
    <row r="231" spans="19:88" s="17" customFormat="1" ht="22.5" customHeight="1" x14ac:dyDescent="0.25">
      <c r="S231" s="1"/>
      <c r="V231" s="99"/>
      <c r="W231" s="99"/>
      <c r="AF231" s="1"/>
      <c r="AN231" s="1"/>
      <c r="AV231" s="1"/>
      <c r="AW231" s="97"/>
      <c r="AX231" s="97"/>
      <c r="AY231" s="97"/>
      <c r="AZ231" s="97"/>
      <c r="BA231" s="97"/>
      <c r="BB231" s="97"/>
      <c r="BC231" s="97"/>
      <c r="BD231" s="98"/>
      <c r="BE231" s="97"/>
      <c r="BF231" s="97"/>
      <c r="BG231" s="97"/>
      <c r="BH231" s="97"/>
      <c r="CJ231" s="1"/>
    </row>
    <row r="232" spans="19:88" s="17" customFormat="1" ht="22.5" customHeight="1" x14ac:dyDescent="0.25">
      <c r="S232" s="1"/>
      <c r="V232" s="99"/>
      <c r="W232" s="99"/>
      <c r="AF232" s="1"/>
      <c r="AN232" s="1"/>
      <c r="AV232" s="1"/>
      <c r="AW232" s="97"/>
      <c r="AX232" s="97"/>
      <c r="AY232" s="97"/>
      <c r="AZ232" s="97"/>
      <c r="BA232" s="97"/>
      <c r="BB232" s="97"/>
      <c r="BC232" s="97"/>
      <c r="BD232" s="98"/>
      <c r="BE232" s="97"/>
      <c r="BF232" s="97"/>
      <c r="BG232" s="97"/>
      <c r="BH232" s="97"/>
      <c r="CJ232" s="1"/>
    </row>
    <row r="233" spans="19:88" s="17" customFormat="1" ht="22.5" customHeight="1" x14ac:dyDescent="0.25">
      <c r="S233" s="1"/>
      <c r="V233" s="99"/>
      <c r="W233" s="99"/>
      <c r="AF233" s="1"/>
      <c r="AN233" s="1"/>
      <c r="AV233" s="1"/>
      <c r="AW233" s="97"/>
      <c r="AX233" s="97"/>
      <c r="AY233" s="97"/>
      <c r="AZ233" s="97"/>
      <c r="BA233" s="97"/>
      <c r="BB233" s="97"/>
      <c r="BC233" s="97"/>
      <c r="BD233" s="98"/>
      <c r="BE233" s="97"/>
      <c r="BF233" s="97"/>
      <c r="BG233" s="97"/>
      <c r="BH233" s="97"/>
      <c r="CJ233" s="1"/>
    </row>
    <row r="234" spans="19:88" s="17" customFormat="1" ht="22.5" customHeight="1" x14ac:dyDescent="0.25">
      <c r="S234" s="1"/>
      <c r="V234" s="99"/>
      <c r="W234" s="99"/>
      <c r="AF234" s="1"/>
      <c r="AN234" s="1"/>
      <c r="AV234" s="1"/>
      <c r="AW234" s="97"/>
      <c r="AX234" s="97"/>
      <c r="AY234" s="97"/>
      <c r="AZ234" s="97"/>
      <c r="BA234" s="97"/>
      <c r="BB234" s="97"/>
      <c r="BC234" s="97"/>
      <c r="BD234" s="98"/>
      <c r="BE234" s="97"/>
      <c r="BF234" s="97"/>
      <c r="BG234" s="97"/>
      <c r="BH234" s="97"/>
      <c r="CJ234" s="1"/>
    </row>
    <row r="235" spans="19:88" s="17" customFormat="1" ht="22.5" customHeight="1" x14ac:dyDescent="0.25">
      <c r="S235" s="1"/>
      <c r="V235" s="99"/>
      <c r="W235" s="99"/>
      <c r="AF235" s="1"/>
      <c r="AN235" s="1"/>
      <c r="AV235" s="1"/>
      <c r="AW235" s="97"/>
      <c r="AX235" s="97"/>
      <c r="AY235" s="97"/>
      <c r="AZ235" s="97"/>
      <c r="BA235" s="97"/>
      <c r="BB235" s="97"/>
      <c r="BC235" s="97"/>
      <c r="BD235" s="98"/>
      <c r="BE235" s="97"/>
      <c r="BF235" s="97"/>
      <c r="BG235" s="97"/>
      <c r="BH235" s="97"/>
      <c r="CJ235" s="1"/>
    </row>
    <row r="236" spans="19:88" s="17" customFormat="1" ht="22.5" customHeight="1" x14ac:dyDescent="0.25">
      <c r="S236" s="1"/>
      <c r="V236" s="99"/>
      <c r="W236" s="99"/>
      <c r="AF236" s="1"/>
      <c r="AN236" s="1"/>
      <c r="AV236" s="1"/>
      <c r="AW236" s="97"/>
      <c r="AX236" s="97"/>
      <c r="AY236" s="97"/>
      <c r="AZ236" s="97"/>
      <c r="BA236" s="97"/>
      <c r="BB236" s="97"/>
      <c r="BC236" s="97"/>
      <c r="BD236" s="98"/>
      <c r="BE236" s="97"/>
      <c r="BF236" s="97"/>
      <c r="BG236" s="97"/>
      <c r="BH236" s="97"/>
      <c r="CJ236" s="1"/>
    </row>
    <row r="237" spans="19:88" s="17" customFormat="1" ht="22.5" customHeight="1" x14ac:dyDescent="0.25">
      <c r="S237" s="1"/>
      <c r="V237" s="99"/>
      <c r="W237" s="99"/>
      <c r="AF237" s="1"/>
      <c r="AN237" s="1"/>
      <c r="AV237" s="1"/>
      <c r="AW237" s="97"/>
      <c r="AX237" s="97"/>
      <c r="AY237" s="97"/>
      <c r="AZ237" s="97"/>
      <c r="BA237" s="97"/>
      <c r="BB237" s="97"/>
      <c r="BC237" s="97"/>
      <c r="BD237" s="98"/>
      <c r="BE237" s="97"/>
      <c r="BF237" s="97"/>
      <c r="BG237" s="97"/>
      <c r="BH237" s="97"/>
      <c r="CJ237" s="1"/>
    </row>
    <row r="238" spans="19:88" s="17" customFormat="1" ht="22.5" customHeight="1" x14ac:dyDescent="0.25">
      <c r="S238" s="1"/>
      <c r="V238" s="99"/>
      <c r="W238" s="99"/>
      <c r="AF238" s="1"/>
      <c r="AN238" s="1"/>
      <c r="AV238" s="1"/>
      <c r="AW238" s="97"/>
      <c r="AX238" s="97"/>
      <c r="AY238" s="97"/>
      <c r="AZ238" s="97"/>
      <c r="BA238" s="97"/>
      <c r="BB238" s="97"/>
      <c r="BC238" s="97"/>
      <c r="BD238" s="98"/>
      <c r="BE238" s="97"/>
      <c r="BF238" s="97"/>
      <c r="BG238" s="97"/>
      <c r="BH238" s="97"/>
      <c r="CJ238" s="1"/>
    </row>
    <row r="239" spans="19:88" s="17" customFormat="1" ht="22.5" customHeight="1" x14ac:dyDescent="0.25">
      <c r="S239" s="1"/>
      <c r="V239" s="99"/>
      <c r="W239" s="99"/>
      <c r="AF239" s="1"/>
      <c r="AN239" s="1"/>
      <c r="AV239" s="1"/>
      <c r="AW239" s="97"/>
      <c r="AX239" s="97"/>
      <c r="AY239" s="97"/>
      <c r="AZ239" s="97"/>
      <c r="BA239" s="97"/>
      <c r="BB239" s="97"/>
      <c r="BC239" s="97"/>
      <c r="BD239" s="98"/>
      <c r="BE239" s="97"/>
      <c r="BF239" s="97"/>
      <c r="BG239" s="97"/>
      <c r="BH239" s="97"/>
      <c r="CJ239" s="1"/>
    </row>
    <row r="240" spans="19:88" s="17" customFormat="1" ht="22.5" customHeight="1" x14ac:dyDescent="0.25">
      <c r="S240" s="1"/>
      <c r="V240" s="99"/>
      <c r="W240" s="99"/>
      <c r="AF240" s="1"/>
      <c r="AN240" s="1"/>
      <c r="AV240" s="1"/>
      <c r="AW240" s="97"/>
      <c r="AX240" s="97"/>
      <c r="AY240" s="97"/>
      <c r="AZ240" s="97"/>
      <c r="BA240" s="97"/>
      <c r="BB240" s="97"/>
      <c r="BC240" s="97"/>
      <c r="BD240" s="98"/>
      <c r="BE240" s="97"/>
      <c r="BF240" s="97"/>
      <c r="BG240" s="97"/>
      <c r="BH240" s="97"/>
      <c r="CJ240" s="1"/>
    </row>
    <row r="241" spans="19:88" s="17" customFormat="1" ht="22.5" customHeight="1" x14ac:dyDescent="0.25">
      <c r="S241" s="1"/>
      <c r="V241" s="99"/>
      <c r="W241" s="99"/>
      <c r="AF241" s="1"/>
      <c r="AN241" s="1"/>
      <c r="AV241" s="1"/>
      <c r="AW241" s="97"/>
      <c r="AX241" s="97"/>
      <c r="AY241" s="97"/>
      <c r="AZ241" s="97"/>
      <c r="BA241" s="97"/>
      <c r="BB241" s="97"/>
      <c r="BC241" s="97"/>
      <c r="BD241" s="98"/>
      <c r="BE241" s="97"/>
      <c r="BF241" s="97"/>
      <c r="BG241" s="97"/>
      <c r="BH241" s="97"/>
      <c r="CJ241" s="1"/>
    </row>
    <row r="242" spans="19:88" s="17" customFormat="1" ht="22.5" customHeight="1" x14ac:dyDescent="0.25">
      <c r="S242" s="1"/>
      <c r="V242" s="99"/>
      <c r="W242" s="99"/>
      <c r="AF242" s="1"/>
      <c r="AN242" s="1"/>
      <c r="AV242" s="1"/>
      <c r="AW242" s="97"/>
      <c r="AX242" s="97"/>
      <c r="AY242" s="97"/>
      <c r="AZ242" s="97"/>
      <c r="BA242" s="97"/>
      <c r="BB242" s="97"/>
      <c r="BC242" s="97"/>
      <c r="BD242" s="98"/>
      <c r="BE242" s="97"/>
      <c r="BF242" s="97"/>
      <c r="BG242" s="97"/>
      <c r="BH242" s="97"/>
      <c r="CJ242" s="1"/>
    </row>
    <row r="243" spans="19:88" s="17" customFormat="1" ht="22.5" customHeight="1" x14ac:dyDescent="0.25">
      <c r="S243" s="1"/>
      <c r="V243" s="99"/>
      <c r="W243" s="99"/>
      <c r="AF243" s="1"/>
      <c r="AN243" s="1"/>
      <c r="AV243" s="1"/>
      <c r="AW243" s="97"/>
      <c r="AX243" s="97"/>
      <c r="AY243" s="97"/>
      <c r="AZ243" s="97"/>
      <c r="BA243" s="97"/>
      <c r="BB243" s="97"/>
      <c r="BC243" s="97"/>
      <c r="BD243" s="98"/>
      <c r="BE243" s="97"/>
      <c r="BF243" s="97"/>
      <c r="BG243" s="97"/>
      <c r="BH243" s="97"/>
      <c r="CJ243" s="1"/>
    </row>
    <row r="244" spans="19:88" s="17" customFormat="1" ht="22.5" customHeight="1" x14ac:dyDescent="0.25">
      <c r="S244" s="1"/>
      <c r="V244" s="99"/>
      <c r="W244" s="99"/>
      <c r="AF244" s="1"/>
      <c r="AN244" s="1"/>
      <c r="AV244" s="1"/>
      <c r="AW244" s="97"/>
      <c r="AX244" s="97"/>
      <c r="AY244" s="97"/>
      <c r="AZ244" s="97"/>
      <c r="BA244" s="97"/>
      <c r="BB244" s="97"/>
      <c r="BC244" s="97"/>
      <c r="BD244" s="98"/>
      <c r="BE244" s="97"/>
      <c r="BF244" s="97"/>
      <c r="BG244" s="97"/>
      <c r="BH244" s="97"/>
      <c r="CJ244" s="1"/>
    </row>
    <row r="245" spans="19:88" s="17" customFormat="1" ht="22.5" customHeight="1" x14ac:dyDescent="0.25">
      <c r="S245" s="1"/>
      <c r="V245" s="99"/>
      <c r="W245" s="99"/>
      <c r="AF245" s="1"/>
      <c r="AN245" s="1"/>
      <c r="AV245" s="1"/>
      <c r="AW245" s="97"/>
      <c r="AX245" s="97"/>
      <c r="AY245" s="97"/>
      <c r="AZ245" s="97"/>
      <c r="BA245" s="97"/>
      <c r="BB245" s="97"/>
      <c r="BC245" s="97"/>
      <c r="BD245" s="98"/>
      <c r="BE245" s="97"/>
      <c r="BF245" s="97"/>
      <c r="BG245" s="97"/>
      <c r="BH245" s="97"/>
      <c r="CJ245" s="1"/>
    </row>
    <row r="246" spans="19:88" s="17" customFormat="1" ht="22.5" customHeight="1" x14ac:dyDescent="0.25">
      <c r="S246" s="1"/>
      <c r="V246" s="99"/>
      <c r="W246" s="99"/>
      <c r="AF246" s="1"/>
      <c r="AN246" s="1"/>
      <c r="AV246" s="1"/>
      <c r="AW246" s="97"/>
      <c r="AX246" s="97"/>
      <c r="AY246" s="97"/>
      <c r="AZ246" s="97"/>
      <c r="BA246" s="97"/>
      <c r="BB246" s="97"/>
      <c r="BC246" s="97"/>
      <c r="BD246" s="98"/>
      <c r="BE246" s="97"/>
      <c r="BF246" s="97"/>
      <c r="BG246" s="97"/>
      <c r="BH246" s="97"/>
      <c r="CJ246" s="1"/>
    </row>
    <row r="247" spans="19:88" s="17" customFormat="1" ht="22.5" customHeight="1" x14ac:dyDescent="0.25">
      <c r="S247" s="1"/>
      <c r="V247" s="99"/>
      <c r="W247" s="99"/>
      <c r="AF247" s="1"/>
      <c r="AN247" s="1"/>
      <c r="AV247" s="1"/>
      <c r="AW247" s="97"/>
      <c r="AX247" s="97"/>
      <c r="AY247" s="97"/>
      <c r="AZ247" s="97"/>
      <c r="BA247" s="97"/>
      <c r="BB247" s="97"/>
      <c r="BC247" s="97"/>
      <c r="BD247" s="98"/>
      <c r="BE247" s="97"/>
      <c r="BF247" s="97"/>
      <c r="BG247" s="97"/>
      <c r="BH247" s="97"/>
      <c r="CJ247" s="1"/>
    </row>
    <row r="248" spans="19:88" s="17" customFormat="1" ht="22.5" customHeight="1" x14ac:dyDescent="0.25">
      <c r="S248" s="1"/>
      <c r="V248" s="99"/>
      <c r="W248" s="99"/>
      <c r="AF248" s="1"/>
      <c r="AN248" s="1"/>
      <c r="AV248" s="1"/>
      <c r="AW248" s="97"/>
      <c r="AX248" s="97"/>
      <c r="AY248" s="97"/>
      <c r="AZ248" s="97"/>
      <c r="BA248" s="97"/>
      <c r="BB248" s="97"/>
      <c r="BC248" s="97"/>
      <c r="BD248" s="98"/>
      <c r="BE248" s="97"/>
      <c r="BF248" s="97"/>
      <c r="BG248" s="97"/>
      <c r="BH248" s="97"/>
      <c r="CJ248" s="1"/>
    </row>
    <row r="249" spans="19:88" s="17" customFormat="1" ht="22.5" customHeight="1" x14ac:dyDescent="0.25">
      <c r="S249" s="1"/>
      <c r="V249" s="99"/>
      <c r="W249" s="99"/>
      <c r="AF249" s="1"/>
      <c r="AN249" s="1"/>
      <c r="AV249" s="1"/>
      <c r="AW249" s="97"/>
      <c r="AX249" s="97"/>
      <c r="AY249" s="97"/>
      <c r="AZ249" s="97"/>
      <c r="BA249" s="97"/>
      <c r="BB249" s="97"/>
      <c r="BC249" s="97"/>
      <c r="BD249" s="98"/>
      <c r="BE249" s="97"/>
      <c r="BF249" s="97"/>
      <c r="BG249" s="97"/>
      <c r="BH249" s="97"/>
      <c r="CJ249" s="1"/>
    </row>
    <row r="250" spans="19:88" s="17" customFormat="1" ht="22.5" customHeight="1" x14ac:dyDescent="0.25">
      <c r="S250" s="1"/>
      <c r="V250" s="99"/>
      <c r="W250" s="99"/>
      <c r="AF250" s="1"/>
      <c r="AN250" s="1"/>
      <c r="AV250" s="1"/>
      <c r="AW250" s="97"/>
      <c r="AX250" s="97"/>
      <c r="AY250" s="97"/>
      <c r="AZ250" s="97"/>
      <c r="BA250" s="97"/>
      <c r="BB250" s="97"/>
      <c r="BC250" s="97"/>
      <c r="BD250" s="98"/>
      <c r="BE250" s="97"/>
      <c r="BF250" s="97"/>
      <c r="BG250" s="97"/>
      <c r="BH250" s="97"/>
      <c r="CJ250" s="1"/>
    </row>
    <row r="251" spans="19:88" s="17" customFormat="1" ht="22.5" customHeight="1" x14ac:dyDescent="0.25">
      <c r="S251" s="1"/>
      <c r="V251" s="99"/>
      <c r="W251" s="99"/>
      <c r="AF251" s="1"/>
      <c r="AN251" s="1"/>
      <c r="AV251" s="1"/>
      <c r="AW251" s="97"/>
      <c r="AX251" s="97"/>
      <c r="AY251" s="97"/>
      <c r="AZ251" s="97"/>
      <c r="BA251" s="97"/>
      <c r="BB251" s="97"/>
      <c r="BC251" s="97"/>
      <c r="BD251" s="98"/>
      <c r="BE251" s="97"/>
      <c r="BF251" s="97"/>
      <c r="BG251" s="97"/>
      <c r="BH251" s="97"/>
      <c r="CJ251" s="1"/>
    </row>
    <row r="252" spans="19:88" s="17" customFormat="1" ht="22.5" customHeight="1" x14ac:dyDescent="0.25">
      <c r="S252" s="1"/>
      <c r="V252" s="99"/>
      <c r="W252" s="99"/>
      <c r="AF252" s="1"/>
      <c r="AN252" s="1"/>
      <c r="AV252" s="1"/>
      <c r="AW252" s="97"/>
      <c r="AX252" s="97"/>
      <c r="AY252" s="97"/>
      <c r="AZ252" s="97"/>
      <c r="BA252" s="97"/>
      <c r="BB252" s="97"/>
      <c r="BC252" s="97"/>
      <c r="BD252" s="98"/>
      <c r="BE252" s="97"/>
      <c r="BF252" s="97"/>
      <c r="BG252" s="97"/>
      <c r="BH252" s="97"/>
      <c r="CJ252" s="1"/>
    </row>
    <row r="253" spans="19:88" s="17" customFormat="1" ht="22.5" customHeight="1" x14ac:dyDescent="0.25">
      <c r="S253" s="1"/>
      <c r="V253" s="99"/>
      <c r="W253" s="99"/>
      <c r="AF253" s="1"/>
      <c r="AN253" s="1"/>
      <c r="AV253" s="1"/>
      <c r="AW253" s="97"/>
      <c r="AX253" s="97"/>
      <c r="AY253" s="97"/>
      <c r="AZ253" s="97"/>
      <c r="BA253" s="97"/>
      <c r="BB253" s="97"/>
      <c r="BC253" s="97"/>
      <c r="BD253" s="98"/>
      <c r="BE253" s="97"/>
      <c r="BF253" s="97"/>
      <c r="BG253" s="97"/>
      <c r="BH253" s="97"/>
      <c r="CJ253" s="1"/>
    </row>
    <row r="254" spans="19:88" s="17" customFormat="1" ht="22.5" customHeight="1" x14ac:dyDescent="0.25">
      <c r="S254" s="1"/>
      <c r="V254" s="99"/>
      <c r="W254" s="99"/>
      <c r="AF254" s="1"/>
      <c r="AN254" s="1"/>
      <c r="AV254" s="1"/>
      <c r="AW254" s="97"/>
      <c r="AX254" s="97"/>
      <c r="AY254" s="97"/>
      <c r="AZ254" s="97"/>
      <c r="BA254" s="97"/>
      <c r="BB254" s="97"/>
      <c r="BC254" s="97"/>
      <c r="BD254" s="98"/>
      <c r="BE254" s="97"/>
      <c r="BF254" s="97"/>
      <c r="BG254" s="97"/>
      <c r="BH254" s="97"/>
      <c r="CJ254" s="1"/>
    </row>
    <row r="255" spans="19:88" s="17" customFormat="1" ht="22.5" customHeight="1" x14ac:dyDescent="0.25">
      <c r="S255" s="1"/>
      <c r="V255" s="99"/>
      <c r="W255" s="99"/>
      <c r="AF255" s="1"/>
      <c r="AN255" s="1"/>
      <c r="AV255" s="1"/>
      <c r="AW255" s="97"/>
      <c r="AX255" s="97"/>
      <c r="AY255" s="97"/>
      <c r="AZ255" s="97"/>
      <c r="BA255" s="97"/>
      <c r="BB255" s="97"/>
      <c r="BC255" s="97"/>
      <c r="BD255" s="98"/>
      <c r="BE255" s="97"/>
      <c r="BF255" s="97"/>
      <c r="BG255" s="97"/>
      <c r="BH255" s="97"/>
      <c r="CJ255" s="1"/>
    </row>
    <row r="256" spans="19:88" s="17" customFormat="1" ht="22.5" customHeight="1" x14ac:dyDescent="0.25">
      <c r="S256" s="1"/>
      <c r="V256" s="99"/>
      <c r="W256" s="99"/>
      <c r="AF256" s="1"/>
      <c r="AN256" s="1"/>
      <c r="AV256" s="1"/>
      <c r="AW256" s="97"/>
      <c r="AX256" s="97"/>
      <c r="AY256" s="97"/>
      <c r="AZ256" s="97"/>
      <c r="BA256" s="97"/>
      <c r="BB256" s="97"/>
      <c r="BC256" s="97"/>
      <c r="BD256" s="98"/>
      <c r="BE256" s="97"/>
      <c r="BF256" s="97"/>
      <c r="BG256" s="97"/>
      <c r="BH256" s="97"/>
      <c r="CJ256" s="1"/>
    </row>
    <row r="257" spans="19:88" s="17" customFormat="1" ht="22.5" customHeight="1" x14ac:dyDescent="0.25">
      <c r="S257" s="1"/>
      <c r="V257" s="99"/>
      <c r="W257" s="99"/>
      <c r="AF257" s="1"/>
      <c r="AN257" s="1"/>
      <c r="AV257" s="1"/>
      <c r="AW257" s="97"/>
      <c r="AX257" s="97"/>
      <c r="AY257" s="97"/>
      <c r="AZ257" s="97"/>
      <c r="BA257" s="97"/>
      <c r="BB257" s="97"/>
      <c r="BC257" s="97"/>
      <c r="BD257" s="98"/>
      <c r="BE257" s="97"/>
      <c r="BF257" s="97"/>
      <c r="BG257" s="97"/>
      <c r="BH257" s="97"/>
      <c r="CJ257" s="1"/>
    </row>
    <row r="258" spans="19:88" s="17" customFormat="1" ht="22.5" customHeight="1" x14ac:dyDescent="0.25">
      <c r="S258" s="1"/>
      <c r="V258" s="99"/>
      <c r="W258" s="99"/>
      <c r="AF258" s="1"/>
      <c r="AN258" s="1"/>
      <c r="AV258" s="1"/>
      <c r="AW258" s="97"/>
      <c r="AX258" s="97"/>
      <c r="AY258" s="97"/>
      <c r="AZ258" s="97"/>
      <c r="BA258" s="97"/>
      <c r="BB258" s="97"/>
      <c r="BC258" s="97"/>
      <c r="BD258" s="98"/>
      <c r="BE258" s="97"/>
      <c r="BF258" s="97"/>
      <c r="BG258" s="97"/>
      <c r="BH258" s="97"/>
      <c r="CJ258" s="1"/>
    </row>
    <row r="259" spans="19:88" s="17" customFormat="1" ht="22.5" customHeight="1" x14ac:dyDescent="0.25">
      <c r="S259" s="1"/>
      <c r="V259" s="99"/>
      <c r="W259" s="99"/>
      <c r="AF259" s="1"/>
      <c r="AN259" s="1"/>
      <c r="AV259" s="1"/>
      <c r="AW259" s="97"/>
      <c r="AX259" s="97"/>
      <c r="AY259" s="97"/>
      <c r="AZ259" s="97"/>
      <c r="BA259" s="97"/>
      <c r="BB259" s="97"/>
      <c r="BC259" s="97"/>
      <c r="BD259" s="98"/>
      <c r="BE259" s="97"/>
      <c r="BF259" s="97"/>
      <c r="BG259" s="97"/>
      <c r="BH259" s="97"/>
      <c r="CJ259" s="1"/>
    </row>
    <row r="260" spans="19:88" s="17" customFormat="1" ht="22.5" customHeight="1" x14ac:dyDescent="0.25">
      <c r="S260" s="1"/>
      <c r="V260" s="99"/>
      <c r="W260" s="99"/>
      <c r="AF260" s="1"/>
      <c r="AN260" s="1"/>
      <c r="AV260" s="1"/>
      <c r="AW260" s="97"/>
      <c r="AX260" s="97"/>
      <c r="AY260" s="97"/>
      <c r="AZ260" s="97"/>
      <c r="BA260" s="97"/>
      <c r="BB260" s="97"/>
      <c r="BC260" s="97"/>
      <c r="BD260" s="98"/>
      <c r="BE260" s="97"/>
      <c r="BF260" s="97"/>
      <c r="BG260" s="97"/>
      <c r="BH260" s="97"/>
      <c r="CJ260" s="1"/>
    </row>
    <row r="261" spans="19:88" s="17" customFormat="1" ht="22.5" customHeight="1" x14ac:dyDescent="0.25">
      <c r="S261" s="1"/>
      <c r="V261" s="99"/>
      <c r="W261" s="99"/>
      <c r="AF261" s="1"/>
      <c r="AN261" s="1"/>
      <c r="AV261" s="1"/>
      <c r="AW261" s="97"/>
      <c r="AX261" s="97"/>
      <c r="AY261" s="97"/>
      <c r="AZ261" s="97"/>
      <c r="BA261" s="97"/>
      <c r="BB261" s="97"/>
      <c r="BC261" s="97"/>
      <c r="BD261" s="98"/>
      <c r="BE261" s="97"/>
      <c r="BF261" s="97"/>
      <c r="BG261" s="97"/>
      <c r="BH261" s="97"/>
      <c r="CJ261" s="1"/>
    </row>
    <row r="262" spans="19:88" s="17" customFormat="1" ht="22.5" customHeight="1" x14ac:dyDescent="0.25">
      <c r="S262" s="1"/>
      <c r="V262" s="99"/>
      <c r="W262" s="99"/>
      <c r="AF262" s="1"/>
      <c r="AN262" s="1"/>
      <c r="AV262" s="1"/>
      <c r="AW262" s="97"/>
      <c r="AX262" s="97"/>
      <c r="AY262" s="97"/>
      <c r="AZ262" s="97"/>
      <c r="BA262" s="97"/>
      <c r="BB262" s="97"/>
      <c r="BC262" s="97"/>
      <c r="BD262" s="98"/>
      <c r="BE262" s="97"/>
      <c r="BF262" s="97"/>
      <c r="BG262" s="97"/>
      <c r="BH262" s="97"/>
      <c r="CJ262" s="1"/>
    </row>
    <row r="263" spans="19:88" s="17" customFormat="1" ht="22.5" customHeight="1" x14ac:dyDescent="0.25">
      <c r="S263" s="1"/>
      <c r="V263" s="99"/>
      <c r="W263" s="99"/>
      <c r="AF263" s="1"/>
      <c r="AN263" s="1"/>
      <c r="AV263" s="1"/>
      <c r="AW263" s="97"/>
      <c r="AX263" s="97"/>
      <c r="AY263" s="97"/>
      <c r="AZ263" s="97"/>
      <c r="BA263" s="97"/>
      <c r="BB263" s="97"/>
      <c r="BC263" s="97"/>
      <c r="BD263" s="98"/>
      <c r="BE263" s="97"/>
      <c r="BF263" s="97"/>
      <c r="BG263" s="97"/>
      <c r="BH263" s="97"/>
      <c r="CJ263" s="1"/>
    </row>
    <row r="264" spans="19:88" s="17" customFormat="1" ht="22.5" customHeight="1" x14ac:dyDescent="0.25">
      <c r="S264" s="1"/>
      <c r="V264" s="99"/>
      <c r="W264" s="99"/>
      <c r="AF264" s="1"/>
      <c r="AN264" s="1"/>
      <c r="AV264" s="1"/>
      <c r="AW264" s="97"/>
      <c r="AX264" s="97"/>
      <c r="AY264" s="97"/>
      <c r="AZ264" s="97"/>
      <c r="BA264" s="97"/>
      <c r="BB264" s="97"/>
      <c r="BC264" s="97"/>
      <c r="BD264" s="98"/>
      <c r="BE264" s="97"/>
      <c r="BF264" s="97"/>
      <c r="BG264" s="97"/>
      <c r="BH264" s="97"/>
      <c r="CJ264" s="1"/>
    </row>
    <row r="265" spans="19:88" s="17" customFormat="1" ht="22.5" customHeight="1" x14ac:dyDescent="0.25">
      <c r="S265" s="1"/>
      <c r="V265" s="99"/>
      <c r="W265" s="99"/>
      <c r="AF265" s="1"/>
      <c r="AN265" s="1"/>
      <c r="AV265" s="1"/>
      <c r="AW265" s="97"/>
      <c r="AX265" s="97"/>
      <c r="AY265" s="97"/>
      <c r="AZ265" s="97"/>
      <c r="BA265" s="97"/>
      <c r="BB265" s="97"/>
      <c r="BC265" s="97"/>
      <c r="BD265" s="98"/>
      <c r="BE265" s="97"/>
      <c r="BF265" s="97"/>
      <c r="BG265" s="97"/>
      <c r="BH265" s="97"/>
      <c r="CJ265" s="1"/>
    </row>
    <row r="266" spans="19:88" s="17" customFormat="1" ht="22.5" customHeight="1" x14ac:dyDescent="0.25">
      <c r="S266" s="1"/>
      <c r="V266" s="99"/>
      <c r="W266" s="99"/>
      <c r="AF266" s="1"/>
      <c r="AN266" s="1"/>
      <c r="AV266" s="1"/>
      <c r="AW266" s="97"/>
      <c r="AX266" s="97"/>
      <c r="AY266" s="97"/>
      <c r="AZ266" s="97"/>
      <c r="BA266" s="97"/>
      <c r="BB266" s="97"/>
      <c r="BC266" s="97"/>
      <c r="BD266" s="98"/>
      <c r="BE266" s="97"/>
      <c r="BF266" s="97"/>
      <c r="BG266" s="97"/>
      <c r="BH266" s="97"/>
      <c r="CJ266" s="1"/>
    </row>
    <row r="267" spans="19:88" s="17" customFormat="1" ht="22.5" customHeight="1" x14ac:dyDescent="0.25">
      <c r="S267" s="1"/>
      <c r="V267" s="99"/>
      <c r="W267" s="99"/>
      <c r="AF267" s="1"/>
      <c r="AN267" s="1"/>
      <c r="AV267" s="1"/>
      <c r="AW267" s="97"/>
      <c r="AX267" s="97"/>
      <c r="AY267" s="97"/>
      <c r="AZ267" s="97"/>
      <c r="BA267" s="97"/>
      <c r="BB267" s="97"/>
      <c r="BC267" s="97"/>
      <c r="BD267" s="98"/>
      <c r="BE267" s="97"/>
      <c r="BF267" s="97"/>
      <c r="BG267" s="97"/>
      <c r="BH267" s="97"/>
      <c r="CJ267" s="1"/>
    </row>
    <row r="268" spans="19:88" s="17" customFormat="1" ht="22.5" customHeight="1" x14ac:dyDescent="0.25">
      <c r="S268" s="1"/>
      <c r="V268" s="99"/>
      <c r="W268" s="99"/>
      <c r="AF268" s="1"/>
      <c r="AN268" s="1"/>
      <c r="AV268" s="1"/>
      <c r="AW268" s="97"/>
      <c r="AX268" s="97"/>
      <c r="AY268" s="97"/>
      <c r="AZ268" s="97"/>
      <c r="BA268" s="97"/>
      <c r="BB268" s="97"/>
      <c r="BC268" s="97"/>
      <c r="BD268" s="98"/>
      <c r="BE268" s="97"/>
      <c r="BF268" s="97"/>
      <c r="BG268" s="97"/>
      <c r="BH268" s="97"/>
      <c r="CJ268" s="1"/>
    </row>
    <row r="269" spans="19:88" s="17" customFormat="1" ht="22.5" customHeight="1" x14ac:dyDescent="0.25">
      <c r="S269" s="1"/>
      <c r="V269" s="99"/>
      <c r="W269" s="99"/>
      <c r="AF269" s="1"/>
      <c r="AN269" s="1"/>
      <c r="AV269" s="1"/>
      <c r="AW269" s="97"/>
      <c r="AX269" s="97"/>
      <c r="AY269" s="97"/>
      <c r="AZ269" s="97"/>
      <c r="BA269" s="97"/>
      <c r="BB269" s="97"/>
      <c r="BC269" s="97"/>
      <c r="BD269" s="98"/>
      <c r="BE269" s="97"/>
      <c r="BF269" s="97"/>
      <c r="BG269" s="97"/>
      <c r="BH269" s="97"/>
      <c r="CJ269" s="1"/>
    </row>
    <row r="270" spans="19:88" s="17" customFormat="1" ht="22.5" customHeight="1" x14ac:dyDescent="0.25">
      <c r="S270" s="1"/>
      <c r="V270" s="99"/>
      <c r="W270" s="99"/>
      <c r="AF270" s="1"/>
      <c r="AN270" s="1"/>
      <c r="AV270" s="1"/>
      <c r="AW270" s="97"/>
      <c r="AX270" s="97"/>
      <c r="AY270" s="97"/>
      <c r="AZ270" s="97"/>
      <c r="BA270" s="97"/>
      <c r="BB270" s="97"/>
      <c r="BC270" s="97"/>
      <c r="BD270" s="98"/>
      <c r="BE270" s="97"/>
      <c r="BF270" s="97"/>
      <c r="BG270" s="97"/>
      <c r="BH270" s="97"/>
      <c r="CJ270" s="1"/>
    </row>
    <row r="271" spans="19:88" s="17" customFormat="1" ht="22.5" customHeight="1" x14ac:dyDescent="0.25">
      <c r="S271" s="1"/>
      <c r="V271" s="99"/>
      <c r="W271" s="99"/>
      <c r="AF271" s="1"/>
      <c r="AN271" s="1"/>
      <c r="AV271" s="1"/>
      <c r="AW271" s="97"/>
      <c r="AX271" s="97"/>
      <c r="AY271" s="97"/>
      <c r="AZ271" s="97"/>
      <c r="BA271" s="97"/>
      <c r="BB271" s="97"/>
      <c r="BC271" s="97"/>
      <c r="BD271" s="98"/>
      <c r="BE271" s="97"/>
      <c r="BF271" s="97"/>
      <c r="BG271" s="97"/>
      <c r="BH271" s="97"/>
      <c r="CJ271" s="1"/>
    </row>
    <row r="272" spans="19:88" s="17" customFormat="1" ht="22.5" customHeight="1" x14ac:dyDescent="0.25">
      <c r="S272" s="1"/>
      <c r="V272" s="99"/>
      <c r="W272" s="99"/>
      <c r="AF272" s="1"/>
      <c r="AN272" s="1"/>
      <c r="AV272" s="1"/>
      <c r="AW272" s="97"/>
      <c r="AX272" s="97"/>
      <c r="AY272" s="97"/>
      <c r="AZ272" s="97"/>
      <c r="BA272" s="97"/>
      <c r="BB272" s="97"/>
      <c r="BC272" s="97"/>
      <c r="BD272" s="98"/>
      <c r="BE272" s="97"/>
      <c r="BF272" s="97"/>
      <c r="BG272" s="97"/>
      <c r="BH272" s="97"/>
      <c r="CJ272" s="1"/>
    </row>
    <row r="273" spans="19:88" s="17" customFormat="1" ht="22.5" customHeight="1" x14ac:dyDescent="0.25">
      <c r="S273" s="1"/>
      <c r="V273" s="99"/>
      <c r="W273" s="99"/>
      <c r="AF273" s="1"/>
      <c r="AN273" s="1"/>
      <c r="AV273" s="1"/>
      <c r="AW273" s="97"/>
      <c r="AX273" s="97"/>
      <c r="AY273" s="97"/>
      <c r="AZ273" s="97"/>
      <c r="BA273" s="97"/>
      <c r="BB273" s="97"/>
      <c r="BC273" s="97"/>
      <c r="BD273" s="98"/>
      <c r="BE273" s="97"/>
      <c r="BF273" s="97"/>
      <c r="BG273" s="97"/>
      <c r="BH273" s="97"/>
      <c r="CJ273" s="1"/>
    </row>
    <row r="274" spans="19:88" s="17" customFormat="1" ht="22.5" customHeight="1" x14ac:dyDescent="0.25">
      <c r="S274" s="1"/>
      <c r="V274" s="99"/>
      <c r="W274" s="99"/>
      <c r="AF274" s="1"/>
      <c r="AN274" s="1"/>
      <c r="AV274" s="1"/>
      <c r="AW274" s="97"/>
      <c r="AX274" s="97"/>
      <c r="AY274" s="97"/>
      <c r="AZ274" s="97"/>
      <c r="BA274" s="97"/>
      <c r="BB274" s="97"/>
      <c r="BC274" s="97"/>
      <c r="BD274" s="98"/>
      <c r="BE274" s="97"/>
      <c r="BF274" s="97"/>
      <c r="BG274" s="97"/>
      <c r="BH274" s="97"/>
      <c r="CJ274" s="1"/>
    </row>
    <row r="275" spans="19:88" s="17" customFormat="1" ht="22.5" customHeight="1" x14ac:dyDescent="0.25">
      <c r="S275" s="1"/>
      <c r="V275" s="99"/>
      <c r="W275" s="99"/>
      <c r="AF275" s="1"/>
      <c r="AN275" s="1"/>
      <c r="AV275" s="1"/>
      <c r="AW275" s="97"/>
      <c r="AX275" s="97"/>
      <c r="AY275" s="97"/>
      <c r="AZ275" s="97"/>
      <c r="BA275" s="97"/>
      <c r="BB275" s="97"/>
      <c r="BC275" s="97"/>
      <c r="BD275" s="98"/>
      <c r="BE275" s="97"/>
      <c r="BF275" s="97"/>
      <c r="BG275" s="97"/>
      <c r="BH275" s="97"/>
      <c r="CJ275" s="1"/>
    </row>
    <row r="276" spans="19:88" s="17" customFormat="1" ht="22.5" customHeight="1" x14ac:dyDescent="0.25">
      <c r="S276" s="1"/>
      <c r="V276" s="99"/>
      <c r="W276" s="99"/>
      <c r="AF276" s="1"/>
      <c r="AN276" s="1"/>
      <c r="AV276" s="1"/>
      <c r="AW276" s="97"/>
      <c r="AX276" s="97"/>
      <c r="AY276" s="97"/>
      <c r="AZ276" s="97"/>
      <c r="BA276" s="97"/>
      <c r="BB276" s="97"/>
      <c r="BC276" s="97"/>
      <c r="BD276" s="98"/>
      <c r="BE276" s="97"/>
      <c r="BF276" s="97"/>
      <c r="BG276" s="97"/>
      <c r="BH276" s="97"/>
      <c r="CJ276" s="1"/>
    </row>
    <row r="277" spans="19:88" s="17" customFormat="1" ht="22.5" customHeight="1" x14ac:dyDescent="0.25">
      <c r="S277" s="1"/>
      <c r="V277" s="99"/>
      <c r="W277" s="99"/>
      <c r="AF277" s="1"/>
      <c r="AN277" s="1"/>
      <c r="AV277" s="1"/>
      <c r="AW277" s="97"/>
      <c r="AX277" s="97"/>
      <c r="AY277" s="97"/>
      <c r="AZ277" s="97"/>
      <c r="BA277" s="97"/>
      <c r="BB277" s="97"/>
      <c r="BC277" s="97"/>
      <c r="BD277" s="98"/>
      <c r="BE277" s="97"/>
      <c r="BF277" s="97"/>
      <c r="BG277" s="97"/>
      <c r="BH277" s="97"/>
      <c r="CJ277" s="1"/>
    </row>
    <row r="278" spans="19:88" s="17" customFormat="1" ht="22.5" customHeight="1" x14ac:dyDescent="0.25">
      <c r="S278" s="1"/>
      <c r="V278" s="99"/>
      <c r="W278" s="99"/>
      <c r="AF278" s="1"/>
      <c r="AN278" s="1"/>
      <c r="AV278" s="1"/>
      <c r="AW278" s="97"/>
      <c r="AX278" s="97"/>
      <c r="AY278" s="97"/>
      <c r="AZ278" s="97"/>
      <c r="BA278" s="97"/>
      <c r="BB278" s="97"/>
      <c r="BC278" s="97"/>
      <c r="BD278" s="98"/>
      <c r="BE278" s="97"/>
      <c r="BF278" s="97"/>
      <c r="BG278" s="97"/>
      <c r="BH278" s="97"/>
      <c r="CJ278" s="1"/>
    </row>
    <row r="279" spans="19:88" s="17" customFormat="1" ht="22.5" customHeight="1" x14ac:dyDescent="0.25">
      <c r="S279" s="1"/>
      <c r="V279" s="99"/>
      <c r="W279" s="99"/>
      <c r="AF279" s="1"/>
      <c r="AN279" s="1"/>
      <c r="AV279" s="1"/>
      <c r="AW279" s="97"/>
      <c r="AX279" s="97"/>
      <c r="AY279" s="97"/>
      <c r="AZ279" s="97"/>
      <c r="BA279" s="97"/>
      <c r="BB279" s="97"/>
      <c r="BC279" s="97"/>
      <c r="BD279" s="98"/>
      <c r="BE279" s="97"/>
      <c r="BF279" s="97"/>
      <c r="BG279" s="97"/>
      <c r="BH279" s="97"/>
      <c r="CJ279" s="1"/>
    </row>
    <row r="280" spans="19:88" s="17" customFormat="1" ht="22.5" customHeight="1" x14ac:dyDescent="0.25">
      <c r="S280" s="1"/>
      <c r="V280" s="99"/>
      <c r="W280" s="99"/>
      <c r="AF280" s="1"/>
      <c r="AN280" s="1"/>
      <c r="AV280" s="1"/>
      <c r="AW280" s="97"/>
      <c r="AX280" s="97"/>
      <c r="AY280" s="97"/>
      <c r="AZ280" s="97"/>
      <c r="BA280" s="97"/>
      <c r="BB280" s="97"/>
      <c r="BC280" s="97"/>
      <c r="BD280" s="98"/>
      <c r="BE280" s="97"/>
      <c r="BF280" s="97"/>
      <c r="BG280" s="97"/>
      <c r="BH280" s="97"/>
      <c r="CJ280" s="1"/>
    </row>
    <row r="281" spans="19:88" s="17" customFormat="1" ht="22.5" customHeight="1" x14ac:dyDescent="0.25">
      <c r="S281" s="1"/>
      <c r="V281" s="99"/>
      <c r="W281" s="99"/>
      <c r="AF281" s="1"/>
      <c r="AN281" s="1"/>
      <c r="AV281" s="1"/>
      <c r="AW281" s="97"/>
      <c r="AX281" s="97"/>
      <c r="AY281" s="97"/>
      <c r="AZ281" s="97"/>
      <c r="BA281" s="97"/>
      <c r="BB281" s="97"/>
      <c r="BC281" s="97"/>
      <c r="BD281" s="98"/>
      <c r="BE281" s="97"/>
      <c r="BF281" s="97"/>
      <c r="BG281" s="97"/>
      <c r="BH281" s="97"/>
      <c r="CJ281" s="1"/>
    </row>
    <row r="282" spans="19:88" s="17" customFormat="1" ht="22.5" customHeight="1" x14ac:dyDescent="0.25">
      <c r="S282" s="1"/>
      <c r="V282" s="99"/>
      <c r="W282" s="99"/>
      <c r="AF282" s="1"/>
      <c r="AN282" s="1"/>
      <c r="AV282" s="1"/>
      <c r="AW282" s="97"/>
      <c r="AX282" s="97"/>
      <c r="AY282" s="97"/>
      <c r="AZ282" s="97"/>
      <c r="BA282" s="97"/>
      <c r="BB282" s="97"/>
      <c r="BC282" s="97"/>
      <c r="BD282" s="98"/>
      <c r="BE282" s="97"/>
      <c r="BF282" s="97"/>
      <c r="BG282" s="97"/>
      <c r="BH282" s="97"/>
      <c r="CJ282" s="1"/>
    </row>
    <row r="283" spans="19:88" s="17" customFormat="1" ht="22.5" customHeight="1" x14ac:dyDescent="0.25">
      <c r="S283" s="1"/>
      <c r="V283" s="99"/>
      <c r="W283" s="99"/>
      <c r="AF283" s="1"/>
      <c r="AN283" s="1"/>
      <c r="AV283" s="1"/>
      <c r="AW283" s="97"/>
      <c r="AX283" s="97"/>
      <c r="AY283" s="97"/>
      <c r="AZ283" s="97"/>
      <c r="BA283" s="97"/>
      <c r="BB283" s="97"/>
      <c r="BC283" s="97"/>
      <c r="BD283" s="98"/>
      <c r="BE283" s="97"/>
      <c r="BF283" s="97"/>
      <c r="BG283" s="97"/>
      <c r="BH283" s="97"/>
      <c r="CJ283" s="1"/>
    </row>
    <row r="284" spans="19:88" s="17" customFormat="1" ht="22.5" customHeight="1" x14ac:dyDescent="0.25">
      <c r="S284" s="1"/>
      <c r="V284" s="99"/>
      <c r="W284" s="99"/>
      <c r="AF284" s="1"/>
      <c r="AN284" s="1"/>
      <c r="AV284" s="1"/>
      <c r="AW284" s="97"/>
      <c r="AX284" s="97"/>
      <c r="AY284" s="97"/>
      <c r="AZ284" s="97"/>
      <c r="BA284" s="97"/>
      <c r="BB284" s="97"/>
      <c r="BC284" s="97"/>
      <c r="BD284" s="98"/>
      <c r="BE284" s="97"/>
      <c r="BF284" s="97"/>
      <c r="BG284" s="97"/>
      <c r="BH284" s="97"/>
      <c r="CJ284" s="1"/>
    </row>
    <row r="285" spans="19:88" s="17" customFormat="1" ht="22.5" customHeight="1" x14ac:dyDescent="0.25">
      <c r="S285" s="1"/>
      <c r="V285" s="99"/>
      <c r="W285" s="99"/>
      <c r="AF285" s="1"/>
      <c r="AN285" s="1"/>
      <c r="AV285" s="1"/>
      <c r="AW285" s="97"/>
      <c r="AX285" s="97"/>
      <c r="AY285" s="97"/>
      <c r="AZ285" s="97"/>
      <c r="BA285" s="97"/>
      <c r="BB285" s="97"/>
      <c r="BC285" s="97"/>
      <c r="BD285" s="98"/>
      <c r="BE285" s="97"/>
      <c r="BF285" s="97"/>
      <c r="BG285" s="97"/>
      <c r="BH285" s="97"/>
      <c r="CJ285" s="1"/>
    </row>
    <row r="286" spans="19:88" s="17" customFormat="1" ht="22.5" customHeight="1" x14ac:dyDescent="0.25">
      <c r="S286" s="1"/>
      <c r="V286" s="99"/>
      <c r="W286" s="99"/>
      <c r="AF286" s="1"/>
      <c r="AN286" s="1"/>
      <c r="AV286" s="1"/>
      <c r="AW286" s="97"/>
      <c r="AX286" s="97"/>
      <c r="AY286" s="97"/>
      <c r="AZ286" s="97"/>
      <c r="BA286" s="97"/>
      <c r="BB286" s="97"/>
      <c r="BC286" s="97"/>
      <c r="BD286" s="98"/>
      <c r="BE286" s="97"/>
      <c r="BF286" s="97"/>
      <c r="BG286" s="97"/>
      <c r="BH286" s="97"/>
      <c r="CJ286" s="1"/>
    </row>
    <row r="287" spans="19:88" s="17" customFormat="1" ht="22.5" customHeight="1" x14ac:dyDescent="0.25">
      <c r="S287" s="1"/>
      <c r="V287" s="99"/>
      <c r="W287" s="99"/>
      <c r="AF287" s="1"/>
      <c r="AN287" s="1"/>
      <c r="AV287" s="1"/>
      <c r="AW287" s="97"/>
      <c r="AX287" s="97"/>
      <c r="AY287" s="97"/>
      <c r="AZ287" s="97"/>
      <c r="BA287" s="97"/>
      <c r="BB287" s="97"/>
      <c r="BC287" s="97"/>
      <c r="BD287" s="98"/>
      <c r="BE287" s="97"/>
      <c r="BF287" s="97"/>
      <c r="BG287" s="97"/>
      <c r="BH287" s="97"/>
      <c r="CJ287" s="1"/>
    </row>
    <row r="288" spans="19:88" s="17" customFormat="1" ht="22.5" customHeight="1" x14ac:dyDescent="0.25">
      <c r="S288" s="1"/>
      <c r="V288" s="99"/>
      <c r="W288" s="99"/>
      <c r="AF288" s="1"/>
      <c r="AN288" s="1"/>
      <c r="AV288" s="1"/>
      <c r="AW288" s="97"/>
      <c r="AX288" s="97"/>
      <c r="AY288" s="97"/>
      <c r="AZ288" s="97"/>
      <c r="BA288" s="97"/>
      <c r="BB288" s="97"/>
      <c r="BC288" s="97"/>
      <c r="BD288" s="98"/>
      <c r="BE288" s="97"/>
      <c r="BF288" s="97"/>
      <c r="BG288" s="97"/>
      <c r="BH288" s="97"/>
      <c r="CJ288" s="1"/>
    </row>
    <row r="289" spans="19:88" s="17" customFormat="1" ht="22.5" customHeight="1" x14ac:dyDescent="0.25">
      <c r="S289" s="1"/>
      <c r="V289" s="99"/>
      <c r="W289" s="99"/>
      <c r="AF289" s="1"/>
      <c r="AN289" s="1"/>
      <c r="AV289" s="1"/>
      <c r="AW289" s="97"/>
      <c r="AX289" s="97"/>
      <c r="AY289" s="97"/>
      <c r="AZ289" s="97"/>
      <c r="BA289" s="97"/>
      <c r="BB289" s="97"/>
      <c r="BC289" s="97"/>
      <c r="BD289" s="98"/>
      <c r="BE289" s="97"/>
      <c r="BF289" s="97"/>
      <c r="BG289" s="97"/>
      <c r="BH289" s="97"/>
      <c r="CJ289" s="1"/>
    </row>
    <row r="290" spans="19:88" s="17" customFormat="1" ht="22.5" customHeight="1" x14ac:dyDescent="0.25">
      <c r="S290" s="1"/>
      <c r="V290" s="99"/>
      <c r="W290" s="99"/>
      <c r="AF290" s="1"/>
      <c r="AN290" s="1"/>
      <c r="AV290" s="1"/>
      <c r="AW290" s="97"/>
      <c r="AX290" s="97"/>
      <c r="AY290" s="97"/>
      <c r="AZ290" s="97"/>
      <c r="BA290" s="97"/>
      <c r="BB290" s="97"/>
      <c r="BC290" s="97"/>
      <c r="BD290" s="98"/>
      <c r="BE290" s="97"/>
      <c r="BF290" s="97"/>
      <c r="BG290" s="97"/>
      <c r="BH290" s="97"/>
      <c r="CJ290" s="1"/>
    </row>
    <row r="291" spans="19:88" s="17" customFormat="1" ht="22.5" customHeight="1" x14ac:dyDescent="0.25">
      <c r="S291" s="1"/>
      <c r="V291" s="99"/>
      <c r="W291" s="99"/>
      <c r="AF291" s="1"/>
      <c r="AN291" s="1"/>
      <c r="AV291" s="1"/>
      <c r="AW291" s="97"/>
      <c r="AX291" s="97"/>
      <c r="AY291" s="97"/>
      <c r="AZ291" s="97"/>
      <c r="BA291" s="97"/>
      <c r="BB291" s="97"/>
      <c r="BC291" s="97"/>
      <c r="BD291" s="98"/>
      <c r="BE291" s="97"/>
      <c r="BF291" s="97"/>
      <c r="BG291" s="97"/>
      <c r="BH291" s="97"/>
      <c r="CJ291" s="1"/>
    </row>
    <row r="292" spans="19:88" s="17" customFormat="1" ht="22.5" customHeight="1" x14ac:dyDescent="0.25">
      <c r="S292" s="1"/>
      <c r="V292" s="99"/>
      <c r="W292" s="99"/>
      <c r="AF292" s="1"/>
      <c r="AN292" s="1"/>
      <c r="AV292" s="1"/>
      <c r="AW292" s="97"/>
      <c r="AX292" s="97"/>
      <c r="AY292" s="97"/>
      <c r="AZ292" s="97"/>
      <c r="BA292" s="97"/>
      <c r="BB292" s="97"/>
      <c r="BC292" s="97"/>
      <c r="BD292" s="98"/>
      <c r="BE292" s="97"/>
      <c r="BF292" s="97"/>
      <c r="BG292" s="97"/>
      <c r="BH292" s="97"/>
      <c r="CJ292" s="1"/>
    </row>
    <row r="293" spans="19:88" s="17" customFormat="1" ht="22.5" customHeight="1" x14ac:dyDescent="0.25">
      <c r="S293" s="1"/>
      <c r="V293" s="99"/>
      <c r="W293" s="99"/>
      <c r="AF293" s="1"/>
      <c r="AN293" s="1"/>
      <c r="AV293" s="1"/>
      <c r="AW293" s="97"/>
      <c r="AX293" s="97"/>
      <c r="AY293" s="97"/>
      <c r="AZ293" s="97"/>
      <c r="BA293" s="97"/>
      <c r="BB293" s="97"/>
      <c r="BC293" s="97"/>
      <c r="BD293" s="98"/>
      <c r="BE293" s="97"/>
      <c r="BF293" s="97"/>
      <c r="BG293" s="97"/>
      <c r="BH293" s="97"/>
      <c r="CJ293" s="1"/>
    </row>
    <row r="294" spans="19:88" s="17" customFormat="1" ht="22.5" customHeight="1" x14ac:dyDescent="0.25">
      <c r="S294" s="1"/>
      <c r="V294" s="99"/>
      <c r="W294" s="99"/>
      <c r="AF294" s="1"/>
      <c r="AN294" s="1"/>
      <c r="AV294" s="1"/>
      <c r="AW294" s="97"/>
      <c r="AX294" s="97"/>
      <c r="AY294" s="97"/>
      <c r="AZ294" s="97"/>
      <c r="BA294" s="97"/>
      <c r="BB294" s="97"/>
      <c r="BC294" s="97"/>
      <c r="BD294" s="98"/>
      <c r="BE294" s="97"/>
      <c r="BF294" s="97"/>
      <c r="BG294" s="97"/>
      <c r="BH294" s="97"/>
      <c r="CJ294" s="1"/>
    </row>
    <row r="295" spans="19:88" s="17" customFormat="1" ht="22.5" customHeight="1" x14ac:dyDescent="0.25">
      <c r="S295" s="1"/>
      <c r="V295" s="99"/>
      <c r="W295" s="99"/>
      <c r="AF295" s="1"/>
      <c r="AN295" s="1"/>
      <c r="AV295" s="1"/>
      <c r="AW295" s="97"/>
      <c r="AX295" s="97"/>
      <c r="AY295" s="97"/>
      <c r="AZ295" s="97"/>
      <c r="BA295" s="97"/>
      <c r="BB295" s="97"/>
      <c r="BC295" s="97"/>
      <c r="BD295" s="98"/>
      <c r="BE295" s="97"/>
      <c r="BF295" s="97"/>
      <c r="BG295" s="97"/>
      <c r="BH295" s="97"/>
      <c r="CJ295" s="1"/>
    </row>
    <row r="296" spans="19:88" s="17" customFormat="1" ht="22.5" customHeight="1" x14ac:dyDescent="0.25">
      <c r="S296" s="1"/>
      <c r="V296" s="99"/>
      <c r="W296" s="99"/>
      <c r="AF296" s="1"/>
      <c r="AN296" s="1"/>
      <c r="AV296" s="1"/>
      <c r="AW296" s="97"/>
      <c r="AX296" s="97"/>
      <c r="AY296" s="97"/>
      <c r="AZ296" s="97"/>
      <c r="BA296" s="97"/>
      <c r="BB296" s="97"/>
      <c r="BC296" s="97"/>
      <c r="BD296" s="98"/>
      <c r="BE296" s="97"/>
      <c r="BF296" s="97"/>
      <c r="BG296" s="97"/>
      <c r="BH296" s="97"/>
      <c r="CJ296" s="1"/>
    </row>
    <row r="297" spans="19:88" s="17" customFormat="1" ht="22.5" customHeight="1" x14ac:dyDescent="0.25">
      <c r="S297" s="1"/>
      <c r="V297" s="99"/>
      <c r="W297" s="99"/>
      <c r="AF297" s="1"/>
      <c r="AN297" s="1"/>
      <c r="AV297" s="1"/>
      <c r="AW297" s="97"/>
      <c r="AX297" s="97"/>
      <c r="AY297" s="97"/>
      <c r="AZ297" s="97"/>
      <c r="BA297" s="97"/>
      <c r="BB297" s="97"/>
      <c r="BC297" s="97"/>
      <c r="BD297" s="98"/>
      <c r="BE297" s="97"/>
      <c r="BF297" s="97"/>
      <c r="BG297" s="97"/>
      <c r="BH297" s="97"/>
      <c r="CJ297" s="1"/>
    </row>
    <row r="298" spans="19:88" s="17" customFormat="1" ht="22.5" customHeight="1" x14ac:dyDescent="0.25">
      <c r="S298" s="1"/>
      <c r="V298" s="99"/>
      <c r="W298" s="99"/>
      <c r="AF298" s="1"/>
      <c r="AN298" s="1"/>
      <c r="AV298" s="1"/>
      <c r="AW298" s="97"/>
      <c r="AX298" s="97"/>
      <c r="AY298" s="97"/>
      <c r="AZ298" s="97"/>
      <c r="BA298" s="97"/>
      <c r="BB298" s="97"/>
      <c r="BC298" s="97"/>
      <c r="BD298" s="98"/>
      <c r="BE298" s="97"/>
      <c r="BF298" s="97"/>
      <c r="BG298" s="97"/>
      <c r="BH298" s="97"/>
      <c r="CJ298" s="1"/>
    </row>
    <row r="299" spans="19:88" s="17" customFormat="1" ht="22.5" customHeight="1" x14ac:dyDescent="0.25">
      <c r="S299" s="1"/>
      <c r="V299" s="99"/>
      <c r="W299" s="99"/>
      <c r="AF299" s="1"/>
      <c r="AN299" s="1"/>
      <c r="AV299" s="1"/>
      <c r="AW299" s="97"/>
      <c r="AX299" s="97"/>
      <c r="AY299" s="97"/>
      <c r="AZ299" s="97"/>
      <c r="BA299" s="97"/>
      <c r="BB299" s="97"/>
      <c r="BC299" s="97"/>
      <c r="BD299" s="98"/>
      <c r="BE299" s="97"/>
      <c r="BF299" s="97"/>
      <c r="BG299" s="97"/>
      <c r="BH299" s="97"/>
      <c r="CJ299" s="1"/>
    </row>
    <row r="300" spans="19:88" s="17" customFormat="1" ht="22.5" customHeight="1" x14ac:dyDescent="0.25">
      <c r="S300" s="1"/>
      <c r="V300" s="99"/>
      <c r="W300" s="99"/>
      <c r="AF300" s="1"/>
      <c r="AN300" s="1"/>
      <c r="AV300" s="1"/>
      <c r="AW300" s="97"/>
      <c r="AX300" s="97"/>
      <c r="AY300" s="97"/>
      <c r="AZ300" s="97"/>
      <c r="BA300" s="97"/>
      <c r="BB300" s="97"/>
      <c r="BC300" s="97"/>
      <c r="BD300" s="98"/>
      <c r="BE300" s="97"/>
      <c r="BF300" s="97"/>
      <c r="BG300" s="97"/>
      <c r="BH300" s="97"/>
      <c r="CJ300" s="1"/>
    </row>
    <row r="301" spans="19:88" s="17" customFormat="1" ht="22.5" customHeight="1" x14ac:dyDescent="0.25">
      <c r="S301" s="1"/>
      <c r="V301" s="99"/>
      <c r="W301" s="99"/>
      <c r="AF301" s="1"/>
      <c r="AN301" s="1"/>
      <c r="AV301" s="1"/>
      <c r="AW301" s="97"/>
      <c r="AX301" s="97"/>
      <c r="AY301" s="97"/>
      <c r="AZ301" s="97"/>
      <c r="BA301" s="97"/>
      <c r="BB301" s="97"/>
      <c r="BC301" s="97"/>
      <c r="BD301" s="98"/>
      <c r="BE301" s="97"/>
      <c r="BF301" s="97"/>
      <c r="BG301" s="97"/>
      <c r="BH301" s="97"/>
      <c r="CJ301" s="1"/>
    </row>
    <row r="302" spans="19:88" s="17" customFormat="1" ht="22.5" customHeight="1" x14ac:dyDescent="0.25">
      <c r="S302" s="1"/>
      <c r="V302" s="99"/>
      <c r="W302" s="99"/>
      <c r="AF302" s="1"/>
      <c r="AN302" s="1"/>
      <c r="AV302" s="1"/>
      <c r="AW302" s="97"/>
      <c r="AX302" s="97"/>
      <c r="AY302" s="97"/>
      <c r="AZ302" s="97"/>
      <c r="BA302" s="97"/>
      <c r="BB302" s="97"/>
      <c r="BC302" s="97"/>
      <c r="BD302" s="98"/>
      <c r="BE302" s="97"/>
      <c r="BF302" s="97"/>
      <c r="BG302" s="97"/>
      <c r="BH302" s="97"/>
      <c r="CJ302" s="1"/>
    </row>
    <row r="303" spans="19:88" s="17" customFormat="1" ht="22.5" customHeight="1" x14ac:dyDescent="0.25">
      <c r="S303" s="1"/>
      <c r="V303" s="99"/>
      <c r="W303" s="99"/>
      <c r="AF303" s="1"/>
      <c r="AN303" s="1"/>
      <c r="AV303" s="1"/>
      <c r="AW303" s="97"/>
      <c r="AX303" s="97"/>
      <c r="AY303" s="97"/>
      <c r="AZ303" s="97"/>
      <c r="BA303" s="97"/>
      <c r="BB303" s="97"/>
      <c r="BC303" s="97"/>
      <c r="BD303" s="98"/>
      <c r="BE303" s="97"/>
      <c r="BF303" s="97"/>
      <c r="BG303" s="97"/>
      <c r="BH303" s="97"/>
      <c r="CJ303" s="1"/>
    </row>
    <row r="304" spans="19:88" s="17" customFormat="1" ht="22.5" customHeight="1" x14ac:dyDescent="0.25">
      <c r="S304" s="1"/>
      <c r="V304" s="99"/>
      <c r="W304" s="99"/>
      <c r="AF304" s="1"/>
      <c r="AN304" s="1"/>
      <c r="AV304" s="1"/>
      <c r="AW304" s="97"/>
      <c r="AX304" s="97"/>
      <c r="AY304" s="97"/>
      <c r="AZ304" s="97"/>
      <c r="BA304" s="97"/>
      <c r="BB304" s="97"/>
      <c r="BC304" s="97"/>
      <c r="BD304" s="98"/>
      <c r="BE304" s="97"/>
      <c r="BF304" s="97"/>
      <c r="BG304" s="97"/>
      <c r="BH304" s="97"/>
      <c r="CJ304" s="1"/>
    </row>
    <row r="305" spans="19:88" s="17" customFormat="1" ht="22.5" customHeight="1" x14ac:dyDescent="0.25">
      <c r="S305" s="1"/>
      <c r="V305" s="99"/>
      <c r="W305" s="99"/>
      <c r="AF305" s="1"/>
      <c r="AN305" s="1"/>
      <c r="AV305" s="1"/>
      <c r="AW305" s="97"/>
      <c r="AX305" s="97"/>
      <c r="AY305" s="97"/>
      <c r="AZ305" s="97"/>
      <c r="BA305" s="97"/>
      <c r="BB305" s="97"/>
      <c r="BC305" s="97"/>
      <c r="BD305" s="98"/>
      <c r="BE305" s="97"/>
      <c r="BF305" s="97"/>
      <c r="BG305" s="97"/>
      <c r="BH305" s="97"/>
      <c r="CJ305" s="1"/>
    </row>
    <row r="306" spans="19:88" s="17" customFormat="1" ht="22.5" customHeight="1" x14ac:dyDescent="0.25">
      <c r="S306" s="1"/>
      <c r="V306" s="99"/>
      <c r="W306" s="99"/>
      <c r="AF306" s="1"/>
      <c r="AN306" s="1"/>
      <c r="AV306" s="1"/>
      <c r="AW306" s="97"/>
      <c r="AX306" s="97"/>
      <c r="AY306" s="97"/>
      <c r="AZ306" s="97"/>
      <c r="BA306" s="97"/>
      <c r="BB306" s="97"/>
      <c r="BC306" s="97"/>
      <c r="BD306" s="98"/>
      <c r="BE306" s="97"/>
      <c r="BF306" s="97"/>
      <c r="BG306" s="97"/>
      <c r="BH306" s="97"/>
      <c r="CJ306" s="1"/>
    </row>
    <row r="307" spans="19:88" s="17" customFormat="1" ht="22.5" customHeight="1" x14ac:dyDescent="0.25">
      <c r="S307" s="1"/>
      <c r="V307" s="99"/>
      <c r="W307" s="99"/>
      <c r="AF307" s="1"/>
      <c r="AN307" s="1"/>
      <c r="AV307" s="1"/>
      <c r="AW307" s="97"/>
      <c r="AX307" s="97"/>
      <c r="AY307" s="97"/>
      <c r="AZ307" s="97"/>
      <c r="BA307" s="97"/>
      <c r="BB307" s="97"/>
      <c r="BC307" s="97"/>
      <c r="BD307" s="98"/>
      <c r="BE307" s="97"/>
      <c r="BF307" s="97"/>
      <c r="BG307" s="97"/>
      <c r="BH307" s="97"/>
      <c r="CJ307" s="1"/>
    </row>
    <row r="308" spans="19:88" s="17" customFormat="1" ht="22.5" customHeight="1" x14ac:dyDescent="0.25">
      <c r="S308" s="1"/>
      <c r="V308" s="99"/>
      <c r="W308" s="99"/>
      <c r="AF308" s="1"/>
      <c r="AN308" s="1"/>
      <c r="AV308" s="1"/>
      <c r="AW308" s="97"/>
      <c r="AX308" s="97"/>
      <c r="AY308" s="97"/>
      <c r="AZ308" s="97"/>
      <c r="BA308" s="97"/>
      <c r="BB308" s="97"/>
      <c r="BC308" s="97"/>
      <c r="BD308" s="98"/>
      <c r="BE308" s="97"/>
      <c r="BF308" s="97"/>
      <c r="BG308" s="97"/>
      <c r="BH308" s="97"/>
      <c r="CJ308" s="1"/>
    </row>
    <row r="309" spans="19:88" s="17" customFormat="1" ht="22.5" customHeight="1" x14ac:dyDescent="0.25">
      <c r="S309" s="1"/>
      <c r="V309" s="99"/>
      <c r="W309" s="99"/>
      <c r="AF309" s="1"/>
      <c r="AN309" s="1"/>
      <c r="AV309" s="1"/>
      <c r="AW309" s="97"/>
      <c r="AX309" s="97"/>
      <c r="AY309" s="97"/>
      <c r="AZ309" s="97"/>
      <c r="BA309" s="97"/>
      <c r="BB309" s="97"/>
      <c r="BC309" s="97"/>
      <c r="BD309" s="98"/>
      <c r="BE309" s="97"/>
      <c r="BF309" s="97"/>
      <c r="BG309" s="97"/>
      <c r="BH309" s="97"/>
      <c r="CJ309" s="1"/>
    </row>
    <row r="310" spans="19:88" s="17" customFormat="1" ht="22.5" customHeight="1" x14ac:dyDescent="0.25">
      <c r="S310" s="1"/>
      <c r="V310" s="99"/>
      <c r="W310" s="99"/>
      <c r="AF310" s="1"/>
      <c r="AN310" s="1"/>
      <c r="AV310" s="1"/>
      <c r="AW310" s="97"/>
      <c r="AX310" s="97"/>
      <c r="AY310" s="97"/>
      <c r="AZ310" s="97"/>
      <c r="BA310" s="97"/>
      <c r="BB310" s="97"/>
      <c r="BC310" s="97"/>
      <c r="BD310" s="98"/>
      <c r="BE310" s="97"/>
      <c r="BF310" s="97"/>
      <c r="BG310" s="97"/>
      <c r="BH310" s="97"/>
      <c r="CJ310" s="1"/>
    </row>
    <row r="311" spans="19:88" s="17" customFormat="1" ht="22.5" customHeight="1" x14ac:dyDescent="0.25">
      <c r="S311" s="1"/>
      <c r="V311" s="99"/>
      <c r="W311" s="99"/>
      <c r="AF311" s="1"/>
      <c r="AN311" s="1"/>
      <c r="AV311" s="1"/>
      <c r="AW311" s="97"/>
      <c r="AX311" s="97"/>
      <c r="AY311" s="97"/>
      <c r="AZ311" s="97"/>
      <c r="BA311" s="97"/>
      <c r="BB311" s="97"/>
      <c r="BC311" s="97"/>
      <c r="BD311" s="98"/>
      <c r="BE311" s="97"/>
      <c r="BF311" s="97"/>
      <c r="BG311" s="97"/>
      <c r="BH311" s="97"/>
      <c r="CJ311" s="1"/>
    </row>
    <row r="312" spans="19:88" s="17" customFormat="1" ht="22.5" customHeight="1" x14ac:dyDescent="0.25">
      <c r="S312" s="1"/>
      <c r="V312" s="99"/>
      <c r="W312" s="99"/>
      <c r="AF312" s="1"/>
      <c r="AN312" s="1"/>
      <c r="AV312" s="1"/>
      <c r="AW312" s="97"/>
      <c r="AX312" s="97"/>
      <c r="AY312" s="97"/>
      <c r="AZ312" s="97"/>
      <c r="BA312" s="97"/>
      <c r="BB312" s="97"/>
      <c r="BC312" s="97"/>
      <c r="BD312" s="98"/>
      <c r="BE312" s="97"/>
      <c r="BF312" s="97"/>
      <c r="BG312" s="97"/>
      <c r="BH312" s="97"/>
      <c r="CJ312" s="1"/>
    </row>
    <row r="313" spans="19:88" s="17" customFormat="1" ht="22.5" customHeight="1" x14ac:dyDescent="0.25">
      <c r="S313" s="1"/>
      <c r="V313" s="99"/>
      <c r="W313" s="99"/>
      <c r="AF313" s="1"/>
      <c r="AN313" s="1"/>
      <c r="AV313" s="1"/>
      <c r="AW313" s="97"/>
      <c r="AX313" s="97"/>
      <c r="AY313" s="97"/>
      <c r="AZ313" s="97"/>
      <c r="BA313" s="97"/>
      <c r="BB313" s="97"/>
      <c r="BC313" s="97"/>
      <c r="BD313" s="98"/>
      <c r="BE313" s="97"/>
      <c r="BF313" s="97"/>
      <c r="BG313" s="97"/>
      <c r="BH313" s="97"/>
      <c r="CJ313" s="1"/>
    </row>
    <row r="314" spans="19:88" s="17" customFormat="1" ht="22.5" customHeight="1" x14ac:dyDescent="0.25">
      <c r="S314" s="1"/>
      <c r="V314" s="99"/>
      <c r="W314" s="99"/>
      <c r="AF314" s="1"/>
      <c r="AN314" s="1"/>
      <c r="AV314" s="1"/>
      <c r="AW314" s="97"/>
      <c r="AX314" s="97"/>
      <c r="AY314" s="97"/>
      <c r="AZ314" s="97"/>
      <c r="BA314" s="97"/>
      <c r="BB314" s="97"/>
      <c r="BC314" s="97"/>
      <c r="BD314" s="98"/>
      <c r="BE314" s="97"/>
      <c r="BF314" s="97"/>
      <c r="BG314" s="97"/>
      <c r="BH314" s="97"/>
      <c r="CJ314" s="1"/>
    </row>
    <row r="315" spans="19:88" s="17" customFormat="1" ht="22.5" customHeight="1" x14ac:dyDescent="0.25">
      <c r="S315" s="1"/>
      <c r="V315" s="99"/>
      <c r="W315" s="99"/>
      <c r="AF315" s="1"/>
      <c r="AN315" s="1"/>
      <c r="AV315" s="1"/>
      <c r="AW315" s="97"/>
      <c r="AX315" s="97"/>
      <c r="AY315" s="97"/>
      <c r="AZ315" s="97"/>
      <c r="BA315" s="97"/>
      <c r="BB315" s="97"/>
      <c r="BC315" s="97"/>
      <c r="BD315" s="98"/>
      <c r="BE315" s="97"/>
      <c r="BF315" s="97"/>
      <c r="BG315" s="97"/>
      <c r="BH315" s="97"/>
      <c r="CJ315" s="1"/>
    </row>
    <row r="316" spans="19:88" s="17" customFormat="1" ht="22.5" customHeight="1" x14ac:dyDescent="0.25">
      <c r="S316" s="1"/>
      <c r="V316" s="99"/>
      <c r="W316" s="99"/>
      <c r="AF316" s="1"/>
      <c r="AN316" s="1"/>
      <c r="AV316" s="1"/>
      <c r="AW316" s="97"/>
      <c r="AX316" s="97"/>
      <c r="AY316" s="97"/>
      <c r="AZ316" s="97"/>
      <c r="BA316" s="97"/>
      <c r="BB316" s="97"/>
      <c r="BC316" s="97"/>
      <c r="BD316" s="98"/>
      <c r="BE316" s="97"/>
      <c r="BF316" s="97"/>
      <c r="BG316" s="97"/>
      <c r="BH316" s="97"/>
      <c r="CJ316" s="1"/>
    </row>
    <row r="317" spans="19:88" s="17" customFormat="1" ht="22.5" customHeight="1" x14ac:dyDescent="0.25">
      <c r="S317" s="1"/>
      <c r="V317" s="99"/>
      <c r="W317" s="99"/>
      <c r="AF317" s="1"/>
      <c r="AN317" s="1"/>
      <c r="AV317" s="1"/>
      <c r="AW317" s="97"/>
      <c r="AX317" s="97"/>
      <c r="AY317" s="97"/>
      <c r="AZ317" s="97"/>
      <c r="BA317" s="97"/>
      <c r="BB317" s="97"/>
      <c r="BC317" s="97"/>
      <c r="BD317" s="98"/>
      <c r="BE317" s="97"/>
      <c r="BF317" s="97"/>
      <c r="BG317" s="97"/>
      <c r="BH317" s="97"/>
      <c r="CJ317" s="1"/>
    </row>
    <row r="318" spans="19:88" s="17" customFormat="1" ht="22.5" customHeight="1" x14ac:dyDescent="0.25">
      <c r="S318" s="1"/>
      <c r="V318" s="99"/>
      <c r="W318" s="99"/>
      <c r="AF318" s="1"/>
      <c r="AN318" s="1"/>
      <c r="AV318" s="1"/>
      <c r="AW318" s="97"/>
      <c r="AX318" s="97"/>
      <c r="AY318" s="97"/>
      <c r="AZ318" s="97"/>
      <c r="BA318" s="97"/>
      <c r="BB318" s="97"/>
      <c r="BC318" s="97"/>
      <c r="BD318" s="98"/>
      <c r="BE318" s="97"/>
      <c r="BF318" s="97"/>
      <c r="BG318" s="97"/>
      <c r="BH318" s="97"/>
      <c r="CJ318" s="1"/>
    </row>
    <row r="319" spans="19:88" s="17" customFormat="1" ht="22.5" customHeight="1" x14ac:dyDescent="0.25">
      <c r="S319" s="1"/>
      <c r="V319" s="99"/>
      <c r="W319" s="99"/>
      <c r="AF319" s="1"/>
      <c r="AN319" s="1"/>
      <c r="AV319" s="1"/>
      <c r="AW319" s="97"/>
      <c r="AX319" s="97"/>
      <c r="AY319" s="97"/>
      <c r="AZ319" s="97"/>
      <c r="BA319" s="97"/>
      <c r="BB319" s="97"/>
      <c r="BC319" s="97"/>
      <c r="BD319" s="98"/>
      <c r="BE319" s="97"/>
      <c r="BF319" s="97"/>
      <c r="BG319" s="97"/>
      <c r="BH319" s="97"/>
      <c r="CJ319" s="1"/>
    </row>
    <row r="320" spans="19:88" s="17" customFormat="1" ht="22.5" customHeight="1" x14ac:dyDescent="0.25">
      <c r="S320" s="1"/>
      <c r="V320" s="99"/>
      <c r="W320" s="99"/>
      <c r="AF320" s="1"/>
      <c r="AN320" s="1"/>
      <c r="AV320" s="1"/>
      <c r="AW320" s="97"/>
      <c r="AX320" s="97"/>
      <c r="AY320" s="97"/>
      <c r="AZ320" s="97"/>
      <c r="BA320" s="97"/>
      <c r="BB320" s="97"/>
      <c r="BC320" s="97"/>
      <c r="BD320" s="98"/>
      <c r="BE320" s="97"/>
      <c r="BF320" s="97"/>
      <c r="BG320" s="97"/>
      <c r="BH320" s="97"/>
      <c r="CJ320" s="1"/>
    </row>
    <row r="321" spans="19:88" s="17" customFormat="1" ht="22.5" customHeight="1" x14ac:dyDescent="0.25">
      <c r="S321" s="1"/>
      <c r="V321" s="99"/>
      <c r="W321" s="99"/>
      <c r="AF321" s="1"/>
      <c r="AN321" s="1"/>
      <c r="AV321" s="1"/>
      <c r="AW321" s="97"/>
      <c r="AX321" s="97"/>
      <c r="AY321" s="97"/>
      <c r="AZ321" s="97"/>
      <c r="BA321" s="97"/>
      <c r="BB321" s="97"/>
      <c r="BC321" s="97"/>
      <c r="BD321" s="98"/>
      <c r="BE321" s="97"/>
      <c r="BF321" s="97"/>
      <c r="BG321" s="97"/>
      <c r="BH321" s="97"/>
      <c r="CJ321" s="1"/>
    </row>
    <row r="322" spans="19:88" s="17" customFormat="1" ht="22.5" customHeight="1" x14ac:dyDescent="0.25">
      <c r="S322" s="1"/>
      <c r="V322" s="99"/>
      <c r="W322" s="99"/>
      <c r="AF322" s="1"/>
      <c r="AN322" s="1"/>
      <c r="AV322" s="1"/>
      <c r="AW322" s="97"/>
      <c r="AX322" s="97"/>
      <c r="AY322" s="97"/>
      <c r="AZ322" s="97"/>
      <c r="BA322" s="97"/>
      <c r="BB322" s="97"/>
      <c r="BC322" s="97"/>
      <c r="BD322" s="98"/>
      <c r="BE322" s="97"/>
      <c r="BF322" s="97"/>
      <c r="BG322" s="97"/>
      <c r="BH322" s="97"/>
      <c r="CJ322" s="1"/>
    </row>
    <row r="323" spans="19:88" s="17" customFormat="1" ht="22.5" customHeight="1" x14ac:dyDescent="0.25">
      <c r="S323" s="1"/>
      <c r="V323" s="99"/>
      <c r="W323" s="99"/>
      <c r="AF323" s="1"/>
      <c r="AN323" s="1"/>
      <c r="AV323" s="1"/>
      <c r="AW323" s="97"/>
      <c r="AX323" s="97"/>
      <c r="AY323" s="97"/>
      <c r="AZ323" s="97"/>
      <c r="BA323" s="97"/>
      <c r="BB323" s="97"/>
      <c r="BC323" s="97"/>
      <c r="BD323" s="98"/>
      <c r="BE323" s="97"/>
      <c r="BF323" s="97"/>
      <c r="BG323" s="97"/>
      <c r="BH323" s="97"/>
      <c r="CJ323" s="1"/>
    </row>
    <row r="324" spans="19:88" s="17" customFormat="1" ht="22.5" customHeight="1" x14ac:dyDescent="0.25">
      <c r="S324" s="1"/>
      <c r="V324" s="99"/>
      <c r="W324" s="99"/>
      <c r="AF324" s="1"/>
      <c r="AN324" s="1"/>
      <c r="AV324" s="1"/>
      <c r="AW324" s="97"/>
      <c r="AX324" s="97"/>
      <c r="AY324" s="97"/>
      <c r="AZ324" s="97"/>
      <c r="BA324" s="97"/>
      <c r="BB324" s="97"/>
      <c r="BC324" s="97"/>
      <c r="BD324" s="98"/>
      <c r="BE324" s="97"/>
      <c r="BF324" s="97"/>
      <c r="BG324" s="97"/>
      <c r="BH324" s="97"/>
      <c r="CJ324" s="1"/>
    </row>
    <row r="325" spans="19:88" s="17" customFormat="1" ht="22.5" customHeight="1" x14ac:dyDescent="0.25">
      <c r="S325" s="1"/>
      <c r="V325" s="99"/>
      <c r="W325" s="99"/>
      <c r="AF325" s="1"/>
      <c r="AN325" s="1"/>
      <c r="AV325" s="1"/>
      <c r="AW325" s="97"/>
      <c r="AX325" s="97"/>
      <c r="AY325" s="97"/>
      <c r="AZ325" s="97"/>
      <c r="BA325" s="97"/>
      <c r="BB325" s="97"/>
      <c r="BC325" s="97"/>
      <c r="BD325" s="98"/>
      <c r="BE325" s="97"/>
      <c r="BF325" s="97"/>
      <c r="BG325" s="97"/>
      <c r="BH325" s="97"/>
      <c r="CJ325" s="1"/>
    </row>
    <row r="326" spans="19:88" s="17" customFormat="1" ht="22.5" customHeight="1" x14ac:dyDescent="0.25">
      <c r="S326" s="1"/>
      <c r="V326" s="99"/>
      <c r="W326" s="99"/>
      <c r="AF326" s="1"/>
      <c r="AN326" s="1"/>
      <c r="AV326" s="1"/>
      <c r="AW326" s="97"/>
      <c r="AX326" s="97"/>
      <c r="AY326" s="97"/>
      <c r="AZ326" s="97"/>
      <c r="BA326" s="97"/>
      <c r="BB326" s="97"/>
      <c r="BC326" s="97"/>
      <c r="BD326" s="98"/>
      <c r="BE326" s="97"/>
      <c r="BF326" s="97"/>
      <c r="BG326" s="97"/>
      <c r="BH326" s="97"/>
      <c r="CJ326" s="1"/>
    </row>
    <row r="327" spans="19:88" s="17" customFormat="1" ht="22.5" customHeight="1" x14ac:dyDescent="0.25">
      <c r="S327" s="1"/>
      <c r="V327" s="99"/>
      <c r="W327" s="99"/>
      <c r="AF327" s="1"/>
      <c r="AN327" s="1"/>
      <c r="AV327" s="1"/>
      <c r="AW327" s="97"/>
      <c r="AX327" s="97"/>
      <c r="AY327" s="97"/>
      <c r="AZ327" s="97"/>
      <c r="BA327" s="97"/>
      <c r="BB327" s="97"/>
      <c r="BC327" s="97"/>
      <c r="BD327" s="98"/>
      <c r="BE327" s="97"/>
      <c r="BF327" s="97"/>
      <c r="BG327" s="97"/>
      <c r="BH327" s="97"/>
      <c r="CJ327" s="1"/>
    </row>
    <row r="328" spans="19:88" s="17" customFormat="1" ht="22.5" customHeight="1" x14ac:dyDescent="0.25">
      <c r="S328" s="1"/>
      <c r="V328" s="99"/>
      <c r="W328" s="99"/>
      <c r="AF328" s="1"/>
      <c r="AN328" s="1"/>
      <c r="AV328" s="1"/>
      <c r="AW328" s="97"/>
      <c r="AX328" s="97"/>
      <c r="AY328" s="97"/>
      <c r="AZ328" s="97"/>
      <c r="BA328" s="97"/>
      <c r="BB328" s="97"/>
      <c r="BC328" s="97"/>
      <c r="BD328" s="98"/>
      <c r="BE328" s="97"/>
      <c r="BF328" s="97"/>
      <c r="BG328" s="97"/>
      <c r="BH328" s="97"/>
      <c r="CJ328" s="1"/>
    </row>
    <row r="329" spans="19:88" s="17" customFormat="1" ht="22.5" customHeight="1" x14ac:dyDescent="0.25">
      <c r="S329" s="1"/>
      <c r="V329" s="99"/>
      <c r="W329" s="99"/>
      <c r="AF329" s="1"/>
      <c r="AN329" s="1"/>
      <c r="AV329" s="1"/>
      <c r="AW329" s="97"/>
      <c r="AX329" s="97"/>
      <c r="AY329" s="97"/>
      <c r="AZ329" s="97"/>
      <c r="BA329" s="97"/>
      <c r="BB329" s="97"/>
      <c r="BC329" s="97"/>
      <c r="BD329" s="98"/>
      <c r="BE329" s="97"/>
      <c r="BF329" s="97"/>
      <c r="BG329" s="97"/>
      <c r="BH329" s="97"/>
      <c r="CJ329" s="1"/>
    </row>
    <row r="330" spans="19:88" s="17" customFormat="1" ht="22.5" customHeight="1" x14ac:dyDescent="0.25">
      <c r="S330" s="1"/>
      <c r="V330" s="99"/>
      <c r="W330" s="99"/>
      <c r="AF330" s="1"/>
      <c r="AN330" s="1"/>
      <c r="AV330" s="1"/>
      <c r="AW330" s="97"/>
      <c r="AX330" s="97"/>
      <c r="AY330" s="97"/>
      <c r="AZ330" s="97"/>
      <c r="BA330" s="97"/>
      <c r="BB330" s="97"/>
      <c r="BC330" s="97"/>
      <c r="BD330" s="98"/>
      <c r="BE330" s="97"/>
      <c r="BF330" s="97"/>
      <c r="BG330" s="97"/>
      <c r="BH330" s="97"/>
      <c r="CJ330" s="1"/>
    </row>
    <row r="331" spans="19:88" s="17" customFormat="1" ht="22.5" customHeight="1" x14ac:dyDescent="0.25">
      <c r="S331" s="1"/>
      <c r="V331" s="99"/>
      <c r="W331" s="99"/>
      <c r="AF331" s="1"/>
      <c r="AN331" s="1"/>
      <c r="AV331" s="1"/>
      <c r="AW331" s="97"/>
      <c r="AX331" s="97"/>
      <c r="AY331" s="97"/>
      <c r="AZ331" s="97"/>
      <c r="BA331" s="97"/>
      <c r="BB331" s="97"/>
      <c r="BC331" s="97"/>
      <c r="BD331" s="98"/>
      <c r="BE331" s="97"/>
      <c r="BF331" s="97"/>
      <c r="BG331" s="97"/>
      <c r="BH331" s="97"/>
      <c r="CJ331" s="1"/>
    </row>
    <row r="332" spans="19:88" s="17" customFormat="1" ht="22.5" customHeight="1" x14ac:dyDescent="0.25">
      <c r="S332" s="1"/>
      <c r="V332" s="99"/>
      <c r="W332" s="99"/>
      <c r="AF332" s="1"/>
      <c r="AN332" s="1"/>
      <c r="AV332" s="1"/>
      <c r="AW332" s="97"/>
      <c r="AX332" s="97"/>
      <c r="AY332" s="97"/>
      <c r="AZ332" s="97"/>
      <c r="BA332" s="97"/>
      <c r="BB332" s="97"/>
      <c r="BC332" s="97"/>
      <c r="BD332" s="98"/>
      <c r="BE332" s="97"/>
      <c r="BF332" s="97"/>
      <c r="BG332" s="97"/>
      <c r="BH332" s="97"/>
      <c r="CJ332" s="1"/>
    </row>
    <row r="333" spans="19:88" s="17" customFormat="1" ht="22.5" customHeight="1" x14ac:dyDescent="0.25">
      <c r="S333" s="1"/>
      <c r="V333" s="99"/>
      <c r="W333" s="99"/>
      <c r="AF333" s="1"/>
      <c r="AN333" s="1"/>
      <c r="AV333" s="1"/>
      <c r="AW333" s="97"/>
      <c r="AX333" s="97"/>
      <c r="AY333" s="97"/>
      <c r="AZ333" s="97"/>
      <c r="BA333" s="97"/>
      <c r="BB333" s="97"/>
      <c r="BC333" s="97"/>
      <c r="BD333" s="98"/>
      <c r="BE333" s="97"/>
      <c r="BF333" s="97"/>
      <c r="BG333" s="97"/>
      <c r="BH333" s="97"/>
      <c r="CJ333" s="1"/>
    </row>
    <row r="334" spans="19:88" s="17" customFormat="1" ht="22.5" customHeight="1" x14ac:dyDescent="0.25">
      <c r="S334" s="1"/>
      <c r="V334" s="99"/>
      <c r="W334" s="99"/>
      <c r="AF334" s="1"/>
      <c r="AN334" s="1"/>
      <c r="AV334" s="1"/>
      <c r="AW334" s="97"/>
      <c r="AX334" s="97"/>
      <c r="AY334" s="97"/>
      <c r="AZ334" s="97"/>
      <c r="BA334" s="97"/>
      <c r="BB334" s="97"/>
      <c r="BC334" s="97"/>
      <c r="BD334" s="98"/>
      <c r="BE334" s="97"/>
      <c r="BF334" s="97"/>
      <c r="BG334" s="97"/>
      <c r="BH334" s="97"/>
      <c r="CJ334" s="1"/>
    </row>
    <row r="335" spans="19:88" s="17" customFormat="1" ht="22.5" customHeight="1" x14ac:dyDescent="0.25">
      <c r="S335" s="1"/>
      <c r="V335" s="99"/>
      <c r="W335" s="99"/>
      <c r="AF335" s="1"/>
      <c r="AN335" s="1"/>
      <c r="AV335" s="1"/>
      <c r="AW335" s="97"/>
      <c r="AX335" s="97"/>
      <c r="AY335" s="97"/>
      <c r="AZ335" s="97"/>
      <c r="BA335" s="97"/>
      <c r="BB335" s="97"/>
      <c r="BC335" s="97"/>
      <c r="BD335" s="98"/>
      <c r="BE335" s="97"/>
      <c r="BF335" s="97"/>
      <c r="BG335" s="97"/>
      <c r="BH335" s="97"/>
      <c r="CJ335" s="1"/>
    </row>
    <row r="336" spans="19:88" s="17" customFormat="1" ht="22.5" customHeight="1" x14ac:dyDescent="0.25">
      <c r="S336" s="1"/>
      <c r="V336" s="99"/>
      <c r="W336" s="99"/>
      <c r="AF336" s="1"/>
      <c r="AN336" s="1"/>
      <c r="AV336" s="1"/>
      <c r="AW336" s="97"/>
      <c r="AX336" s="97"/>
      <c r="AY336" s="97"/>
      <c r="AZ336" s="97"/>
      <c r="BA336" s="97"/>
      <c r="BB336" s="97"/>
      <c r="BC336" s="97"/>
      <c r="BD336" s="98"/>
      <c r="BE336" s="97"/>
      <c r="BF336" s="97"/>
      <c r="BG336" s="97"/>
      <c r="BH336" s="97"/>
      <c r="CJ336" s="1"/>
    </row>
    <row r="337" spans="19:88" s="17" customFormat="1" ht="22.5" customHeight="1" x14ac:dyDescent="0.25">
      <c r="S337" s="1"/>
      <c r="V337" s="99"/>
      <c r="W337" s="99"/>
      <c r="AF337" s="1"/>
      <c r="AN337" s="1"/>
      <c r="AV337" s="1"/>
      <c r="AW337" s="97"/>
      <c r="AX337" s="97"/>
      <c r="AY337" s="97"/>
      <c r="AZ337" s="97"/>
      <c r="BA337" s="97"/>
      <c r="BB337" s="97"/>
      <c r="BC337" s="97"/>
      <c r="BD337" s="98"/>
      <c r="BE337" s="97"/>
      <c r="BF337" s="97"/>
      <c r="BG337" s="97"/>
      <c r="BH337" s="97"/>
      <c r="CJ337" s="1"/>
    </row>
    <row r="338" spans="19:88" s="17" customFormat="1" ht="22.5" customHeight="1" x14ac:dyDescent="0.25">
      <c r="S338" s="1"/>
      <c r="V338" s="99"/>
      <c r="W338" s="99"/>
      <c r="AF338" s="1"/>
      <c r="AN338" s="1"/>
      <c r="AV338" s="1"/>
      <c r="AW338" s="97"/>
      <c r="AX338" s="97"/>
      <c r="AY338" s="97"/>
      <c r="AZ338" s="97"/>
      <c r="BA338" s="97"/>
      <c r="BB338" s="97"/>
      <c r="BC338" s="97"/>
      <c r="BD338" s="98"/>
      <c r="BE338" s="97"/>
      <c r="BF338" s="97"/>
      <c r="BG338" s="97"/>
      <c r="BH338" s="97"/>
      <c r="CJ338" s="1"/>
    </row>
    <row r="339" spans="19:88" s="17" customFormat="1" ht="22.5" customHeight="1" x14ac:dyDescent="0.25">
      <c r="S339" s="1"/>
      <c r="V339" s="99"/>
      <c r="W339" s="99"/>
      <c r="AF339" s="1"/>
      <c r="AN339" s="1"/>
      <c r="AV339" s="1"/>
      <c r="AW339" s="97"/>
      <c r="AX339" s="97"/>
      <c r="AY339" s="97"/>
      <c r="AZ339" s="97"/>
      <c r="BA339" s="97"/>
      <c r="BB339" s="97"/>
      <c r="BC339" s="97"/>
      <c r="BD339" s="98"/>
      <c r="BE339" s="97"/>
      <c r="BF339" s="97"/>
      <c r="BG339" s="97"/>
      <c r="BH339" s="97"/>
      <c r="CJ339" s="1"/>
    </row>
    <row r="340" spans="19:88" s="17" customFormat="1" ht="22.5" customHeight="1" x14ac:dyDescent="0.25">
      <c r="S340" s="1"/>
      <c r="V340" s="99"/>
      <c r="W340" s="99"/>
      <c r="AF340" s="1"/>
      <c r="AN340" s="1"/>
      <c r="AV340" s="1"/>
      <c r="AW340" s="97"/>
      <c r="AX340" s="97"/>
      <c r="AY340" s="97"/>
      <c r="AZ340" s="97"/>
      <c r="BA340" s="97"/>
      <c r="BB340" s="97"/>
      <c r="BC340" s="97"/>
      <c r="BD340" s="98"/>
      <c r="BE340" s="97"/>
      <c r="BF340" s="97"/>
      <c r="BG340" s="97"/>
      <c r="BH340" s="97"/>
      <c r="CJ340" s="1"/>
    </row>
    <row r="341" spans="19:88" s="17" customFormat="1" ht="22.5" customHeight="1" x14ac:dyDescent="0.25">
      <c r="S341" s="1"/>
      <c r="V341" s="99"/>
      <c r="W341" s="99"/>
      <c r="AF341" s="1"/>
      <c r="AN341" s="1"/>
      <c r="AV341" s="1"/>
      <c r="AW341" s="97"/>
      <c r="AX341" s="97"/>
      <c r="AY341" s="97"/>
      <c r="AZ341" s="97"/>
      <c r="BA341" s="97"/>
      <c r="BB341" s="97"/>
      <c r="BC341" s="97"/>
      <c r="BD341" s="98"/>
      <c r="BE341" s="97"/>
      <c r="BF341" s="97"/>
      <c r="BG341" s="97"/>
      <c r="BH341" s="97"/>
      <c r="CJ341" s="1"/>
    </row>
    <row r="342" spans="19:88" s="17" customFormat="1" ht="22.5" customHeight="1" x14ac:dyDescent="0.25">
      <c r="S342" s="1"/>
      <c r="V342" s="99"/>
      <c r="W342" s="99"/>
      <c r="AF342" s="1"/>
      <c r="AN342" s="1"/>
      <c r="AV342" s="1"/>
      <c r="AW342" s="97"/>
      <c r="AX342" s="97"/>
      <c r="AY342" s="97"/>
      <c r="AZ342" s="97"/>
      <c r="BA342" s="97"/>
      <c r="BB342" s="97"/>
      <c r="BC342" s="97"/>
      <c r="BD342" s="98"/>
      <c r="BE342" s="97"/>
      <c r="BF342" s="97"/>
      <c r="BG342" s="97"/>
      <c r="BH342" s="97"/>
      <c r="CJ342" s="1"/>
    </row>
    <row r="343" spans="19:88" s="17" customFormat="1" ht="22.5" customHeight="1" x14ac:dyDescent="0.25">
      <c r="S343" s="1"/>
      <c r="V343" s="99"/>
      <c r="W343" s="99"/>
      <c r="AF343" s="1"/>
      <c r="AN343" s="1"/>
      <c r="AV343" s="1"/>
      <c r="AW343" s="97"/>
      <c r="AX343" s="97"/>
      <c r="AY343" s="97"/>
      <c r="AZ343" s="97"/>
      <c r="BA343" s="97"/>
      <c r="BB343" s="97"/>
      <c r="BC343" s="97"/>
      <c r="BD343" s="98"/>
      <c r="BE343" s="97"/>
      <c r="BF343" s="97"/>
      <c r="BG343" s="97"/>
      <c r="BH343" s="97"/>
      <c r="CJ343" s="1"/>
    </row>
    <row r="344" spans="19:88" s="17" customFormat="1" ht="22.5" customHeight="1" x14ac:dyDescent="0.25">
      <c r="S344" s="1"/>
      <c r="V344" s="99"/>
      <c r="W344" s="99"/>
      <c r="AF344" s="1"/>
      <c r="AN344" s="1"/>
      <c r="AV344" s="1"/>
      <c r="AW344" s="97"/>
      <c r="AX344" s="97"/>
      <c r="AY344" s="97"/>
      <c r="AZ344" s="97"/>
      <c r="BA344" s="97"/>
      <c r="BB344" s="97"/>
      <c r="BC344" s="97"/>
      <c r="BD344" s="98"/>
      <c r="BE344" s="97"/>
      <c r="BF344" s="97"/>
      <c r="BG344" s="97"/>
      <c r="BH344" s="97"/>
      <c r="CJ344" s="1"/>
    </row>
    <row r="345" spans="19:88" s="17" customFormat="1" ht="22.5" customHeight="1" x14ac:dyDescent="0.25">
      <c r="S345" s="1"/>
      <c r="V345" s="99"/>
      <c r="W345" s="99"/>
      <c r="AF345" s="1"/>
      <c r="AN345" s="1"/>
      <c r="AV345" s="1"/>
      <c r="AW345" s="97"/>
      <c r="AX345" s="97"/>
      <c r="AY345" s="97"/>
      <c r="AZ345" s="97"/>
      <c r="BA345" s="97"/>
      <c r="BB345" s="97"/>
      <c r="BC345" s="97"/>
      <c r="BD345" s="98"/>
      <c r="BE345" s="97"/>
      <c r="BF345" s="97"/>
      <c r="BG345" s="97"/>
      <c r="BH345" s="97"/>
      <c r="CJ345" s="1"/>
    </row>
    <row r="346" spans="19:88" s="17" customFormat="1" ht="22.5" customHeight="1" x14ac:dyDescent="0.25">
      <c r="S346" s="1"/>
      <c r="V346" s="99"/>
      <c r="W346" s="99"/>
      <c r="AF346" s="1"/>
      <c r="AN346" s="1"/>
      <c r="AV346" s="1"/>
      <c r="AW346" s="97"/>
      <c r="AX346" s="97"/>
      <c r="AY346" s="97"/>
      <c r="AZ346" s="97"/>
      <c r="BA346" s="97"/>
      <c r="BB346" s="97"/>
      <c r="BC346" s="97"/>
      <c r="BD346" s="98"/>
      <c r="BE346" s="97"/>
      <c r="BF346" s="97"/>
      <c r="BG346" s="97"/>
      <c r="BH346" s="97"/>
      <c r="CJ346" s="1"/>
    </row>
    <row r="347" spans="19:88" s="17" customFormat="1" ht="22.5" customHeight="1" x14ac:dyDescent="0.25">
      <c r="S347" s="1"/>
      <c r="V347" s="99"/>
      <c r="W347" s="99"/>
      <c r="AF347" s="1"/>
      <c r="AN347" s="1"/>
      <c r="AV347" s="1"/>
      <c r="AW347" s="97"/>
      <c r="AX347" s="97"/>
      <c r="AY347" s="97"/>
      <c r="AZ347" s="97"/>
      <c r="BA347" s="97"/>
      <c r="BB347" s="97"/>
      <c r="BC347" s="97"/>
      <c r="BD347" s="98"/>
      <c r="BE347" s="97"/>
      <c r="BF347" s="97"/>
      <c r="BG347" s="97"/>
      <c r="BH347" s="97"/>
      <c r="CJ347" s="1"/>
    </row>
    <row r="348" spans="19:88" s="17" customFormat="1" ht="22.5" customHeight="1" x14ac:dyDescent="0.25">
      <c r="S348" s="1"/>
      <c r="V348" s="99"/>
      <c r="W348" s="99"/>
      <c r="AF348" s="1"/>
      <c r="AN348" s="1"/>
      <c r="AV348" s="1"/>
      <c r="AW348" s="97"/>
      <c r="AX348" s="97"/>
      <c r="AY348" s="97"/>
      <c r="AZ348" s="97"/>
      <c r="BA348" s="97"/>
      <c r="BB348" s="97"/>
      <c r="BC348" s="97"/>
      <c r="BD348" s="98"/>
      <c r="BE348" s="97"/>
      <c r="BF348" s="97"/>
      <c r="BG348" s="97"/>
      <c r="BH348" s="97"/>
      <c r="CJ348" s="1"/>
    </row>
    <row r="349" spans="19:88" s="17" customFormat="1" ht="22.5" customHeight="1" x14ac:dyDescent="0.25">
      <c r="S349" s="1"/>
      <c r="V349" s="99"/>
      <c r="W349" s="99"/>
      <c r="AF349" s="1"/>
      <c r="AN349" s="1"/>
      <c r="AV349" s="1"/>
      <c r="AW349" s="97"/>
      <c r="AX349" s="97"/>
      <c r="AY349" s="97"/>
      <c r="AZ349" s="97"/>
      <c r="BA349" s="97"/>
      <c r="BB349" s="97"/>
      <c r="BC349" s="97"/>
      <c r="BD349" s="98"/>
      <c r="BE349" s="97"/>
      <c r="BF349" s="97"/>
      <c r="BG349" s="97"/>
      <c r="BH349" s="97"/>
      <c r="CJ349" s="1"/>
    </row>
    <row r="350" spans="19:88" s="17" customFormat="1" ht="22.5" customHeight="1" x14ac:dyDescent="0.25">
      <c r="S350" s="1"/>
      <c r="V350" s="99"/>
      <c r="W350" s="99"/>
      <c r="AF350" s="1"/>
      <c r="AN350" s="1"/>
      <c r="AV350" s="1"/>
      <c r="AW350" s="97"/>
      <c r="AX350" s="97"/>
      <c r="AY350" s="97"/>
      <c r="AZ350" s="97"/>
      <c r="BA350" s="97"/>
      <c r="BB350" s="97"/>
      <c r="BC350" s="97"/>
      <c r="BD350" s="98"/>
      <c r="BE350" s="97"/>
      <c r="BF350" s="97"/>
      <c r="BG350" s="97"/>
      <c r="BH350" s="97"/>
      <c r="CJ350" s="1"/>
    </row>
    <row r="351" spans="19:88" s="17" customFormat="1" ht="22.5" customHeight="1" x14ac:dyDescent="0.25">
      <c r="S351" s="1"/>
      <c r="V351" s="99"/>
      <c r="W351" s="99"/>
      <c r="AF351" s="1"/>
      <c r="AN351" s="1"/>
      <c r="AV351" s="1"/>
      <c r="AW351" s="97"/>
      <c r="AX351" s="97"/>
      <c r="AY351" s="97"/>
      <c r="AZ351" s="97"/>
      <c r="BA351" s="97"/>
      <c r="BB351" s="97"/>
      <c r="BC351" s="97"/>
      <c r="BD351" s="98"/>
      <c r="BE351" s="97"/>
      <c r="BF351" s="97"/>
      <c r="BG351" s="97"/>
      <c r="BH351" s="97"/>
      <c r="CJ351" s="1"/>
    </row>
    <row r="352" spans="19:88" s="17" customFormat="1" ht="22.5" customHeight="1" x14ac:dyDescent="0.25">
      <c r="S352" s="1"/>
      <c r="V352" s="99"/>
      <c r="W352" s="99"/>
      <c r="AF352" s="1"/>
      <c r="AN352" s="1"/>
      <c r="AV352" s="1"/>
      <c r="AW352" s="97"/>
      <c r="AX352" s="97"/>
      <c r="AY352" s="97"/>
      <c r="AZ352" s="97"/>
      <c r="BA352" s="97"/>
      <c r="BB352" s="97"/>
      <c r="BC352" s="97"/>
      <c r="BD352" s="98"/>
      <c r="BE352" s="97"/>
      <c r="BF352" s="97"/>
      <c r="BG352" s="97"/>
      <c r="BH352" s="97"/>
      <c r="CJ352" s="1"/>
    </row>
    <row r="353" spans="19:88" s="17" customFormat="1" ht="22.5" customHeight="1" x14ac:dyDescent="0.25">
      <c r="S353" s="1"/>
      <c r="V353" s="99"/>
      <c r="W353" s="99"/>
      <c r="AF353" s="1"/>
      <c r="AN353" s="1"/>
      <c r="AV353" s="1"/>
      <c r="AW353" s="97"/>
      <c r="AX353" s="97"/>
      <c r="AY353" s="97"/>
      <c r="AZ353" s="97"/>
      <c r="BA353" s="97"/>
      <c r="BB353" s="97"/>
      <c r="BC353" s="97"/>
      <c r="BD353" s="98"/>
      <c r="BE353" s="97"/>
      <c r="BF353" s="97"/>
      <c r="BG353" s="97"/>
      <c r="BH353" s="97"/>
      <c r="CJ353" s="1"/>
    </row>
    <row r="354" spans="19:88" s="17" customFormat="1" ht="22.5" customHeight="1" x14ac:dyDescent="0.25">
      <c r="S354" s="1"/>
      <c r="V354" s="99"/>
      <c r="W354" s="99"/>
      <c r="AF354" s="1"/>
      <c r="AN354" s="1"/>
      <c r="AV354" s="1"/>
      <c r="AW354" s="97"/>
      <c r="AX354" s="97"/>
      <c r="AY354" s="97"/>
      <c r="AZ354" s="97"/>
      <c r="BA354" s="97"/>
      <c r="BB354" s="97"/>
      <c r="BC354" s="97"/>
      <c r="BD354" s="98"/>
      <c r="BE354" s="97"/>
      <c r="BF354" s="97"/>
      <c r="BG354" s="97"/>
      <c r="BH354" s="97"/>
      <c r="CJ354" s="1"/>
    </row>
    <row r="355" spans="19:88" s="17" customFormat="1" ht="22.5" customHeight="1" x14ac:dyDescent="0.25">
      <c r="S355" s="1"/>
      <c r="V355" s="99"/>
      <c r="W355" s="99"/>
      <c r="AF355" s="1"/>
      <c r="AN355" s="1"/>
      <c r="AV355" s="1"/>
      <c r="AW355" s="97"/>
      <c r="AX355" s="97"/>
      <c r="AY355" s="97"/>
      <c r="AZ355" s="97"/>
      <c r="BA355" s="97"/>
      <c r="BB355" s="97"/>
      <c r="BC355" s="97"/>
      <c r="BD355" s="98"/>
      <c r="BE355" s="97"/>
      <c r="BF355" s="97"/>
      <c r="BG355" s="97"/>
      <c r="BH355" s="97"/>
      <c r="CJ355" s="1"/>
    </row>
    <row r="356" spans="19:88" s="17" customFormat="1" ht="22.5" customHeight="1" x14ac:dyDescent="0.25">
      <c r="S356" s="1"/>
      <c r="V356" s="99"/>
      <c r="W356" s="99"/>
      <c r="AF356" s="1"/>
      <c r="AN356" s="1"/>
      <c r="AV356" s="1"/>
      <c r="AW356" s="97"/>
      <c r="AX356" s="97"/>
      <c r="AY356" s="97"/>
      <c r="AZ356" s="97"/>
      <c r="BA356" s="97"/>
      <c r="BB356" s="97"/>
      <c r="BC356" s="97"/>
      <c r="BD356" s="98"/>
      <c r="BE356" s="97"/>
      <c r="BF356" s="97"/>
      <c r="BG356" s="97"/>
      <c r="BH356" s="97"/>
      <c r="CJ356" s="1"/>
    </row>
    <row r="357" spans="19:88" s="17" customFormat="1" ht="22.5" customHeight="1" x14ac:dyDescent="0.25">
      <c r="S357" s="1"/>
      <c r="V357" s="99"/>
      <c r="W357" s="99"/>
      <c r="AF357" s="1"/>
      <c r="AN357" s="1"/>
      <c r="AV357" s="1"/>
      <c r="AW357" s="97"/>
      <c r="AX357" s="97"/>
      <c r="AY357" s="97"/>
      <c r="AZ357" s="97"/>
      <c r="BA357" s="97"/>
      <c r="BB357" s="97"/>
      <c r="BC357" s="97"/>
      <c r="BD357" s="98"/>
      <c r="BE357" s="97"/>
      <c r="BF357" s="97"/>
      <c r="BG357" s="97"/>
      <c r="BH357" s="97"/>
      <c r="CJ357" s="1"/>
    </row>
    <row r="358" spans="19:88" s="17" customFormat="1" ht="22.5" customHeight="1" x14ac:dyDescent="0.25">
      <c r="S358" s="1"/>
      <c r="V358" s="99"/>
      <c r="W358" s="99"/>
      <c r="AF358" s="1"/>
      <c r="AN358" s="1"/>
      <c r="AV358" s="1"/>
      <c r="AW358" s="97"/>
      <c r="AX358" s="97"/>
      <c r="AY358" s="97"/>
      <c r="AZ358" s="97"/>
      <c r="BA358" s="97"/>
      <c r="BB358" s="97"/>
      <c r="BC358" s="97"/>
      <c r="BD358" s="98"/>
      <c r="BE358" s="97"/>
      <c r="BF358" s="97"/>
      <c r="BG358" s="97"/>
      <c r="BH358" s="97"/>
      <c r="CJ358" s="1"/>
    </row>
    <row r="359" spans="19:88" s="17" customFormat="1" ht="22.5" customHeight="1" x14ac:dyDescent="0.25">
      <c r="S359" s="1"/>
      <c r="V359" s="99"/>
      <c r="W359" s="99"/>
      <c r="AF359" s="1"/>
      <c r="AN359" s="1"/>
      <c r="AV359" s="1"/>
      <c r="AW359" s="97"/>
      <c r="AX359" s="97"/>
      <c r="AY359" s="97"/>
      <c r="AZ359" s="97"/>
      <c r="BA359" s="97"/>
      <c r="BB359" s="97"/>
      <c r="BC359" s="97"/>
      <c r="BD359" s="98"/>
      <c r="BE359" s="97"/>
      <c r="BF359" s="97"/>
      <c r="BG359" s="97"/>
      <c r="BH359" s="97"/>
      <c r="CJ359" s="1"/>
    </row>
    <row r="360" spans="19:88" s="17" customFormat="1" ht="22.5" customHeight="1" x14ac:dyDescent="0.25">
      <c r="S360" s="1"/>
      <c r="V360" s="99"/>
      <c r="W360" s="99"/>
      <c r="AF360" s="1"/>
      <c r="AN360" s="1"/>
      <c r="AV360" s="1"/>
      <c r="AW360" s="97"/>
      <c r="AX360" s="97"/>
      <c r="AY360" s="97"/>
      <c r="AZ360" s="97"/>
      <c r="BA360" s="97"/>
      <c r="BB360" s="97"/>
      <c r="BC360" s="97"/>
      <c r="BD360" s="98"/>
      <c r="BE360" s="97"/>
      <c r="BF360" s="97"/>
      <c r="BG360" s="97"/>
      <c r="BH360" s="97"/>
      <c r="CJ360" s="1"/>
    </row>
    <row r="361" spans="19:88" s="17" customFormat="1" ht="22.5" customHeight="1" x14ac:dyDescent="0.25">
      <c r="S361" s="1"/>
      <c r="V361" s="99"/>
      <c r="W361" s="99"/>
      <c r="AF361" s="1"/>
      <c r="AN361" s="1"/>
      <c r="AV361" s="1"/>
      <c r="AW361" s="97"/>
      <c r="AX361" s="97"/>
      <c r="AY361" s="97"/>
      <c r="AZ361" s="97"/>
      <c r="BA361" s="97"/>
      <c r="BB361" s="97"/>
      <c r="BC361" s="97"/>
      <c r="BD361" s="98"/>
      <c r="BE361" s="97"/>
      <c r="BF361" s="97"/>
      <c r="BG361" s="97"/>
      <c r="BH361" s="97"/>
      <c r="CJ361" s="1"/>
    </row>
    <row r="362" spans="19:88" s="17" customFormat="1" ht="22.5" customHeight="1" x14ac:dyDescent="0.25">
      <c r="S362" s="1"/>
      <c r="V362" s="99"/>
      <c r="W362" s="99"/>
      <c r="AF362" s="1"/>
      <c r="AN362" s="1"/>
      <c r="AV362" s="1"/>
      <c r="AW362" s="97"/>
      <c r="AX362" s="97"/>
      <c r="AY362" s="97"/>
      <c r="AZ362" s="97"/>
      <c r="BA362" s="97"/>
      <c r="BB362" s="97"/>
      <c r="BC362" s="97"/>
      <c r="BD362" s="98"/>
      <c r="BE362" s="97"/>
      <c r="BF362" s="97"/>
      <c r="BG362" s="97"/>
      <c r="BH362" s="97"/>
      <c r="CJ362" s="1"/>
    </row>
    <row r="363" spans="19:88" s="17" customFormat="1" ht="22.5" customHeight="1" x14ac:dyDescent="0.25">
      <c r="S363" s="1"/>
      <c r="V363" s="99"/>
      <c r="W363" s="99"/>
      <c r="AF363" s="1"/>
      <c r="AN363" s="1"/>
      <c r="AV363" s="1"/>
      <c r="AW363" s="97"/>
      <c r="AX363" s="97"/>
      <c r="AY363" s="97"/>
      <c r="AZ363" s="97"/>
      <c r="BA363" s="97"/>
      <c r="BB363" s="97"/>
      <c r="BC363" s="97"/>
      <c r="BD363" s="98"/>
      <c r="BE363" s="97"/>
      <c r="BF363" s="97"/>
      <c r="BG363" s="97"/>
      <c r="BH363" s="97"/>
      <c r="CJ363" s="1"/>
    </row>
    <row r="364" spans="19:88" s="17" customFormat="1" ht="22.5" customHeight="1" x14ac:dyDescent="0.25">
      <c r="S364" s="1"/>
      <c r="V364" s="99"/>
      <c r="W364" s="99"/>
      <c r="AF364" s="1"/>
      <c r="AN364" s="1"/>
      <c r="AV364" s="1"/>
      <c r="AW364" s="97"/>
      <c r="AX364" s="97"/>
      <c r="AY364" s="97"/>
      <c r="AZ364" s="97"/>
      <c r="BA364" s="97"/>
      <c r="BB364" s="97"/>
      <c r="BC364" s="97"/>
      <c r="BD364" s="98"/>
      <c r="BE364" s="97"/>
      <c r="BF364" s="97"/>
      <c r="BG364" s="97"/>
      <c r="BH364" s="97"/>
      <c r="CJ364" s="1"/>
    </row>
    <row r="365" spans="19:88" s="17" customFormat="1" ht="22.5" customHeight="1" x14ac:dyDescent="0.25">
      <c r="S365" s="1"/>
      <c r="V365" s="99"/>
      <c r="W365" s="99"/>
      <c r="AF365" s="1"/>
      <c r="AN365" s="1"/>
      <c r="AV365" s="1"/>
      <c r="AW365" s="97"/>
      <c r="AX365" s="97"/>
      <c r="AY365" s="97"/>
      <c r="AZ365" s="97"/>
      <c r="BA365" s="97"/>
      <c r="BB365" s="97"/>
      <c r="BC365" s="97"/>
      <c r="BD365" s="98"/>
      <c r="BE365" s="97"/>
      <c r="BF365" s="97"/>
      <c r="BG365" s="97"/>
      <c r="BH365" s="97"/>
      <c r="CJ365" s="1"/>
    </row>
    <row r="366" spans="19:88" s="17" customFormat="1" ht="22.5" customHeight="1" x14ac:dyDescent="0.25">
      <c r="S366" s="1"/>
      <c r="V366" s="99"/>
      <c r="W366" s="99"/>
      <c r="AF366" s="1"/>
      <c r="AN366" s="1"/>
      <c r="AV366" s="1"/>
      <c r="AW366" s="97"/>
      <c r="AX366" s="97"/>
      <c r="AY366" s="97"/>
      <c r="AZ366" s="97"/>
      <c r="BA366" s="97"/>
      <c r="BB366" s="97"/>
      <c r="BC366" s="97"/>
      <c r="BD366" s="98"/>
      <c r="BE366" s="97"/>
      <c r="BF366" s="97"/>
      <c r="BG366" s="97"/>
      <c r="BH366" s="97"/>
      <c r="CJ366" s="1"/>
    </row>
    <row r="367" spans="19:88" s="17" customFormat="1" ht="22.5" customHeight="1" x14ac:dyDescent="0.25">
      <c r="S367" s="1"/>
      <c r="V367" s="99"/>
      <c r="W367" s="99"/>
      <c r="AF367" s="1"/>
      <c r="AN367" s="1"/>
      <c r="AV367" s="1"/>
      <c r="AW367" s="97"/>
      <c r="AX367" s="97"/>
      <c r="AY367" s="97"/>
      <c r="AZ367" s="97"/>
      <c r="BA367" s="97"/>
      <c r="BB367" s="97"/>
      <c r="BC367" s="97"/>
      <c r="BD367" s="98"/>
      <c r="BE367" s="97"/>
      <c r="BF367" s="97"/>
      <c r="BG367" s="97"/>
      <c r="BH367" s="97"/>
      <c r="CJ367" s="1"/>
    </row>
    <row r="368" spans="19:88" s="17" customFormat="1" ht="22.5" customHeight="1" x14ac:dyDescent="0.25">
      <c r="S368" s="1"/>
      <c r="V368" s="99"/>
      <c r="W368" s="99"/>
      <c r="AF368" s="1"/>
      <c r="AN368" s="1"/>
      <c r="AV368" s="1"/>
      <c r="AW368" s="97"/>
      <c r="AX368" s="97"/>
      <c r="AY368" s="97"/>
      <c r="AZ368" s="97"/>
      <c r="BA368" s="97"/>
      <c r="BB368" s="97"/>
      <c r="BC368" s="97"/>
      <c r="BD368" s="98"/>
      <c r="BE368" s="97"/>
      <c r="BF368" s="97"/>
      <c r="BG368" s="97"/>
      <c r="BH368" s="97"/>
      <c r="CJ368" s="1"/>
    </row>
    <row r="369" spans="19:88" s="17" customFormat="1" ht="22.5" customHeight="1" x14ac:dyDescent="0.25">
      <c r="S369" s="1"/>
      <c r="V369" s="99"/>
      <c r="W369" s="99"/>
      <c r="AF369" s="1"/>
      <c r="AN369" s="1"/>
      <c r="AV369" s="1"/>
      <c r="AW369" s="97"/>
      <c r="AX369" s="97"/>
      <c r="AY369" s="97"/>
      <c r="AZ369" s="97"/>
      <c r="BA369" s="97"/>
      <c r="BB369" s="97"/>
      <c r="BC369" s="97"/>
      <c r="BD369" s="98"/>
      <c r="BE369" s="97"/>
      <c r="BF369" s="97"/>
      <c r="BG369" s="97"/>
      <c r="BH369" s="97"/>
      <c r="CJ369" s="1"/>
    </row>
    <row r="370" spans="19:88" s="17" customFormat="1" ht="22.5" customHeight="1" x14ac:dyDescent="0.25">
      <c r="S370" s="1"/>
      <c r="V370" s="99"/>
      <c r="W370" s="99"/>
      <c r="AF370" s="1"/>
      <c r="AN370" s="1"/>
      <c r="AV370" s="1"/>
      <c r="AW370" s="97"/>
      <c r="AX370" s="97"/>
      <c r="AY370" s="97"/>
      <c r="AZ370" s="97"/>
      <c r="BA370" s="97"/>
      <c r="BB370" s="97"/>
      <c r="BC370" s="97"/>
      <c r="BD370" s="98"/>
      <c r="BE370" s="97"/>
      <c r="BF370" s="97"/>
      <c r="BG370" s="97"/>
      <c r="BH370" s="97"/>
      <c r="CJ370" s="1"/>
    </row>
    <row r="371" spans="19:88" s="17" customFormat="1" ht="22.5" customHeight="1" x14ac:dyDescent="0.25">
      <c r="S371" s="1"/>
      <c r="V371" s="99"/>
      <c r="W371" s="99"/>
      <c r="AF371" s="1"/>
      <c r="AN371" s="1"/>
      <c r="AV371" s="1"/>
      <c r="AW371" s="97"/>
      <c r="AX371" s="97"/>
      <c r="AY371" s="97"/>
      <c r="AZ371" s="97"/>
      <c r="BA371" s="97"/>
      <c r="BB371" s="97"/>
      <c r="BC371" s="97"/>
      <c r="BD371" s="98"/>
      <c r="BE371" s="97"/>
      <c r="BF371" s="97"/>
      <c r="BG371" s="97"/>
      <c r="BH371" s="97"/>
      <c r="CJ371" s="1"/>
    </row>
    <row r="372" spans="19:88" s="17" customFormat="1" ht="22.5" customHeight="1" x14ac:dyDescent="0.25">
      <c r="S372" s="1"/>
      <c r="V372" s="99"/>
      <c r="W372" s="99"/>
      <c r="AF372" s="1"/>
      <c r="AN372" s="1"/>
      <c r="AV372" s="1"/>
      <c r="AW372" s="97"/>
      <c r="AX372" s="97"/>
      <c r="AY372" s="97"/>
      <c r="AZ372" s="97"/>
      <c r="BA372" s="97"/>
      <c r="BB372" s="97"/>
      <c r="BC372" s="97"/>
      <c r="BD372" s="98"/>
      <c r="BE372" s="97"/>
      <c r="BF372" s="97"/>
      <c r="BG372" s="97"/>
      <c r="BH372" s="97"/>
      <c r="CJ372" s="1"/>
    </row>
    <row r="373" spans="19:88" s="17" customFormat="1" ht="22.5" customHeight="1" x14ac:dyDescent="0.25">
      <c r="S373" s="1"/>
      <c r="V373" s="99"/>
      <c r="W373" s="99"/>
      <c r="AF373" s="1"/>
      <c r="AN373" s="1"/>
      <c r="AV373" s="1"/>
      <c r="AW373" s="97"/>
      <c r="AX373" s="97"/>
      <c r="AY373" s="97"/>
      <c r="AZ373" s="97"/>
      <c r="BA373" s="97"/>
      <c r="BB373" s="97"/>
      <c r="BC373" s="97"/>
      <c r="BD373" s="98"/>
      <c r="BE373" s="97"/>
      <c r="BF373" s="97"/>
      <c r="BG373" s="97"/>
      <c r="BH373" s="97"/>
      <c r="CJ373" s="1"/>
    </row>
    <row r="374" spans="19:88" s="17" customFormat="1" ht="22.5" customHeight="1" x14ac:dyDescent="0.25">
      <c r="S374" s="1"/>
      <c r="V374" s="99"/>
      <c r="W374" s="99"/>
      <c r="AF374" s="1"/>
      <c r="AN374" s="1"/>
      <c r="AV374" s="1"/>
      <c r="AW374" s="97"/>
      <c r="AX374" s="97"/>
      <c r="AY374" s="97"/>
      <c r="AZ374" s="97"/>
      <c r="BA374" s="97"/>
      <c r="BB374" s="97"/>
      <c r="BC374" s="97"/>
      <c r="BD374" s="98"/>
      <c r="BE374" s="97"/>
      <c r="BF374" s="97"/>
      <c r="BG374" s="97"/>
      <c r="BH374" s="97"/>
      <c r="CJ374" s="1"/>
    </row>
    <row r="375" spans="19:88" s="17" customFormat="1" ht="22.5" customHeight="1" x14ac:dyDescent="0.25">
      <c r="S375" s="1"/>
      <c r="V375" s="99"/>
      <c r="W375" s="99"/>
      <c r="AF375" s="1"/>
      <c r="AN375" s="1"/>
      <c r="AV375" s="1"/>
      <c r="AW375" s="97"/>
      <c r="AX375" s="97"/>
      <c r="AY375" s="97"/>
      <c r="AZ375" s="97"/>
      <c r="BA375" s="97"/>
      <c r="BB375" s="97"/>
      <c r="BC375" s="97"/>
      <c r="BD375" s="98"/>
      <c r="BE375" s="97"/>
      <c r="BF375" s="97"/>
      <c r="BG375" s="97"/>
      <c r="BH375" s="97"/>
      <c r="CJ375" s="1"/>
    </row>
    <row r="376" spans="19:88" s="17" customFormat="1" ht="22.5" customHeight="1" x14ac:dyDescent="0.25">
      <c r="S376" s="1"/>
      <c r="V376" s="99"/>
      <c r="W376" s="99"/>
      <c r="AF376" s="1"/>
      <c r="AN376" s="1"/>
      <c r="AV376" s="1"/>
      <c r="AW376" s="97"/>
      <c r="AX376" s="97"/>
      <c r="AY376" s="97"/>
      <c r="AZ376" s="97"/>
      <c r="BA376" s="97"/>
      <c r="BB376" s="97"/>
      <c r="BC376" s="97"/>
      <c r="BD376" s="98"/>
      <c r="BE376" s="97"/>
      <c r="BF376" s="97"/>
      <c r="BG376" s="97"/>
      <c r="BH376" s="97"/>
      <c r="CJ376" s="1"/>
    </row>
    <row r="377" spans="19:88" s="17" customFormat="1" ht="22.5" customHeight="1" x14ac:dyDescent="0.25">
      <c r="S377" s="1"/>
      <c r="V377" s="99"/>
      <c r="W377" s="99"/>
      <c r="AF377" s="1"/>
      <c r="AN377" s="1"/>
      <c r="AV377" s="1"/>
      <c r="AW377" s="97"/>
      <c r="AX377" s="97"/>
      <c r="AY377" s="97"/>
      <c r="AZ377" s="97"/>
      <c r="BA377" s="97"/>
      <c r="BB377" s="97"/>
      <c r="BC377" s="97"/>
      <c r="BD377" s="98"/>
      <c r="BE377" s="97"/>
      <c r="BF377" s="97"/>
      <c r="BG377" s="97"/>
      <c r="BH377" s="97"/>
      <c r="CJ377" s="1"/>
    </row>
    <row r="378" spans="19:88" s="17" customFormat="1" ht="22.5" customHeight="1" x14ac:dyDescent="0.25">
      <c r="S378" s="1"/>
      <c r="V378" s="99"/>
      <c r="W378" s="99"/>
      <c r="AF378" s="1"/>
      <c r="AN378" s="1"/>
      <c r="AV378" s="1"/>
      <c r="AW378" s="97"/>
      <c r="AX378" s="97"/>
      <c r="AY378" s="97"/>
      <c r="AZ378" s="97"/>
      <c r="BA378" s="97"/>
      <c r="BB378" s="97"/>
      <c r="BC378" s="97"/>
      <c r="BD378" s="98"/>
      <c r="BE378" s="97"/>
      <c r="BF378" s="97"/>
      <c r="BG378" s="97"/>
      <c r="BH378" s="97"/>
      <c r="CJ378" s="1"/>
    </row>
    <row r="379" spans="19:88" s="17" customFormat="1" ht="22.5" customHeight="1" x14ac:dyDescent="0.25">
      <c r="S379" s="1"/>
      <c r="V379" s="99"/>
      <c r="W379" s="99"/>
      <c r="AF379" s="1"/>
      <c r="AN379" s="1"/>
      <c r="AV379" s="1"/>
      <c r="AW379" s="97"/>
      <c r="AX379" s="97"/>
      <c r="AY379" s="97"/>
      <c r="AZ379" s="97"/>
      <c r="BA379" s="97"/>
      <c r="BB379" s="97"/>
      <c r="BC379" s="97"/>
      <c r="BD379" s="98"/>
      <c r="BE379" s="97"/>
      <c r="BF379" s="97"/>
      <c r="BG379" s="97"/>
      <c r="BH379" s="97"/>
      <c r="CJ379" s="1"/>
    </row>
    <row r="380" spans="19:88" s="17" customFormat="1" ht="22.5" customHeight="1" x14ac:dyDescent="0.25">
      <c r="S380" s="1"/>
      <c r="V380" s="99"/>
      <c r="W380" s="99"/>
      <c r="AF380" s="1"/>
      <c r="AN380" s="1"/>
      <c r="AV380" s="1"/>
      <c r="AW380" s="97"/>
      <c r="AX380" s="97"/>
      <c r="AY380" s="97"/>
      <c r="AZ380" s="97"/>
      <c r="BA380" s="97"/>
      <c r="BB380" s="97"/>
      <c r="BC380" s="97"/>
      <c r="BD380" s="98"/>
      <c r="BE380" s="97"/>
      <c r="BF380" s="97"/>
      <c r="BG380" s="97"/>
      <c r="BH380" s="97"/>
      <c r="CJ380" s="1"/>
    </row>
    <row r="381" spans="19:88" s="17" customFormat="1" ht="22.5" customHeight="1" x14ac:dyDescent="0.25">
      <c r="S381" s="1"/>
      <c r="V381" s="99"/>
      <c r="W381" s="99"/>
      <c r="AF381" s="1"/>
      <c r="AN381" s="1"/>
      <c r="AV381" s="1"/>
      <c r="AW381" s="97"/>
      <c r="AX381" s="97"/>
      <c r="AY381" s="97"/>
      <c r="AZ381" s="97"/>
      <c r="BA381" s="97"/>
      <c r="BB381" s="97"/>
      <c r="BC381" s="97"/>
      <c r="BD381" s="98"/>
      <c r="BE381" s="97"/>
      <c r="BF381" s="97"/>
      <c r="BG381" s="97"/>
      <c r="BH381" s="97"/>
      <c r="CJ381" s="1"/>
    </row>
    <row r="382" spans="19:88" s="17" customFormat="1" ht="22.5" customHeight="1" x14ac:dyDescent="0.25">
      <c r="S382" s="1"/>
      <c r="V382" s="99"/>
      <c r="W382" s="99"/>
      <c r="AF382" s="1"/>
      <c r="AN382" s="1"/>
      <c r="AV382" s="1"/>
      <c r="AW382" s="97"/>
      <c r="AX382" s="97"/>
      <c r="AY382" s="97"/>
      <c r="AZ382" s="97"/>
      <c r="BA382" s="97"/>
      <c r="BB382" s="97"/>
      <c r="BC382" s="97"/>
      <c r="BD382" s="98"/>
      <c r="BE382" s="97"/>
      <c r="BF382" s="97"/>
      <c r="BG382" s="97"/>
      <c r="BH382" s="97"/>
      <c r="CJ382" s="1"/>
    </row>
    <row r="383" spans="19:88" s="17" customFormat="1" ht="22.5" customHeight="1" x14ac:dyDescent="0.25">
      <c r="S383" s="1"/>
      <c r="V383" s="99"/>
      <c r="W383" s="99"/>
      <c r="AF383" s="1"/>
      <c r="AN383" s="1"/>
      <c r="AV383" s="1"/>
      <c r="AW383" s="97"/>
      <c r="AX383" s="97"/>
      <c r="AY383" s="97"/>
      <c r="AZ383" s="97"/>
      <c r="BA383" s="97"/>
      <c r="BB383" s="97"/>
      <c r="BC383" s="97"/>
      <c r="BD383" s="98"/>
      <c r="BE383" s="97"/>
      <c r="BF383" s="97"/>
      <c r="BG383" s="97"/>
      <c r="BH383" s="97"/>
      <c r="CJ383" s="1"/>
    </row>
    <row r="384" spans="19:88" s="17" customFormat="1" ht="22.5" customHeight="1" x14ac:dyDescent="0.25">
      <c r="S384" s="1"/>
      <c r="V384" s="99"/>
      <c r="W384" s="99"/>
      <c r="AF384" s="1"/>
      <c r="AN384" s="1"/>
      <c r="AV384" s="1"/>
      <c r="AW384" s="97"/>
      <c r="AX384" s="97"/>
      <c r="AY384" s="97"/>
      <c r="AZ384" s="97"/>
      <c r="BA384" s="97"/>
      <c r="BB384" s="97"/>
      <c r="BC384" s="97"/>
      <c r="BD384" s="98"/>
      <c r="BE384" s="97"/>
      <c r="BF384" s="97"/>
      <c r="BG384" s="97"/>
      <c r="BH384" s="97"/>
      <c r="CJ384" s="1"/>
    </row>
    <row r="385" spans="19:88" s="17" customFormat="1" ht="22.5" customHeight="1" x14ac:dyDescent="0.25">
      <c r="S385" s="1"/>
      <c r="V385" s="99"/>
      <c r="W385" s="99"/>
      <c r="AF385" s="1"/>
      <c r="AN385" s="1"/>
      <c r="AV385" s="1"/>
      <c r="AW385" s="97"/>
      <c r="AX385" s="97"/>
      <c r="AY385" s="97"/>
      <c r="AZ385" s="97"/>
      <c r="BA385" s="97"/>
      <c r="BB385" s="97"/>
      <c r="BC385" s="97"/>
      <c r="BD385" s="98"/>
      <c r="BE385" s="97"/>
      <c r="BF385" s="97"/>
      <c r="BG385" s="97"/>
      <c r="BH385" s="97"/>
      <c r="CJ385" s="1"/>
    </row>
    <row r="386" spans="19:88" s="17" customFormat="1" ht="22.5" customHeight="1" x14ac:dyDescent="0.25">
      <c r="S386" s="1"/>
      <c r="V386" s="99"/>
      <c r="W386" s="99"/>
      <c r="AF386" s="1"/>
      <c r="AN386" s="1"/>
      <c r="AV386" s="1"/>
      <c r="AW386" s="97"/>
      <c r="AX386" s="97"/>
      <c r="AY386" s="97"/>
      <c r="AZ386" s="97"/>
      <c r="BA386" s="97"/>
      <c r="BB386" s="97"/>
      <c r="BC386" s="97"/>
      <c r="BD386" s="98"/>
      <c r="BE386" s="97"/>
      <c r="BF386" s="97"/>
      <c r="BG386" s="97"/>
      <c r="BH386" s="97"/>
      <c r="CJ386" s="1"/>
    </row>
    <row r="387" spans="19:88" s="17" customFormat="1" ht="22.5" customHeight="1" x14ac:dyDescent="0.25">
      <c r="S387" s="1"/>
      <c r="V387" s="99"/>
      <c r="W387" s="99"/>
      <c r="AF387" s="1"/>
      <c r="AN387" s="1"/>
      <c r="AV387" s="1"/>
      <c r="AW387" s="97"/>
      <c r="AX387" s="97"/>
      <c r="AY387" s="97"/>
      <c r="AZ387" s="97"/>
      <c r="BA387" s="97"/>
      <c r="BB387" s="97"/>
      <c r="BC387" s="97"/>
      <c r="BD387" s="98"/>
      <c r="BE387" s="97"/>
      <c r="BF387" s="97"/>
      <c r="BG387" s="97"/>
      <c r="BH387" s="97"/>
      <c r="CJ387" s="1"/>
    </row>
    <row r="388" spans="19:88" s="17" customFormat="1" ht="22.5" customHeight="1" x14ac:dyDescent="0.25">
      <c r="S388" s="1"/>
      <c r="V388" s="99"/>
      <c r="W388" s="99"/>
      <c r="AF388" s="1"/>
      <c r="AN388" s="1"/>
      <c r="AV388" s="1"/>
      <c r="AW388" s="97"/>
      <c r="AX388" s="97"/>
      <c r="AY388" s="97"/>
      <c r="AZ388" s="97"/>
      <c r="BA388" s="97"/>
      <c r="BB388" s="97"/>
      <c r="BC388" s="97"/>
      <c r="BD388" s="98"/>
      <c r="BE388" s="97"/>
      <c r="BF388" s="97"/>
      <c r="BG388" s="97"/>
      <c r="BH388" s="97"/>
      <c r="CJ388" s="1"/>
    </row>
    <row r="389" spans="19:88" s="17" customFormat="1" ht="22.5" customHeight="1" x14ac:dyDescent="0.25">
      <c r="S389" s="1"/>
      <c r="V389" s="99"/>
      <c r="W389" s="99"/>
      <c r="AF389" s="1"/>
      <c r="AN389" s="1"/>
      <c r="AV389" s="1"/>
      <c r="AW389" s="97"/>
      <c r="AX389" s="97"/>
      <c r="AY389" s="97"/>
      <c r="AZ389" s="97"/>
      <c r="BA389" s="97"/>
      <c r="BB389" s="97"/>
      <c r="BC389" s="97"/>
      <c r="BD389" s="98"/>
      <c r="BE389" s="97"/>
      <c r="BF389" s="97"/>
      <c r="BG389" s="97"/>
      <c r="BH389" s="97"/>
      <c r="CJ389" s="1"/>
    </row>
    <row r="390" spans="19:88" s="17" customFormat="1" ht="22.5" customHeight="1" x14ac:dyDescent="0.25">
      <c r="S390" s="1"/>
      <c r="V390" s="99"/>
      <c r="W390" s="99"/>
      <c r="AF390" s="1"/>
      <c r="AN390" s="1"/>
      <c r="AV390" s="1"/>
      <c r="AW390" s="97"/>
      <c r="AX390" s="97"/>
      <c r="AY390" s="97"/>
      <c r="AZ390" s="97"/>
      <c r="BA390" s="97"/>
      <c r="BB390" s="97"/>
      <c r="BC390" s="97"/>
      <c r="BD390" s="98"/>
      <c r="BE390" s="97"/>
      <c r="BF390" s="97"/>
      <c r="BG390" s="97"/>
      <c r="BH390" s="97"/>
      <c r="CJ390" s="1"/>
    </row>
    <row r="391" spans="19:88" s="17" customFormat="1" ht="22.5" customHeight="1" x14ac:dyDescent="0.25">
      <c r="S391" s="1"/>
      <c r="V391" s="99"/>
      <c r="W391" s="99"/>
      <c r="AF391" s="1"/>
      <c r="AN391" s="1"/>
      <c r="AV391" s="1"/>
      <c r="AW391" s="97"/>
      <c r="AX391" s="97"/>
      <c r="AY391" s="97"/>
      <c r="AZ391" s="97"/>
      <c r="BA391" s="97"/>
      <c r="BB391" s="97"/>
      <c r="BC391" s="97"/>
      <c r="BD391" s="98"/>
      <c r="BE391" s="97"/>
      <c r="BF391" s="97"/>
      <c r="BG391" s="97"/>
      <c r="BH391" s="97"/>
      <c r="CJ391" s="1"/>
    </row>
    <row r="392" spans="19:88" s="17" customFormat="1" ht="22.5" customHeight="1" x14ac:dyDescent="0.25">
      <c r="S392" s="1"/>
      <c r="V392" s="99"/>
      <c r="W392" s="99"/>
      <c r="AF392" s="1"/>
      <c r="AN392" s="1"/>
      <c r="AV392" s="1"/>
      <c r="AW392" s="97"/>
      <c r="AX392" s="97"/>
      <c r="AY392" s="97"/>
      <c r="AZ392" s="97"/>
      <c r="BA392" s="97"/>
      <c r="BB392" s="97"/>
      <c r="BC392" s="97"/>
      <c r="BD392" s="98"/>
      <c r="BE392" s="97"/>
      <c r="BF392" s="97"/>
      <c r="BG392" s="97"/>
      <c r="BH392" s="97"/>
      <c r="CJ392" s="1"/>
    </row>
    <row r="393" spans="19:88" s="17" customFormat="1" ht="22.5" customHeight="1" x14ac:dyDescent="0.25">
      <c r="S393" s="1"/>
      <c r="V393" s="99"/>
      <c r="W393" s="99"/>
      <c r="AF393" s="1"/>
      <c r="AN393" s="1"/>
      <c r="AV393" s="1"/>
      <c r="AW393" s="97"/>
      <c r="AX393" s="97"/>
      <c r="AY393" s="97"/>
      <c r="AZ393" s="97"/>
      <c r="BA393" s="97"/>
      <c r="BB393" s="97"/>
      <c r="BC393" s="97"/>
      <c r="BD393" s="98"/>
      <c r="BE393" s="97"/>
      <c r="BF393" s="97"/>
      <c r="BG393" s="97"/>
      <c r="BH393" s="97"/>
      <c r="CJ393" s="1"/>
    </row>
    <row r="394" spans="19:88" s="17" customFormat="1" ht="22.5" customHeight="1" x14ac:dyDescent="0.25">
      <c r="S394" s="1"/>
      <c r="V394" s="99"/>
      <c r="W394" s="99"/>
      <c r="AF394" s="1"/>
      <c r="AN394" s="1"/>
      <c r="AV394" s="1"/>
      <c r="AW394" s="97"/>
      <c r="AX394" s="97"/>
      <c r="AY394" s="97"/>
      <c r="AZ394" s="97"/>
      <c r="BA394" s="97"/>
      <c r="BB394" s="97"/>
      <c r="BC394" s="97"/>
      <c r="BD394" s="98"/>
      <c r="BE394" s="97"/>
      <c r="BF394" s="97"/>
      <c r="BG394" s="97"/>
      <c r="BH394" s="97"/>
      <c r="CJ394" s="1"/>
    </row>
    <row r="395" spans="19:88" s="17" customFormat="1" ht="22.5" customHeight="1" x14ac:dyDescent="0.25">
      <c r="S395" s="1"/>
      <c r="V395" s="99"/>
      <c r="W395" s="99"/>
      <c r="AF395" s="1"/>
      <c r="AN395" s="1"/>
      <c r="AV395" s="1"/>
      <c r="AW395" s="97"/>
      <c r="AX395" s="97"/>
      <c r="AY395" s="97"/>
      <c r="AZ395" s="97"/>
      <c r="BA395" s="97"/>
      <c r="BB395" s="97"/>
      <c r="BC395" s="97"/>
      <c r="BD395" s="98"/>
      <c r="BE395" s="97"/>
      <c r="BF395" s="97"/>
      <c r="BG395" s="97"/>
      <c r="BH395" s="97"/>
      <c r="CJ395" s="1"/>
    </row>
    <row r="396" spans="19:88" s="17" customFormat="1" ht="22.5" customHeight="1" x14ac:dyDescent="0.25">
      <c r="S396" s="1"/>
      <c r="V396" s="99"/>
      <c r="W396" s="99"/>
      <c r="AF396" s="1"/>
      <c r="AN396" s="1"/>
      <c r="AV396" s="1"/>
      <c r="AW396" s="97"/>
      <c r="AX396" s="97"/>
      <c r="AY396" s="97"/>
      <c r="AZ396" s="97"/>
      <c r="BA396" s="97"/>
      <c r="BB396" s="97"/>
      <c r="BC396" s="97"/>
      <c r="BD396" s="98"/>
      <c r="BE396" s="97"/>
      <c r="BF396" s="97"/>
      <c r="BG396" s="97"/>
      <c r="BH396" s="97"/>
      <c r="CJ396" s="1"/>
    </row>
    <row r="397" spans="19:88" s="17" customFormat="1" ht="22.5" customHeight="1" x14ac:dyDescent="0.25">
      <c r="S397" s="1"/>
      <c r="V397" s="99"/>
      <c r="W397" s="99"/>
      <c r="AF397" s="1"/>
      <c r="AN397" s="1"/>
      <c r="AV397" s="1"/>
      <c r="AW397" s="97"/>
      <c r="AX397" s="97"/>
      <c r="AY397" s="97"/>
      <c r="AZ397" s="97"/>
      <c r="BA397" s="97"/>
      <c r="BB397" s="97"/>
      <c r="BC397" s="97"/>
      <c r="BD397" s="98"/>
      <c r="BE397" s="97"/>
      <c r="BF397" s="97"/>
      <c r="BG397" s="97"/>
      <c r="BH397" s="97"/>
      <c r="CJ397" s="1"/>
    </row>
    <row r="398" spans="19:88" s="17" customFormat="1" ht="22.5" customHeight="1" x14ac:dyDescent="0.25">
      <c r="S398" s="1"/>
      <c r="V398" s="99"/>
      <c r="W398" s="99"/>
      <c r="AF398" s="1"/>
      <c r="AN398" s="1"/>
      <c r="AV398" s="1"/>
      <c r="AW398" s="97"/>
      <c r="AX398" s="97"/>
      <c r="AY398" s="97"/>
      <c r="AZ398" s="97"/>
      <c r="BA398" s="97"/>
      <c r="BB398" s="97"/>
      <c r="BC398" s="97"/>
      <c r="BD398" s="98"/>
      <c r="BE398" s="97"/>
      <c r="BF398" s="97"/>
      <c r="BG398" s="97"/>
      <c r="BH398" s="97"/>
      <c r="CJ398" s="1"/>
    </row>
    <row r="399" spans="19:88" s="17" customFormat="1" ht="22.5" customHeight="1" x14ac:dyDescent="0.25">
      <c r="S399" s="1"/>
      <c r="V399" s="99"/>
      <c r="W399" s="99"/>
      <c r="AF399" s="1"/>
      <c r="AN399" s="1"/>
      <c r="AV399" s="1"/>
      <c r="AW399" s="97"/>
      <c r="AX399" s="97"/>
      <c r="AY399" s="97"/>
      <c r="AZ399" s="97"/>
      <c r="BA399" s="97"/>
      <c r="BB399" s="97"/>
      <c r="BC399" s="97"/>
      <c r="BD399" s="98"/>
      <c r="BE399" s="97"/>
      <c r="BF399" s="97"/>
      <c r="BG399" s="97"/>
      <c r="BH399" s="97"/>
      <c r="CJ399" s="1"/>
    </row>
    <row r="400" spans="19:88" s="17" customFormat="1" ht="22.5" customHeight="1" x14ac:dyDescent="0.25">
      <c r="S400" s="1"/>
      <c r="V400" s="99"/>
      <c r="W400" s="99"/>
      <c r="AF400" s="1"/>
      <c r="AN400" s="1"/>
      <c r="AV400" s="1"/>
      <c r="AW400" s="97"/>
      <c r="AX400" s="97"/>
      <c r="AY400" s="97"/>
      <c r="AZ400" s="97"/>
      <c r="BA400" s="97"/>
      <c r="BB400" s="97"/>
      <c r="BC400" s="97"/>
      <c r="BD400" s="98"/>
      <c r="BE400" s="97"/>
      <c r="BF400" s="97"/>
      <c r="BG400" s="97"/>
      <c r="BH400" s="97"/>
      <c r="CJ400" s="1"/>
    </row>
    <row r="401" spans="19:88" s="17" customFormat="1" ht="22.5" customHeight="1" x14ac:dyDescent="0.25">
      <c r="S401" s="1"/>
      <c r="V401" s="99"/>
      <c r="W401" s="99"/>
      <c r="AF401" s="1"/>
      <c r="AN401" s="1"/>
      <c r="AV401" s="1"/>
      <c r="AW401" s="97"/>
      <c r="AX401" s="97"/>
      <c r="AY401" s="97"/>
      <c r="AZ401" s="97"/>
      <c r="BA401" s="97"/>
      <c r="BB401" s="97"/>
      <c r="BC401" s="97"/>
      <c r="BD401" s="98"/>
      <c r="BE401" s="97"/>
      <c r="BF401" s="97"/>
      <c r="BG401" s="97"/>
      <c r="BH401" s="97"/>
      <c r="CJ401" s="1"/>
    </row>
    <row r="402" spans="19:88" s="17" customFormat="1" ht="22.5" customHeight="1" x14ac:dyDescent="0.25">
      <c r="S402" s="1"/>
      <c r="V402" s="99"/>
      <c r="W402" s="99"/>
      <c r="AF402" s="1"/>
      <c r="AN402" s="1"/>
      <c r="AV402" s="1"/>
      <c r="AW402" s="97"/>
      <c r="AX402" s="97"/>
      <c r="AY402" s="97"/>
      <c r="AZ402" s="97"/>
      <c r="BA402" s="97"/>
      <c r="BB402" s="97"/>
      <c r="BC402" s="97"/>
      <c r="BD402" s="98"/>
      <c r="BE402" s="97"/>
      <c r="BF402" s="97"/>
      <c r="BG402" s="97"/>
      <c r="BH402" s="97"/>
      <c r="CJ402" s="1"/>
    </row>
    <row r="403" spans="19:88" s="17" customFormat="1" ht="22.5" customHeight="1" x14ac:dyDescent="0.25">
      <c r="S403" s="1"/>
      <c r="V403" s="99"/>
      <c r="W403" s="99"/>
      <c r="AF403" s="1"/>
      <c r="AN403" s="1"/>
      <c r="AV403" s="1"/>
      <c r="AW403" s="97"/>
      <c r="AX403" s="97"/>
      <c r="AY403" s="97"/>
      <c r="AZ403" s="97"/>
      <c r="BA403" s="97"/>
      <c r="BB403" s="97"/>
      <c r="BC403" s="97"/>
      <c r="BD403" s="98"/>
      <c r="BE403" s="97"/>
      <c r="BF403" s="97"/>
      <c r="BG403" s="97"/>
      <c r="BH403" s="97"/>
      <c r="CJ403" s="1"/>
    </row>
    <row r="404" spans="19:88" s="17" customFormat="1" ht="22.5" customHeight="1" x14ac:dyDescent="0.25">
      <c r="S404" s="1"/>
      <c r="V404" s="99"/>
      <c r="W404" s="99"/>
      <c r="AF404" s="1"/>
      <c r="AN404" s="1"/>
      <c r="AV404" s="1"/>
      <c r="AW404" s="97"/>
      <c r="AX404" s="97"/>
      <c r="AY404" s="97"/>
      <c r="AZ404" s="97"/>
      <c r="BA404" s="97"/>
      <c r="BB404" s="97"/>
      <c r="BC404" s="97"/>
      <c r="BD404" s="98"/>
      <c r="BE404" s="97"/>
      <c r="BF404" s="97"/>
      <c r="BG404" s="97"/>
      <c r="BH404" s="97"/>
      <c r="CJ404" s="1"/>
    </row>
    <row r="405" spans="19:88" s="17" customFormat="1" ht="22.5" customHeight="1" x14ac:dyDescent="0.25">
      <c r="S405" s="1"/>
      <c r="V405" s="99"/>
      <c r="W405" s="99"/>
      <c r="AF405" s="1"/>
      <c r="AN405" s="1"/>
      <c r="AV405" s="1"/>
      <c r="AW405" s="97"/>
      <c r="AX405" s="97"/>
      <c r="AY405" s="97"/>
      <c r="AZ405" s="97"/>
      <c r="BA405" s="97"/>
      <c r="BB405" s="97"/>
      <c r="BC405" s="97"/>
      <c r="BD405" s="98"/>
      <c r="BE405" s="97"/>
      <c r="BF405" s="97"/>
      <c r="BG405" s="97"/>
      <c r="BH405" s="97"/>
      <c r="CJ405" s="1"/>
    </row>
    <row r="406" spans="19:88" s="17" customFormat="1" ht="22.5" customHeight="1" x14ac:dyDescent="0.25">
      <c r="S406" s="1"/>
      <c r="V406" s="99"/>
      <c r="W406" s="99"/>
      <c r="AF406" s="1"/>
      <c r="AN406" s="1"/>
      <c r="AV406" s="1"/>
      <c r="AW406" s="97"/>
      <c r="AX406" s="97"/>
      <c r="AY406" s="97"/>
      <c r="AZ406" s="97"/>
      <c r="BA406" s="97"/>
      <c r="BB406" s="97"/>
      <c r="BC406" s="97"/>
      <c r="BD406" s="98"/>
      <c r="BE406" s="97"/>
      <c r="BF406" s="97"/>
      <c r="BG406" s="97"/>
      <c r="BH406" s="97"/>
      <c r="CJ406" s="1"/>
    </row>
    <row r="407" spans="19:88" s="17" customFormat="1" ht="22.5" customHeight="1" x14ac:dyDescent="0.25">
      <c r="S407" s="1"/>
      <c r="V407" s="99"/>
      <c r="W407" s="99"/>
      <c r="AF407" s="1"/>
      <c r="AN407" s="1"/>
      <c r="AV407" s="1"/>
      <c r="AW407" s="97"/>
      <c r="AX407" s="97"/>
      <c r="AY407" s="97"/>
      <c r="AZ407" s="97"/>
      <c r="BA407" s="97"/>
      <c r="BB407" s="97"/>
      <c r="BC407" s="97"/>
      <c r="BD407" s="98"/>
      <c r="BE407" s="97"/>
      <c r="BF407" s="97"/>
      <c r="BG407" s="97"/>
      <c r="BH407" s="97"/>
      <c r="CJ407" s="1"/>
    </row>
    <row r="408" spans="19:88" s="17" customFormat="1" ht="22.5" customHeight="1" x14ac:dyDescent="0.25">
      <c r="S408" s="1"/>
      <c r="V408" s="99"/>
      <c r="W408" s="99"/>
      <c r="AF408" s="1"/>
      <c r="AN408" s="1"/>
      <c r="AV408" s="1"/>
      <c r="AW408" s="97"/>
      <c r="AX408" s="97"/>
      <c r="AY408" s="97"/>
      <c r="AZ408" s="97"/>
      <c r="BA408" s="97"/>
      <c r="BB408" s="97"/>
      <c r="BC408" s="97"/>
      <c r="BD408" s="98"/>
      <c r="BE408" s="97"/>
      <c r="BF408" s="97"/>
      <c r="BG408" s="97"/>
      <c r="BH408" s="97"/>
      <c r="CJ408" s="1"/>
    </row>
    <row r="409" spans="19:88" s="17" customFormat="1" ht="22.5" customHeight="1" x14ac:dyDescent="0.25">
      <c r="S409" s="1"/>
      <c r="V409" s="99"/>
      <c r="W409" s="99"/>
      <c r="AF409" s="1"/>
      <c r="AN409" s="1"/>
      <c r="AV409" s="1"/>
      <c r="AW409" s="97"/>
      <c r="AX409" s="97"/>
      <c r="AY409" s="97"/>
      <c r="AZ409" s="97"/>
      <c r="BA409" s="97"/>
      <c r="BB409" s="97"/>
      <c r="BC409" s="97"/>
      <c r="BD409" s="98"/>
      <c r="BE409" s="97"/>
      <c r="BF409" s="97"/>
      <c r="BG409" s="97"/>
      <c r="BH409" s="97"/>
      <c r="CJ409" s="1"/>
    </row>
    <row r="410" spans="19:88" s="17" customFormat="1" ht="22.5" customHeight="1" x14ac:dyDescent="0.25">
      <c r="S410" s="1"/>
      <c r="V410" s="99"/>
      <c r="W410" s="99"/>
      <c r="AF410" s="1"/>
      <c r="AN410" s="1"/>
      <c r="AV410" s="1"/>
      <c r="AW410" s="97"/>
      <c r="AX410" s="97"/>
      <c r="AY410" s="97"/>
      <c r="AZ410" s="97"/>
      <c r="BA410" s="97"/>
      <c r="BB410" s="97"/>
      <c r="BC410" s="97"/>
      <c r="BD410" s="98"/>
      <c r="BE410" s="97"/>
      <c r="BF410" s="97"/>
      <c r="BG410" s="97"/>
      <c r="BH410" s="97"/>
      <c r="CJ410" s="1"/>
    </row>
    <row r="411" spans="19:88" s="17" customFormat="1" ht="22.5" customHeight="1" x14ac:dyDescent="0.25">
      <c r="S411" s="1"/>
      <c r="V411" s="99"/>
      <c r="W411" s="99"/>
      <c r="AF411" s="1"/>
      <c r="AN411" s="1"/>
      <c r="AV411" s="1"/>
      <c r="AW411" s="97"/>
      <c r="AX411" s="97"/>
      <c r="AY411" s="97"/>
      <c r="AZ411" s="97"/>
      <c r="BA411" s="97"/>
      <c r="BB411" s="97"/>
      <c r="BC411" s="97"/>
      <c r="BD411" s="98"/>
      <c r="BE411" s="97"/>
      <c r="BF411" s="97"/>
      <c r="BG411" s="97"/>
      <c r="BH411" s="97"/>
      <c r="CJ411" s="1"/>
    </row>
    <row r="412" spans="19:88" s="17" customFormat="1" ht="22.5" customHeight="1" x14ac:dyDescent="0.25">
      <c r="S412" s="1"/>
      <c r="V412" s="99"/>
      <c r="W412" s="99"/>
      <c r="AF412" s="1"/>
      <c r="AN412" s="1"/>
      <c r="AV412" s="1"/>
      <c r="AW412" s="97"/>
      <c r="AX412" s="97"/>
      <c r="AY412" s="97"/>
      <c r="AZ412" s="97"/>
      <c r="BA412" s="97"/>
      <c r="BB412" s="97"/>
      <c r="BC412" s="97"/>
      <c r="BD412" s="98"/>
      <c r="BE412" s="97"/>
      <c r="BF412" s="97"/>
      <c r="BG412" s="97"/>
      <c r="BH412" s="97"/>
      <c r="CJ412" s="1"/>
    </row>
    <row r="413" spans="19:88" s="17" customFormat="1" ht="22.5" customHeight="1" x14ac:dyDescent="0.25">
      <c r="S413" s="1"/>
      <c r="V413" s="99"/>
      <c r="W413" s="99"/>
      <c r="AF413" s="1"/>
      <c r="AN413" s="1"/>
      <c r="AV413" s="1"/>
      <c r="AW413" s="97"/>
      <c r="AX413" s="97"/>
      <c r="AY413" s="97"/>
      <c r="AZ413" s="97"/>
      <c r="BA413" s="97"/>
      <c r="BB413" s="97"/>
      <c r="BC413" s="97"/>
      <c r="BD413" s="98"/>
      <c r="BE413" s="97"/>
      <c r="BF413" s="97"/>
      <c r="BG413" s="97"/>
      <c r="BH413" s="97"/>
      <c r="CJ413" s="1"/>
    </row>
    <row r="414" spans="19:88" s="17" customFormat="1" ht="22.5" customHeight="1" x14ac:dyDescent="0.25">
      <c r="S414" s="1"/>
      <c r="V414" s="99"/>
      <c r="W414" s="99"/>
      <c r="AF414" s="1"/>
      <c r="AN414" s="1"/>
      <c r="AV414" s="1"/>
      <c r="AW414" s="97"/>
      <c r="AX414" s="97"/>
      <c r="AY414" s="97"/>
      <c r="AZ414" s="97"/>
      <c r="BA414" s="97"/>
      <c r="BB414" s="97"/>
      <c r="BC414" s="97"/>
      <c r="BD414" s="98"/>
      <c r="BE414" s="97"/>
      <c r="BF414" s="97"/>
      <c r="BG414" s="97"/>
      <c r="BH414" s="97"/>
      <c r="CJ414" s="1"/>
    </row>
    <row r="415" spans="19:88" s="17" customFormat="1" ht="22.5" customHeight="1" x14ac:dyDescent="0.25">
      <c r="S415" s="1"/>
      <c r="V415" s="99"/>
      <c r="W415" s="99"/>
      <c r="AF415" s="1"/>
      <c r="AN415" s="1"/>
      <c r="AV415" s="1"/>
      <c r="AW415" s="97"/>
      <c r="AX415" s="97"/>
      <c r="AY415" s="97"/>
      <c r="AZ415" s="97"/>
      <c r="BA415" s="97"/>
      <c r="BB415" s="97"/>
      <c r="BC415" s="97"/>
      <c r="BD415" s="98"/>
      <c r="BE415" s="97"/>
      <c r="BF415" s="97"/>
      <c r="BG415" s="97"/>
      <c r="BH415" s="97"/>
      <c r="CJ415" s="1"/>
    </row>
    <row r="416" spans="19:88" s="17" customFormat="1" ht="22.5" customHeight="1" x14ac:dyDescent="0.25">
      <c r="S416" s="1"/>
      <c r="V416" s="99"/>
      <c r="W416" s="99"/>
      <c r="AF416" s="1"/>
      <c r="AN416" s="1"/>
      <c r="AV416" s="1"/>
      <c r="AW416" s="97"/>
      <c r="AX416" s="97"/>
      <c r="AY416" s="97"/>
      <c r="AZ416" s="97"/>
      <c r="BA416" s="97"/>
      <c r="BB416" s="97"/>
      <c r="BC416" s="97"/>
      <c r="BD416" s="98"/>
      <c r="BE416" s="97"/>
      <c r="BF416" s="97"/>
      <c r="BG416" s="97"/>
      <c r="BH416" s="97"/>
      <c r="CJ416" s="1"/>
    </row>
    <row r="417" spans="19:88" s="17" customFormat="1" ht="22.5" customHeight="1" x14ac:dyDescent="0.25">
      <c r="S417" s="1"/>
      <c r="V417" s="99"/>
      <c r="W417" s="99"/>
      <c r="AF417" s="1"/>
      <c r="AN417" s="1"/>
      <c r="AV417" s="1"/>
      <c r="AW417" s="97"/>
      <c r="AX417" s="97"/>
      <c r="AY417" s="97"/>
      <c r="AZ417" s="97"/>
      <c r="BA417" s="97"/>
      <c r="BB417" s="97"/>
      <c r="BC417" s="97"/>
      <c r="BD417" s="98"/>
      <c r="BE417" s="97"/>
      <c r="BF417" s="97"/>
      <c r="BG417" s="97"/>
      <c r="BH417" s="97"/>
      <c r="CJ417" s="1"/>
    </row>
    <row r="418" spans="19:88" s="17" customFormat="1" ht="22.5" customHeight="1" x14ac:dyDescent="0.25">
      <c r="S418" s="1"/>
      <c r="V418" s="99"/>
      <c r="W418" s="99"/>
      <c r="AF418" s="1"/>
      <c r="AN418" s="1"/>
      <c r="AV418" s="1"/>
      <c r="AW418" s="97"/>
      <c r="AX418" s="97"/>
      <c r="AY418" s="97"/>
      <c r="AZ418" s="97"/>
      <c r="BA418" s="97"/>
      <c r="BB418" s="97"/>
      <c r="BC418" s="97"/>
      <c r="BD418" s="98"/>
      <c r="BE418" s="97"/>
      <c r="BF418" s="97"/>
      <c r="BG418" s="97"/>
      <c r="BH418" s="97"/>
      <c r="CJ418" s="1"/>
    </row>
    <row r="419" spans="19:88" s="17" customFormat="1" ht="22.5" customHeight="1" x14ac:dyDescent="0.25">
      <c r="S419" s="1"/>
      <c r="V419" s="99"/>
      <c r="W419" s="99"/>
      <c r="AF419" s="1"/>
      <c r="AN419" s="1"/>
      <c r="AV419" s="1"/>
      <c r="AW419" s="97"/>
      <c r="AX419" s="97"/>
      <c r="AY419" s="97"/>
      <c r="AZ419" s="97"/>
      <c r="BA419" s="97"/>
      <c r="BB419" s="97"/>
      <c r="BC419" s="97"/>
      <c r="BD419" s="98"/>
      <c r="BE419" s="97"/>
      <c r="BF419" s="97"/>
      <c r="BG419" s="97"/>
      <c r="BH419" s="97"/>
      <c r="CJ419" s="1"/>
    </row>
    <row r="420" spans="19:88" s="17" customFormat="1" ht="22.5" customHeight="1" x14ac:dyDescent="0.25">
      <c r="S420" s="1"/>
      <c r="V420" s="99"/>
      <c r="W420" s="99"/>
      <c r="AF420" s="1"/>
      <c r="AN420" s="1"/>
      <c r="AV420" s="1"/>
      <c r="AW420" s="97"/>
      <c r="AX420" s="97"/>
      <c r="AY420" s="97"/>
      <c r="AZ420" s="97"/>
      <c r="BA420" s="97"/>
      <c r="BB420" s="97"/>
      <c r="BC420" s="97"/>
      <c r="BD420" s="98"/>
      <c r="BE420" s="97"/>
      <c r="BF420" s="97"/>
      <c r="BG420" s="97"/>
      <c r="BH420" s="97"/>
      <c r="CJ420" s="1"/>
    </row>
    <row r="421" spans="19:88" s="17" customFormat="1" ht="22.5" customHeight="1" x14ac:dyDescent="0.25">
      <c r="S421" s="1"/>
      <c r="V421" s="99"/>
      <c r="W421" s="99"/>
      <c r="AF421" s="1"/>
      <c r="AN421" s="1"/>
      <c r="AV421" s="1"/>
      <c r="AW421" s="97"/>
      <c r="AX421" s="97"/>
      <c r="AY421" s="97"/>
      <c r="AZ421" s="97"/>
      <c r="BA421" s="97"/>
      <c r="BB421" s="97"/>
      <c r="BC421" s="97"/>
      <c r="BD421" s="98"/>
      <c r="BE421" s="97"/>
      <c r="BF421" s="97"/>
      <c r="BG421" s="97"/>
      <c r="BH421" s="97"/>
      <c r="CJ421" s="1"/>
    </row>
    <row r="422" spans="19:88" s="17" customFormat="1" ht="22.5" customHeight="1" x14ac:dyDescent="0.25">
      <c r="S422" s="1"/>
      <c r="V422" s="99"/>
      <c r="W422" s="99"/>
      <c r="AF422" s="1"/>
      <c r="AN422" s="1"/>
      <c r="AV422" s="1"/>
      <c r="AW422" s="97"/>
      <c r="AX422" s="97"/>
      <c r="AY422" s="97"/>
      <c r="AZ422" s="97"/>
      <c r="BA422" s="97"/>
      <c r="BB422" s="97"/>
      <c r="BC422" s="97"/>
      <c r="BD422" s="98"/>
      <c r="BE422" s="97"/>
      <c r="BF422" s="97"/>
      <c r="BG422" s="97"/>
      <c r="BH422" s="97"/>
      <c r="CJ422" s="1"/>
    </row>
    <row r="423" spans="19:88" s="17" customFormat="1" ht="22.5" customHeight="1" x14ac:dyDescent="0.25">
      <c r="S423" s="1"/>
      <c r="V423" s="99"/>
      <c r="W423" s="99"/>
      <c r="AF423" s="1"/>
      <c r="AN423" s="1"/>
      <c r="AV423" s="1"/>
      <c r="AW423" s="97"/>
      <c r="AX423" s="97"/>
      <c r="AY423" s="97"/>
      <c r="AZ423" s="97"/>
      <c r="BA423" s="97"/>
      <c r="BB423" s="97"/>
      <c r="BC423" s="97"/>
      <c r="BD423" s="98"/>
      <c r="BE423" s="97"/>
      <c r="BF423" s="97"/>
      <c r="BG423" s="97"/>
      <c r="BH423" s="97"/>
      <c r="CJ423" s="1"/>
    </row>
    <row r="424" spans="19:88" s="17" customFormat="1" ht="22.5" customHeight="1" x14ac:dyDescent="0.25">
      <c r="S424" s="1"/>
      <c r="V424" s="99"/>
      <c r="W424" s="99"/>
      <c r="AF424" s="1"/>
      <c r="AN424" s="1"/>
      <c r="AV424" s="1"/>
      <c r="AW424" s="97"/>
      <c r="AX424" s="97"/>
      <c r="AY424" s="97"/>
      <c r="AZ424" s="97"/>
      <c r="BA424" s="97"/>
      <c r="BB424" s="97"/>
      <c r="BC424" s="97"/>
      <c r="BD424" s="98"/>
      <c r="BE424" s="97"/>
      <c r="BF424" s="97"/>
      <c r="BG424" s="97"/>
      <c r="BH424" s="97"/>
      <c r="CJ424" s="1"/>
    </row>
    <row r="425" spans="19:88" s="17" customFormat="1" ht="22.5" customHeight="1" x14ac:dyDescent="0.25">
      <c r="S425" s="1"/>
      <c r="V425" s="99"/>
      <c r="W425" s="99"/>
      <c r="AF425" s="1"/>
      <c r="AN425" s="1"/>
      <c r="AV425" s="1"/>
      <c r="AW425" s="97"/>
      <c r="AX425" s="97"/>
      <c r="AY425" s="97"/>
      <c r="AZ425" s="97"/>
      <c r="BA425" s="97"/>
      <c r="BB425" s="97"/>
      <c r="BC425" s="97"/>
      <c r="BD425" s="98"/>
      <c r="BE425" s="97"/>
      <c r="BF425" s="97"/>
      <c r="BG425" s="97"/>
      <c r="BH425" s="97"/>
      <c r="CJ425" s="1"/>
    </row>
    <row r="426" spans="19:88" s="17" customFormat="1" ht="22.5" customHeight="1" x14ac:dyDescent="0.25">
      <c r="S426" s="1"/>
      <c r="V426" s="99"/>
      <c r="W426" s="99"/>
      <c r="AF426" s="1"/>
      <c r="AN426" s="1"/>
      <c r="AV426" s="1"/>
      <c r="AW426" s="97"/>
      <c r="AX426" s="97"/>
      <c r="AY426" s="97"/>
      <c r="AZ426" s="97"/>
      <c r="BA426" s="97"/>
      <c r="BB426" s="97"/>
      <c r="BC426" s="97"/>
      <c r="BD426" s="98"/>
      <c r="BE426" s="97"/>
      <c r="BF426" s="97"/>
      <c r="BG426" s="97"/>
      <c r="BH426" s="97"/>
      <c r="CJ426" s="1"/>
    </row>
    <row r="427" spans="19:88" s="17" customFormat="1" ht="22.5" customHeight="1" x14ac:dyDescent="0.25">
      <c r="S427" s="1"/>
      <c r="V427" s="99"/>
      <c r="W427" s="99"/>
      <c r="AF427" s="1"/>
      <c r="AN427" s="1"/>
      <c r="AV427" s="1"/>
      <c r="AW427" s="97"/>
      <c r="AX427" s="97"/>
      <c r="AY427" s="97"/>
      <c r="AZ427" s="97"/>
      <c r="BA427" s="97"/>
      <c r="BB427" s="97"/>
      <c r="BC427" s="97"/>
      <c r="BD427" s="98"/>
      <c r="BE427" s="97"/>
      <c r="BF427" s="97"/>
      <c r="BG427" s="97"/>
      <c r="BH427" s="97"/>
      <c r="CJ427" s="1"/>
    </row>
    <row r="428" spans="19:88" s="17" customFormat="1" ht="22.5" customHeight="1" x14ac:dyDescent="0.25">
      <c r="S428" s="1"/>
      <c r="V428" s="99"/>
      <c r="W428" s="99"/>
      <c r="AF428" s="1"/>
      <c r="AN428" s="1"/>
      <c r="AV428" s="1"/>
      <c r="AW428" s="97"/>
      <c r="AX428" s="97"/>
      <c r="AY428" s="97"/>
      <c r="AZ428" s="97"/>
      <c r="BA428" s="97"/>
      <c r="BB428" s="97"/>
      <c r="BC428" s="97"/>
      <c r="BD428" s="98"/>
      <c r="BE428" s="97"/>
      <c r="BF428" s="97"/>
      <c r="BG428" s="97"/>
      <c r="BH428" s="97"/>
      <c r="CJ428" s="1"/>
    </row>
    <row r="429" spans="19:88" s="17" customFormat="1" ht="22.5" customHeight="1" x14ac:dyDescent="0.25">
      <c r="S429" s="1"/>
      <c r="V429" s="99"/>
      <c r="W429" s="99"/>
      <c r="AF429" s="1"/>
      <c r="AN429" s="1"/>
      <c r="AV429" s="1"/>
      <c r="AW429" s="97"/>
      <c r="AX429" s="97"/>
      <c r="AY429" s="97"/>
      <c r="AZ429" s="97"/>
      <c r="BA429" s="97"/>
      <c r="BB429" s="97"/>
      <c r="BC429" s="97"/>
      <c r="BD429" s="98"/>
      <c r="BE429" s="97"/>
      <c r="BF429" s="97"/>
      <c r="BG429" s="97"/>
      <c r="BH429" s="97"/>
      <c r="CJ429" s="1"/>
    </row>
    <row r="430" spans="19:88" s="17" customFormat="1" ht="22.5" customHeight="1" x14ac:dyDescent="0.25">
      <c r="S430" s="1"/>
      <c r="V430" s="99"/>
      <c r="W430" s="99"/>
      <c r="AF430" s="1"/>
      <c r="AN430" s="1"/>
      <c r="AV430" s="1"/>
      <c r="AW430" s="97"/>
      <c r="AX430" s="97"/>
      <c r="AY430" s="97"/>
      <c r="AZ430" s="97"/>
      <c r="BA430" s="97"/>
      <c r="BB430" s="97"/>
      <c r="BC430" s="97"/>
      <c r="BD430" s="98"/>
      <c r="BE430" s="97"/>
      <c r="BF430" s="97"/>
      <c r="BG430" s="97"/>
      <c r="BH430" s="97"/>
      <c r="CJ430" s="1"/>
    </row>
    <row r="431" spans="19:88" s="17" customFormat="1" ht="22.5" customHeight="1" x14ac:dyDescent="0.25">
      <c r="S431" s="1"/>
      <c r="V431" s="99"/>
      <c r="W431" s="99"/>
      <c r="AF431" s="1"/>
      <c r="AN431" s="1"/>
      <c r="AV431" s="1"/>
      <c r="AW431" s="97"/>
      <c r="AX431" s="97"/>
      <c r="AY431" s="97"/>
      <c r="AZ431" s="97"/>
      <c r="BA431" s="97"/>
      <c r="BB431" s="97"/>
      <c r="BC431" s="97"/>
      <c r="BD431" s="98"/>
      <c r="BE431" s="97"/>
      <c r="BF431" s="97"/>
      <c r="BG431" s="97"/>
      <c r="BH431" s="97"/>
      <c r="CJ431" s="1"/>
    </row>
    <row r="432" spans="19:88" s="17" customFormat="1" ht="22.5" customHeight="1" x14ac:dyDescent="0.25">
      <c r="S432" s="1"/>
      <c r="V432" s="99"/>
      <c r="W432" s="99"/>
      <c r="AF432" s="1"/>
      <c r="AN432" s="1"/>
      <c r="AV432" s="1"/>
      <c r="AW432" s="97"/>
      <c r="AX432" s="97"/>
      <c r="AY432" s="97"/>
      <c r="AZ432" s="97"/>
      <c r="BA432" s="97"/>
      <c r="BB432" s="97"/>
      <c r="BC432" s="97"/>
      <c r="BD432" s="98"/>
      <c r="BE432" s="97"/>
      <c r="BF432" s="97"/>
      <c r="BG432" s="97"/>
      <c r="BH432" s="97"/>
      <c r="CJ432" s="1"/>
    </row>
    <row r="433" spans="19:88" s="17" customFormat="1" ht="22.5" customHeight="1" x14ac:dyDescent="0.25">
      <c r="S433" s="1"/>
      <c r="V433" s="99"/>
      <c r="W433" s="99"/>
      <c r="AF433" s="1"/>
      <c r="AN433" s="1"/>
      <c r="AV433" s="1"/>
      <c r="AW433" s="97"/>
      <c r="AX433" s="97"/>
      <c r="AY433" s="97"/>
      <c r="AZ433" s="97"/>
      <c r="BA433" s="97"/>
      <c r="BB433" s="97"/>
      <c r="BC433" s="97"/>
      <c r="BD433" s="98"/>
      <c r="BE433" s="97"/>
      <c r="BF433" s="97"/>
      <c r="BG433" s="97"/>
      <c r="BH433" s="97"/>
      <c r="CJ433" s="1"/>
    </row>
    <row r="434" spans="19:88" s="17" customFormat="1" ht="22.5" customHeight="1" x14ac:dyDescent="0.25">
      <c r="S434" s="1"/>
      <c r="V434" s="99"/>
      <c r="W434" s="99"/>
      <c r="AF434" s="1"/>
      <c r="AN434" s="1"/>
      <c r="AV434" s="1"/>
      <c r="AW434" s="97"/>
      <c r="AX434" s="97"/>
      <c r="AY434" s="97"/>
      <c r="AZ434" s="97"/>
      <c r="BA434" s="97"/>
      <c r="BB434" s="97"/>
      <c r="BC434" s="97"/>
      <c r="BD434" s="98"/>
      <c r="BE434" s="97"/>
      <c r="BF434" s="97"/>
      <c r="BG434" s="97"/>
      <c r="BH434" s="97"/>
      <c r="CJ434" s="1"/>
    </row>
    <row r="435" spans="19:88" s="17" customFormat="1" ht="22.5" customHeight="1" x14ac:dyDescent="0.25">
      <c r="S435" s="1"/>
      <c r="V435" s="99"/>
      <c r="W435" s="99"/>
      <c r="AF435" s="1"/>
      <c r="AN435" s="1"/>
      <c r="AV435" s="1"/>
      <c r="AW435" s="97"/>
      <c r="AX435" s="97"/>
      <c r="AY435" s="97"/>
      <c r="AZ435" s="97"/>
      <c r="BA435" s="97"/>
      <c r="BB435" s="97"/>
      <c r="BC435" s="97"/>
      <c r="BD435" s="98"/>
      <c r="BE435" s="97"/>
      <c r="BF435" s="97"/>
      <c r="BG435" s="97"/>
      <c r="BH435" s="97"/>
      <c r="CJ435" s="1"/>
    </row>
    <row r="436" spans="19:88" s="17" customFormat="1" ht="22.5" customHeight="1" x14ac:dyDescent="0.25">
      <c r="S436" s="1"/>
      <c r="V436" s="99"/>
      <c r="W436" s="99"/>
      <c r="AF436" s="1"/>
      <c r="AN436" s="1"/>
      <c r="AV436" s="1"/>
      <c r="AW436" s="97"/>
      <c r="AX436" s="97"/>
      <c r="AY436" s="97"/>
      <c r="AZ436" s="97"/>
      <c r="BA436" s="97"/>
      <c r="BB436" s="97"/>
      <c r="BC436" s="97"/>
      <c r="BD436" s="98"/>
      <c r="BE436" s="97"/>
      <c r="BF436" s="97"/>
      <c r="BG436" s="97"/>
      <c r="BH436" s="97"/>
      <c r="CJ436" s="1"/>
    </row>
    <row r="437" spans="19:88" s="17" customFormat="1" ht="22.5" customHeight="1" x14ac:dyDescent="0.25">
      <c r="S437" s="1"/>
      <c r="V437" s="99"/>
      <c r="W437" s="99"/>
      <c r="AF437" s="1"/>
      <c r="AN437" s="1"/>
      <c r="AV437" s="1"/>
      <c r="AW437" s="97"/>
      <c r="AX437" s="97"/>
      <c r="AY437" s="97"/>
      <c r="AZ437" s="97"/>
      <c r="BA437" s="97"/>
      <c r="BB437" s="97"/>
      <c r="BC437" s="97"/>
      <c r="BD437" s="98"/>
      <c r="BE437" s="97"/>
      <c r="BF437" s="97"/>
      <c r="BG437" s="97"/>
      <c r="BH437" s="97"/>
      <c r="CJ437" s="1"/>
    </row>
    <row r="438" spans="19:88" s="17" customFormat="1" ht="22.5" customHeight="1" x14ac:dyDescent="0.25">
      <c r="S438" s="1"/>
      <c r="V438" s="99"/>
      <c r="W438" s="99"/>
      <c r="AF438" s="1"/>
      <c r="AN438" s="1"/>
      <c r="AV438" s="1"/>
      <c r="AW438" s="97"/>
      <c r="AX438" s="97"/>
      <c r="AY438" s="97"/>
      <c r="AZ438" s="97"/>
      <c r="BA438" s="97"/>
      <c r="BB438" s="97"/>
      <c r="BC438" s="97"/>
      <c r="BD438" s="98"/>
      <c r="BE438" s="97"/>
      <c r="BF438" s="97"/>
      <c r="BG438" s="97"/>
      <c r="BH438" s="97"/>
      <c r="CJ438" s="1"/>
    </row>
    <row r="439" spans="19:88" s="17" customFormat="1" ht="22.5" customHeight="1" x14ac:dyDescent="0.25">
      <c r="S439" s="1"/>
      <c r="V439" s="99"/>
      <c r="W439" s="99"/>
      <c r="AF439" s="1"/>
      <c r="AN439" s="1"/>
      <c r="AV439" s="1"/>
      <c r="AW439" s="97"/>
      <c r="AX439" s="97"/>
      <c r="AY439" s="97"/>
      <c r="AZ439" s="97"/>
      <c r="BA439" s="97"/>
      <c r="BB439" s="97"/>
      <c r="BC439" s="97"/>
      <c r="BD439" s="98"/>
      <c r="BE439" s="97"/>
      <c r="BF439" s="97"/>
      <c r="BG439" s="97"/>
      <c r="BH439" s="97"/>
      <c r="CJ439" s="1"/>
    </row>
    <row r="440" spans="19:88" s="17" customFormat="1" ht="22.5" customHeight="1" x14ac:dyDescent="0.25">
      <c r="S440" s="1"/>
      <c r="V440" s="99"/>
      <c r="W440" s="99"/>
      <c r="AF440" s="1"/>
      <c r="AN440" s="1"/>
      <c r="AV440" s="1"/>
      <c r="AW440" s="97"/>
      <c r="AX440" s="97"/>
      <c r="AY440" s="97"/>
      <c r="AZ440" s="97"/>
      <c r="BA440" s="97"/>
      <c r="BB440" s="97"/>
      <c r="BC440" s="97"/>
      <c r="BD440" s="98"/>
      <c r="BE440" s="97"/>
      <c r="BF440" s="97"/>
      <c r="BG440" s="97"/>
      <c r="BH440" s="97"/>
      <c r="CJ440" s="1"/>
    </row>
    <row r="441" spans="19:88" s="17" customFormat="1" ht="22.5" customHeight="1" x14ac:dyDescent="0.25">
      <c r="S441" s="1"/>
      <c r="V441" s="99"/>
      <c r="W441" s="99"/>
      <c r="AF441" s="1"/>
      <c r="AN441" s="1"/>
      <c r="AV441" s="1"/>
      <c r="AW441" s="97"/>
      <c r="AX441" s="97"/>
      <c r="AY441" s="97"/>
      <c r="AZ441" s="97"/>
      <c r="BA441" s="97"/>
      <c r="BB441" s="97"/>
      <c r="BC441" s="97"/>
      <c r="BD441" s="98"/>
      <c r="BE441" s="97"/>
      <c r="BF441" s="97"/>
      <c r="BG441" s="97"/>
      <c r="BH441" s="97"/>
      <c r="CJ441" s="1"/>
    </row>
    <row r="442" spans="19:88" s="17" customFormat="1" ht="22.5" customHeight="1" x14ac:dyDescent="0.25">
      <c r="S442" s="1"/>
      <c r="V442" s="99"/>
      <c r="W442" s="99"/>
      <c r="AF442" s="1"/>
      <c r="AN442" s="1"/>
      <c r="AV442" s="1"/>
      <c r="AW442" s="97"/>
      <c r="AX442" s="97"/>
      <c r="AY442" s="97"/>
      <c r="AZ442" s="97"/>
      <c r="BA442" s="97"/>
      <c r="BB442" s="97"/>
      <c r="BC442" s="97"/>
      <c r="BD442" s="98"/>
      <c r="BE442" s="97"/>
      <c r="BF442" s="97"/>
      <c r="BG442" s="97"/>
      <c r="BH442" s="97"/>
      <c r="CJ442" s="1"/>
    </row>
    <row r="443" spans="19:88" s="17" customFormat="1" ht="22.5" customHeight="1" x14ac:dyDescent="0.25">
      <c r="S443" s="1"/>
      <c r="V443" s="99"/>
      <c r="W443" s="99"/>
      <c r="AF443" s="1"/>
      <c r="AN443" s="1"/>
      <c r="AV443" s="1"/>
      <c r="AW443" s="97"/>
      <c r="AX443" s="97"/>
      <c r="AY443" s="97"/>
      <c r="AZ443" s="97"/>
      <c r="BA443" s="97"/>
      <c r="BB443" s="97"/>
      <c r="BC443" s="97"/>
      <c r="BD443" s="98"/>
      <c r="BE443" s="97"/>
      <c r="BF443" s="97"/>
      <c r="BG443" s="97"/>
      <c r="BH443" s="97"/>
      <c r="CJ443" s="1"/>
    </row>
    <row r="444" spans="19:88" s="17" customFormat="1" ht="22.5" customHeight="1" x14ac:dyDescent="0.25">
      <c r="S444" s="1"/>
      <c r="V444" s="99"/>
      <c r="W444" s="99"/>
      <c r="AF444" s="1"/>
      <c r="AN444" s="1"/>
      <c r="AV444" s="1"/>
      <c r="AW444" s="97"/>
      <c r="AX444" s="97"/>
      <c r="AY444" s="97"/>
      <c r="AZ444" s="97"/>
      <c r="BA444" s="97"/>
      <c r="BB444" s="97"/>
      <c r="BC444" s="97"/>
      <c r="BD444" s="98"/>
      <c r="BE444" s="97"/>
      <c r="BF444" s="97"/>
      <c r="BG444" s="97"/>
      <c r="BH444" s="97"/>
      <c r="CJ444" s="1"/>
    </row>
    <row r="445" spans="19:88" s="17" customFormat="1" ht="22.5" customHeight="1" x14ac:dyDescent="0.25">
      <c r="S445" s="1"/>
      <c r="V445" s="99"/>
      <c r="W445" s="99"/>
      <c r="AF445" s="1"/>
      <c r="AN445" s="1"/>
      <c r="AV445" s="1"/>
      <c r="AW445" s="97"/>
      <c r="AX445" s="97"/>
      <c r="AY445" s="97"/>
      <c r="AZ445" s="97"/>
      <c r="BA445" s="97"/>
      <c r="BB445" s="97"/>
      <c r="BC445" s="97"/>
      <c r="BD445" s="98"/>
      <c r="BE445" s="97"/>
      <c r="BF445" s="97"/>
      <c r="BG445" s="97"/>
      <c r="BH445" s="97"/>
      <c r="CJ445" s="1"/>
    </row>
    <row r="446" spans="19:88" s="17" customFormat="1" ht="22.5" customHeight="1" x14ac:dyDescent="0.25">
      <c r="S446" s="1"/>
      <c r="V446" s="99"/>
      <c r="W446" s="99"/>
      <c r="AF446" s="1"/>
      <c r="AN446" s="1"/>
      <c r="AV446" s="1"/>
      <c r="AW446" s="97"/>
      <c r="AX446" s="97"/>
      <c r="AY446" s="97"/>
      <c r="AZ446" s="97"/>
      <c r="BA446" s="97"/>
      <c r="BB446" s="97"/>
      <c r="BC446" s="97"/>
      <c r="BD446" s="98"/>
      <c r="BE446" s="97"/>
      <c r="BF446" s="97"/>
      <c r="BG446" s="97"/>
      <c r="BH446" s="97"/>
      <c r="CJ446" s="1"/>
    </row>
    <row r="447" spans="19:88" s="17" customFormat="1" ht="22.5" customHeight="1" x14ac:dyDescent="0.25">
      <c r="S447" s="1"/>
      <c r="V447" s="99"/>
      <c r="W447" s="99"/>
      <c r="AF447" s="1"/>
      <c r="AN447" s="1"/>
      <c r="AV447" s="1"/>
      <c r="AW447" s="97"/>
      <c r="AX447" s="97"/>
      <c r="AY447" s="97"/>
      <c r="AZ447" s="97"/>
      <c r="BA447" s="97"/>
      <c r="BB447" s="97"/>
      <c r="BC447" s="97"/>
      <c r="BD447" s="98"/>
      <c r="BE447" s="97"/>
      <c r="BF447" s="97"/>
      <c r="BG447" s="97"/>
      <c r="BH447" s="97"/>
      <c r="CJ447" s="1"/>
    </row>
    <row r="448" spans="19:88" s="17" customFormat="1" ht="22.5" customHeight="1" x14ac:dyDescent="0.25">
      <c r="S448" s="1"/>
      <c r="V448" s="99"/>
      <c r="W448" s="99"/>
      <c r="AF448" s="1"/>
      <c r="AN448" s="1"/>
      <c r="AV448" s="1"/>
      <c r="AW448" s="97"/>
      <c r="AX448" s="97"/>
      <c r="AY448" s="97"/>
      <c r="AZ448" s="97"/>
      <c r="BA448" s="97"/>
      <c r="BB448" s="97"/>
      <c r="BC448" s="97"/>
      <c r="BD448" s="98"/>
      <c r="BE448" s="97"/>
      <c r="BF448" s="97"/>
      <c r="BG448" s="97"/>
      <c r="BH448" s="97"/>
      <c r="CJ448" s="1"/>
    </row>
    <row r="449" spans="19:88" s="17" customFormat="1" ht="22.5" customHeight="1" x14ac:dyDescent="0.25">
      <c r="S449" s="1"/>
      <c r="V449" s="99"/>
      <c r="W449" s="99"/>
      <c r="AF449" s="1"/>
      <c r="AN449" s="1"/>
      <c r="AV449" s="1"/>
      <c r="AW449" s="97"/>
      <c r="AX449" s="97"/>
      <c r="AY449" s="97"/>
      <c r="AZ449" s="97"/>
      <c r="BA449" s="97"/>
      <c r="BB449" s="97"/>
      <c r="BC449" s="97"/>
      <c r="BD449" s="98"/>
      <c r="BE449" s="97"/>
      <c r="BF449" s="97"/>
      <c r="BG449" s="97"/>
      <c r="BH449" s="97"/>
      <c r="CJ449" s="1"/>
    </row>
    <row r="450" spans="19:88" s="17" customFormat="1" ht="22.5" customHeight="1" x14ac:dyDescent="0.25">
      <c r="S450" s="1"/>
      <c r="V450" s="99"/>
      <c r="W450" s="99"/>
      <c r="AF450" s="1"/>
      <c r="AN450" s="1"/>
      <c r="AV450" s="1"/>
      <c r="AW450" s="97"/>
      <c r="AX450" s="97"/>
      <c r="AY450" s="97"/>
      <c r="AZ450" s="97"/>
      <c r="BA450" s="97"/>
      <c r="BB450" s="97"/>
      <c r="BC450" s="97"/>
      <c r="BD450" s="98"/>
      <c r="BE450" s="97"/>
      <c r="BF450" s="97"/>
      <c r="BG450" s="97"/>
      <c r="BH450" s="97"/>
      <c r="CJ450" s="1"/>
    </row>
    <row r="451" spans="19:88" s="17" customFormat="1" ht="22.5" customHeight="1" x14ac:dyDescent="0.25">
      <c r="S451" s="1"/>
      <c r="V451" s="99"/>
      <c r="W451" s="99"/>
      <c r="AF451" s="1"/>
      <c r="AN451" s="1"/>
      <c r="AV451" s="1"/>
      <c r="AW451" s="97"/>
      <c r="AX451" s="97"/>
      <c r="AY451" s="97"/>
      <c r="AZ451" s="97"/>
      <c r="BA451" s="97"/>
      <c r="BB451" s="97"/>
      <c r="BC451" s="97"/>
      <c r="BD451" s="98"/>
      <c r="BE451" s="97"/>
      <c r="BF451" s="97"/>
      <c r="BG451" s="97"/>
      <c r="BH451" s="97"/>
      <c r="CJ451" s="1"/>
    </row>
    <row r="452" spans="19:88" s="17" customFormat="1" ht="22.5" customHeight="1" x14ac:dyDescent="0.25">
      <c r="S452" s="1"/>
      <c r="V452" s="99"/>
      <c r="W452" s="99"/>
      <c r="AF452" s="1"/>
      <c r="AN452" s="1"/>
      <c r="AV452" s="1"/>
      <c r="AW452" s="97"/>
      <c r="AX452" s="97"/>
      <c r="AY452" s="97"/>
      <c r="AZ452" s="97"/>
      <c r="BA452" s="97"/>
      <c r="BB452" s="97"/>
      <c r="BC452" s="97"/>
      <c r="BD452" s="98"/>
      <c r="BE452" s="97"/>
      <c r="BF452" s="97"/>
      <c r="BG452" s="97"/>
      <c r="BH452" s="97"/>
      <c r="CJ452" s="1"/>
    </row>
    <row r="453" spans="19:88" s="17" customFormat="1" ht="22.5" customHeight="1" x14ac:dyDescent="0.25">
      <c r="S453" s="1"/>
      <c r="V453" s="99"/>
      <c r="W453" s="99"/>
      <c r="AF453" s="1"/>
      <c r="AN453" s="1"/>
      <c r="AV453" s="1"/>
      <c r="AW453" s="97"/>
      <c r="AX453" s="97"/>
      <c r="AY453" s="97"/>
      <c r="AZ453" s="97"/>
      <c r="BA453" s="97"/>
      <c r="BB453" s="97"/>
      <c r="BC453" s="97"/>
      <c r="BD453" s="98"/>
      <c r="BE453" s="97"/>
      <c r="BF453" s="97"/>
      <c r="BG453" s="97"/>
      <c r="BH453" s="97"/>
      <c r="CJ453" s="1"/>
    </row>
    <row r="454" spans="19:88" s="17" customFormat="1" ht="22.5" customHeight="1" x14ac:dyDescent="0.25">
      <c r="S454" s="1"/>
      <c r="V454" s="99"/>
      <c r="W454" s="99"/>
      <c r="AF454" s="1"/>
      <c r="AN454" s="1"/>
      <c r="AV454" s="1"/>
      <c r="AW454" s="97"/>
      <c r="AX454" s="97"/>
      <c r="AY454" s="97"/>
      <c r="AZ454" s="97"/>
      <c r="BA454" s="97"/>
      <c r="BB454" s="97"/>
      <c r="BC454" s="97"/>
      <c r="BD454" s="98"/>
      <c r="BE454" s="97"/>
      <c r="BF454" s="97"/>
      <c r="BG454" s="97"/>
      <c r="BH454" s="97"/>
      <c r="CJ454" s="1"/>
    </row>
    <row r="455" spans="19:88" s="17" customFormat="1" ht="22.5" customHeight="1" x14ac:dyDescent="0.25">
      <c r="S455" s="1"/>
      <c r="V455" s="99"/>
      <c r="W455" s="99"/>
      <c r="AF455" s="1"/>
      <c r="AN455" s="1"/>
      <c r="AV455" s="1"/>
      <c r="AW455" s="97"/>
      <c r="AX455" s="97"/>
      <c r="AY455" s="97"/>
      <c r="AZ455" s="97"/>
      <c r="BA455" s="97"/>
      <c r="BB455" s="97"/>
      <c r="BC455" s="97"/>
      <c r="BD455" s="98"/>
      <c r="BE455" s="97"/>
      <c r="BF455" s="97"/>
      <c r="BG455" s="97"/>
      <c r="BH455" s="97"/>
      <c r="CJ455" s="1"/>
    </row>
    <row r="456" spans="19:88" s="17" customFormat="1" ht="22.5" customHeight="1" x14ac:dyDescent="0.25">
      <c r="S456" s="1"/>
      <c r="V456" s="99"/>
      <c r="W456" s="99"/>
      <c r="AF456" s="1"/>
      <c r="AN456" s="1"/>
      <c r="AV456" s="1"/>
      <c r="AW456" s="97"/>
      <c r="AX456" s="97"/>
      <c r="AY456" s="97"/>
      <c r="AZ456" s="97"/>
      <c r="BA456" s="97"/>
      <c r="BB456" s="97"/>
      <c r="BC456" s="97"/>
      <c r="BD456" s="98"/>
      <c r="BE456" s="97"/>
      <c r="BF456" s="97"/>
      <c r="BG456" s="97"/>
      <c r="BH456" s="97"/>
      <c r="CJ456" s="1"/>
    </row>
    <row r="457" spans="19:88" s="17" customFormat="1" ht="22.5" customHeight="1" x14ac:dyDescent="0.25">
      <c r="S457" s="1"/>
      <c r="V457" s="99"/>
      <c r="W457" s="99"/>
      <c r="AF457" s="1"/>
      <c r="AN457" s="1"/>
      <c r="AV457" s="1"/>
      <c r="AW457" s="97"/>
      <c r="AX457" s="97"/>
      <c r="AY457" s="97"/>
      <c r="AZ457" s="97"/>
      <c r="BA457" s="97"/>
      <c r="BB457" s="97"/>
      <c r="BC457" s="97"/>
      <c r="BD457" s="98"/>
      <c r="BE457" s="97"/>
      <c r="BF457" s="97"/>
      <c r="BG457" s="97"/>
      <c r="BH457" s="97"/>
      <c r="CJ457" s="1"/>
    </row>
    <row r="458" spans="19:88" s="17" customFormat="1" ht="22.5" customHeight="1" x14ac:dyDescent="0.25">
      <c r="S458" s="1"/>
      <c r="V458" s="99"/>
      <c r="W458" s="99"/>
      <c r="AF458" s="1"/>
      <c r="AN458" s="1"/>
      <c r="AV458" s="1"/>
      <c r="AW458" s="97"/>
      <c r="AX458" s="97"/>
      <c r="AY458" s="97"/>
      <c r="AZ458" s="97"/>
      <c r="BA458" s="97"/>
      <c r="BB458" s="97"/>
      <c r="BC458" s="97"/>
      <c r="BD458" s="98"/>
      <c r="BE458" s="97"/>
      <c r="BF458" s="97"/>
      <c r="BG458" s="97"/>
      <c r="BH458" s="97"/>
      <c r="CJ458" s="1"/>
    </row>
    <row r="459" spans="19:88" s="17" customFormat="1" ht="22.5" customHeight="1" x14ac:dyDescent="0.25">
      <c r="S459" s="1"/>
      <c r="V459" s="99"/>
      <c r="W459" s="99"/>
      <c r="AF459" s="1"/>
      <c r="AN459" s="1"/>
      <c r="AV459" s="1"/>
      <c r="AW459" s="97"/>
      <c r="AX459" s="97"/>
      <c r="AY459" s="97"/>
      <c r="AZ459" s="97"/>
      <c r="BA459" s="97"/>
      <c r="BB459" s="97"/>
      <c r="BC459" s="97"/>
      <c r="BD459" s="98"/>
      <c r="BE459" s="97"/>
      <c r="BF459" s="97"/>
      <c r="BG459" s="97"/>
      <c r="BH459" s="97"/>
      <c r="CJ459" s="1"/>
    </row>
    <row r="460" spans="19:88" s="17" customFormat="1" ht="22.5" customHeight="1" x14ac:dyDescent="0.25">
      <c r="S460" s="1"/>
      <c r="V460" s="99"/>
      <c r="W460" s="99"/>
      <c r="AF460" s="1"/>
      <c r="AN460" s="1"/>
      <c r="AV460" s="1"/>
      <c r="AW460" s="97"/>
      <c r="AX460" s="97"/>
      <c r="AY460" s="97"/>
      <c r="AZ460" s="97"/>
      <c r="BA460" s="97"/>
      <c r="BB460" s="97"/>
      <c r="BC460" s="97"/>
      <c r="BD460" s="98"/>
      <c r="BE460" s="97"/>
      <c r="BF460" s="97"/>
      <c r="BG460" s="97"/>
      <c r="BH460" s="97"/>
      <c r="CJ460" s="1"/>
    </row>
    <row r="461" spans="19:88" s="17" customFormat="1" ht="22.5" customHeight="1" x14ac:dyDescent="0.25">
      <c r="S461" s="1"/>
      <c r="V461" s="99"/>
      <c r="W461" s="99"/>
      <c r="AF461" s="1"/>
      <c r="AN461" s="1"/>
      <c r="AV461" s="1"/>
      <c r="AW461" s="97"/>
      <c r="AX461" s="97"/>
      <c r="AY461" s="97"/>
      <c r="AZ461" s="97"/>
      <c r="BA461" s="97"/>
      <c r="BB461" s="97"/>
      <c r="BC461" s="97"/>
      <c r="BD461" s="98"/>
      <c r="BE461" s="97"/>
      <c r="BF461" s="97"/>
      <c r="BG461" s="97"/>
      <c r="BH461" s="97"/>
      <c r="CJ461" s="1"/>
    </row>
    <row r="462" spans="19:88" s="17" customFormat="1" ht="22.5" customHeight="1" x14ac:dyDescent="0.25">
      <c r="S462" s="1"/>
      <c r="V462" s="99"/>
      <c r="W462" s="99"/>
      <c r="AF462" s="1"/>
      <c r="AN462" s="1"/>
      <c r="AV462" s="1"/>
      <c r="AW462" s="97"/>
      <c r="AX462" s="97"/>
      <c r="AY462" s="97"/>
      <c r="AZ462" s="97"/>
      <c r="BA462" s="97"/>
      <c r="BB462" s="97"/>
      <c r="BC462" s="97"/>
      <c r="BD462" s="98"/>
      <c r="BE462" s="97"/>
      <c r="BF462" s="97"/>
      <c r="BG462" s="97"/>
      <c r="BH462" s="97"/>
      <c r="CJ462" s="1"/>
    </row>
    <row r="463" spans="19:88" s="17" customFormat="1" ht="22.5" customHeight="1" x14ac:dyDescent="0.25">
      <c r="S463" s="1"/>
      <c r="V463" s="99"/>
      <c r="W463" s="99"/>
      <c r="AF463" s="1"/>
      <c r="AN463" s="1"/>
      <c r="AV463" s="1"/>
      <c r="AW463" s="97"/>
      <c r="AX463" s="97"/>
      <c r="AY463" s="97"/>
      <c r="AZ463" s="97"/>
      <c r="BA463" s="97"/>
      <c r="BB463" s="97"/>
      <c r="BC463" s="97"/>
      <c r="BD463" s="98"/>
      <c r="BE463" s="97"/>
      <c r="BF463" s="97"/>
      <c r="BG463" s="97"/>
      <c r="BH463" s="97"/>
      <c r="CJ463" s="1"/>
    </row>
    <row r="464" spans="19:88" s="17" customFormat="1" ht="22.5" customHeight="1" x14ac:dyDescent="0.25">
      <c r="S464" s="1"/>
      <c r="V464" s="99"/>
      <c r="W464" s="99"/>
      <c r="AF464" s="1"/>
      <c r="AN464" s="1"/>
      <c r="AV464" s="1"/>
      <c r="AW464" s="97"/>
      <c r="AX464" s="97"/>
      <c r="AY464" s="97"/>
      <c r="AZ464" s="97"/>
      <c r="BA464" s="97"/>
      <c r="BB464" s="97"/>
      <c r="BC464" s="97"/>
      <c r="BD464" s="98"/>
      <c r="BE464" s="97"/>
      <c r="BF464" s="97"/>
      <c r="BG464" s="97"/>
      <c r="BH464" s="97"/>
      <c r="CJ464" s="1"/>
    </row>
    <row r="465" spans="19:88" s="17" customFormat="1" ht="22.5" customHeight="1" x14ac:dyDescent="0.25">
      <c r="S465" s="1"/>
      <c r="V465" s="99"/>
      <c r="W465" s="99"/>
      <c r="AF465" s="1"/>
      <c r="AN465" s="1"/>
      <c r="AV465" s="1"/>
      <c r="AW465" s="97"/>
      <c r="AX465" s="97"/>
      <c r="AY465" s="97"/>
      <c r="AZ465" s="97"/>
      <c r="BA465" s="97"/>
      <c r="BB465" s="97"/>
      <c r="BC465" s="97"/>
      <c r="BD465" s="98"/>
      <c r="BE465" s="97"/>
      <c r="BF465" s="97"/>
      <c r="BG465" s="97"/>
      <c r="BH465" s="97"/>
      <c r="CJ465" s="1"/>
    </row>
    <row r="466" spans="19:88" s="17" customFormat="1" ht="22.5" customHeight="1" x14ac:dyDescent="0.25">
      <c r="S466" s="1"/>
      <c r="V466" s="99"/>
      <c r="W466" s="99"/>
      <c r="AF466" s="1"/>
      <c r="AN466" s="1"/>
      <c r="AV466" s="1"/>
      <c r="AW466" s="97"/>
      <c r="AX466" s="97"/>
      <c r="AY466" s="97"/>
      <c r="AZ466" s="97"/>
      <c r="BA466" s="97"/>
      <c r="BB466" s="97"/>
      <c r="BC466" s="97"/>
      <c r="BD466" s="98"/>
      <c r="BE466" s="97"/>
      <c r="BF466" s="97"/>
      <c r="BG466" s="97"/>
      <c r="BH466" s="97"/>
      <c r="CJ466" s="1"/>
    </row>
    <row r="467" spans="19:88" s="17" customFormat="1" ht="22.5" customHeight="1" x14ac:dyDescent="0.25">
      <c r="S467" s="1"/>
      <c r="V467" s="99"/>
      <c r="W467" s="99"/>
      <c r="AF467" s="1"/>
      <c r="AN467" s="1"/>
      <c r="AV467" s="1"/>
      <c r="AW467" s="97"/>
      <c r="AX467" s="97"/>
      <c r="AY467" s="97"/>
      <c r="AZ467" s="97"/>
      <c r="BA467" s="97"/>
      <c r="BB467" s="97"/>
      <c r="BC467" s="97"/>
      <c r="BD467" s="98"/>
      <c r="BE467" s="97"/>
      <c r="BF467" s="97"/>
      <c r="BG467" s="97"/>
      <c r="BH467" s="97"/>
      <c r="CJ467" s="1"/>
    </row>
    <row r="468" spans="19:88" s="17" customFormat="1" ht="22.5" customHeight="1" x14ac:dyDescent="0.25">
      <c r="S468" s="1"/>
      <c r="V468" s="99"/>
      <c r="W468" s="99"/>
      <c r="AF468" s="1"/>
      <c r="AN468" s="1"/>
      <c r="AV468" s="1"/>
      <c r="AW468" s="97"/>
      <c r="AX468" s="97"/>
      <c r="AY468" s="97"/>
      <c r="AZ468" s="97"/>
      <c r="BA468" s="97"/>
      <c r="BB468" s="97"/>
      <c r="BC468" s="97"/>
      <c r="BD468" s="98"/>
      <c r="BE468" s="97"/>
      <c r="BF468" s="97"/>
      <c r="BG468" s="97"/>
      <c r="BH468" s="97"/>
      <c r="CJ468" s="1"/>
    </row>
    <row r="469" spans="19:88" s="17" customFormat="1" ht="22.5" customHeight="1" x14ac:dyDescent="0.25">
      <c r="S469" s="1"/>
      <c r="V469" s="99"/>
      <c r="W469" s="99"/>
      <c r="AF469" s="1"/>
      <c r="AN469" s="1"/>
      <c r="AV469" s="1"/>
      <c r="AW469" s="97"/>
      <c r="AX469" s="97"/>
      <c r="AY469" s="97"/>
      <c r="AZ469" s="97"/>
      <c r="BA469" s="97"/>
      <c r="BB469" s="97"/>
      <c r="BC469" s="97"/>
      <c r="BD469" s="98"/>
      <c r="BE469" s="97"/>
      <c r="BF469" s="97"/>
      <c r="BG469" s="97"/>
      <c r="BH469" s="97"/>
      <c r="CJ469" s="1"/>
    </row>
    <row r="470" spans="19:88" s="17" customFormat="1" ht="22.5" customHeight="1" x14ac:dyDescent="0.25">
      <c r="S470" s="1"/>
      <c r="V470" s="99"/>
      <c r="W470" s="99"/>
      <c r="AF470" s="1"/>
      <c r="AN470" s="1"/>
      <c r="AV470" s="1"/>
      <c r="AW470" s="97"/>
      <c r="AX470" s="97"/>
      <c r="AY470" s="97"/>
      <c r="AZ470" s="97"/>
      <c r="BA470" s="97"/>
      <c r="BB470" s="97"/>
      <c r="BC470" s="97"/>
      <c r="BD470" s="98"/>
      <c r="BE470" s="97"/>
      <c r="BF470" s="97"/>
      <c r="BG470" s="97"/>
      <c r="BH470" s="97"/>
      <c r="CJ470" s="1"/>
    </row>
    <row r="471" spans="19:88" s="17" customFormat="1" ht="22.5" customHeight="1" x14ac:dyDescent="0.25">
      <c r="S471" s="1"/>
      <c r="V471" s="99"/>
      <c r="W471" s="99"/>
      <c r="AF471" s="1"/>
      <c r="AN471" s="1"/>
      <c r="AV471" s="1"/>
      <c r="AW471" s="97"/>
      <c r="AX471" s="97"/>
      <c r="AY471" s="97"/>
      <c r="AZ471" s="97"/>
      <c r="BA471" s="97"/>
      <c r="BB471" s="97"/>
      <c r="BC471" s="97"/>
      <c r="BD471" s="98"/>
      <c r="BE471" s="97"/>
      <c r="BF471" s="97"/>
      <c r="BG471" s="97"/>
      <c r="BH471" s="97"/>
      <c r="CJ471" s="1"/>
    </row>
    <row r="472" spans="19:88" s="17" customFormat="1" ht="22.5" customHeight="1" x14ac:dyDescent="0.25">
      <c r="S472" s="1"/>
      <c r="V472" s="99"/>
      <c r="W472" s="99"/>
      <c r="AF472" s="1"/>
      <c r="AN472" s="1"/>
      <c r="AV472" s="1"/>
      <c r="AW472" s="97"/>
      <c r="AX472" s="97"/>
      <c r="AY472" s="97"/>
      <c r="AZ472" s="97"/>
      <c r="BA472" s="97"/>
      <c r="BB472" s="97"/>
      <c r="BC472" s="97"/>
      <c r="BD472" s="98"/>
      <c r="BE472" s="97"/>
      <c r="BF472" s="97"/>
      <c r="BG472" s="97"/>
      <c r="BH472" s="97"/>
      <c r="CJ472" s="1"/>
    </row>
    <row r="473" spans="19:88" s="17" customFormat="1" ht="22.5" customHeight="1" x14ac:dyDescent="0.25">
      <c r="S473" s="1"/>
      <c r="V473" s="99"/>
      <c r="W473" s="99"/>
      <c r="AF473" s="1"/>
      <c r="AN473" s="1"/>
      <c r="AV473" s="1"/>
      <c r="AW473" s="97"/>
      <c r="AX473" s="97"/>
      <c r="AY473" s="97"/>
      <c r="AZ473" s="97"/>
      <c r="BA473" s="97"/>
      <c r="BB473" s="97"/>
      <c r="BC473" s="97"/>
      <c r="BD473" s="98"/>
      <c r="BE473" s="97"/>
      <c r="BF473" s="97"/>
      <c r="BG473" s="97"/>
      <c r="BH473" s="97"/>
      <c r="CJ473" s="1"/>
    </row>
    <row r="474" spans="19:88" s="17" customFormat="1" ht="22.5" customHeight="1" x14ac:dyDescent="0.25">
      <c r="S474" s="1"/>
      <c r="V474" s="99"/>
      <c r="W474" s="99"/>
      <c r="AF474" s="1"/>
      <c r="AN474" s="1"/>
      <c r="AV474" s="1"/>
      <c r="AW474" s="97"/>
      <c r="AX474" s="97"/>
      <c r="AY474" s="97"/>
      <c r="AZ474" s="97"/>
      <c r="BA474" s="97"/>
      <c r="BB474" s="97"/>
      <c r="BC474" s="97"/>
      <c r="BD474" s="98"/>
      <c r="BE474" s="97"/>
      <c r="BF474" s="97"/>
      <c r="BG474" s="97"/>
      <c r="BH474" s="97"/>
      <c r="CJ474" s="1"/>
    </row>
    <row r="475" spans="19:88" s="17" customFormat="1" ht="22.5" customHeight="1" x14ac:dyDescent="0.25">
      <c r="S475" s="1"/>
      <c r="V475" s="99"/>
      <c r="W475" s="99"/>
      <c r="AF475" s="1"/>
      <c r="AN475" s="1"/>
      <c r="AV475" s="1"/>
      <c r="AW475" s="97"/>
      <c r="AX475" s="97"/>
      <c r="AY475" s="97"/>
      <c r="AZ475" s="97"/>
      <c r="BA475" s="97"/>
      <c r="BB475" s="97"/>
      <c r="BC475" s="97"/>
      <c r="BD475" s="98"/>
      <c r="BE475" s="97"/>
      <c r="BF475" s="97"/>
      <c r="BG475" s="97"/>
      <c r="BH475" s="97"/>
      <c r="CJ475" s="1"/>
    </row>
    <row r="476" spans="19:88" s="17" customFormat="1" ht="22.5" customHeight="1" x14ac:dyDescent="0.25">
      <c r="S476" s="1"/>
      <c r="V476" s="99"/>
      <c r="W476" s="99"/>
      <c r="AF476" s="1"/>
      <c r="AN476" s="1"/>
      <c r="AV476" s="1"/>
      <c r="AW476" s="97"/>
      <c r="AX476" s="97"/>
      <c r="AY476" s="97"/>
      <c r="AZ476" s="97"/>
      <c r="BA476" s="97"/>
      <c r="BB476" s="97"/>
      <c r="BC476" s="97"/>
      <c r="BD476" s="98"/>
      <c r="BE476" s="97"/>
      <c r="BF476" s="97"/>
      <c r="BG476" s="97"/>
      <c r="BH476" s="97"/>
      <c r="CJ476" s="1"/>
    </row>
    <row r="477" spans="19:88" s="17" customFormat="1" ht="22.5" customHeight="1" x14ac:dyDescent="0.25">
      <c r="S477" s="1"/>
      <c r="V477" s="99"/>
      <c r="W477" s="99"/>
      <c r="AF477" s="1"/>
      <c r="AN477" s="1"/>
      <c r="AV477" s="1"/>
      <c r="AW477" s="97"/>
      <c r="AX477" s="97"/>
      <c r="AY477" s="97"/>
      <c r="AZ477" s="97"/>
      <c r="BA477" s="97"/>
      <c r="BB477" s="97"/>
      <c r="BC477" s="97"/>
      <c r="BD477" s="98"/>
      <c r="BE477" s="97"/>
      <c r="BF477" s="97"/>
      <c r="BG477" s="97"/>
      <c r="BH477" s="97"/>
      <c r="CJ477" s="1"/>
    </row>
    <row r="478" spans="19:88" s="17" customFormat="1" ht="22.5" customHeight="1" x14ac:dyDescent="0.25">
      <c r="S478" s="1"/>
      <c r="V478" s="99"/>
      <c r="W478" s="99"/>
      <c r="AF478" s="1"/>
      <c r="AN478" s="1"/>
      <c r="AV478" s="1"/>
      <c r="AW478" s="97"/>
      <c r="AX478" s="97"/>
      <c r="AY478" s="97"/>
      <c r="AZ478" s="97"/>
      <c r="BA478" s="97"/>
      <c r="BB478" s="97"/>
      <c r="BC478" s="97"/>
      <c r="BD478" s="98"/>
      <c r="BE478" s="97"/>
      <c r="BF478" s="97"/>
      <c r="BG478" s="97"/>
      <c r="BH478" s="97"/>
      <c r="CJ478" s="1"/>
    </row>
    <row r="479" spans="19:88" s="17" customFormat="1" ht="22.5" customHeight="1" x14ac:dyDescent="0.25">
      <c r="S479" s="1"/>
      <c r="V479" s="99"/>
      <c r="W479" s="99"/>
      <c r="AF479" s="1"/>
      <c r="AN479" s="1"/>
      <c r="AV479" s="1"/>
      <c r="AW479" s="97"/>
      <c r="AX479" s="97"/>
      <c r="AY479" s="97"/>
      <c r="AZ479" s="97"/>
      <c r="BA479" s="97"/>
      <c r="BB479" s="97"/>
      <c r="BC479" s="97"/>
      <c r="BD479" s="98"/>
      <c r="BE479" s="97"/>
      <c r="BF479" s="97"/>
      <c r="BG479" s="97"/>
      <c r="BH479" s="97"/>
      <c r="CJ479" s="1"/>
    </row>
    <row r="480" spans="19:88" s="17" customFormat="1" ht="22.5" customHeight="1" x14ac:dyDescent="0.25">
      <c r="S480" s="1"/>
      <c r="V480" s="99"/>
      <c r="W480" s="99"/>
      <c r="AF480" s="1"/>
      <c r="AN480" s="1"/>
      <c r="AV480" s="1"/>
      <c r="AW480" s="97"/>
      <c r="AX480" s="97"/>
      <c r="AY480" s="97"/>
      <c r="AZ480" s="97"/>
      <c r="BA480" s="97"/>
      <c r="BB480" s="97"/>
      <c r="BC480" s="97"/>
      <c r="BD480" s="98"/>
      <c r="BE480" s="97"/>
      <c r="BF480" s="97"/>
      <c r="BG480" s="97"/>
      <c r="BH480" s="97"/>
      <c r="CJ480" s="1"/>
    </row>
    <row r="481" spans="19:88" s="17" customFormat="1" ht="22.5" customHeight="1" x14ac:dyDescent="0.25">
      <c r="S481" s="1"/>
      <c r="V481" s="99"/>
      <c r="W481" s="99"/>
      <c r="AF481" s="1"/>
      <c r="AN481" s="1"/>
      <c r="AV481" s="1"/>
      <c r="AW481" s="97"/>
      <c r="AX481" s="97"/>
      <c r="AY481" s="97"/>
      <c r="AZ481" s="97"/>
      <c r="BA481" s="97"/>
      <c r="BB481" s="97"/>
      <c r="BC481" s="97"/>
      <c r="BD481" s="98"/>
      <c r="BE481" s="97"/>
      <c r="BF481" s="97"/>
      <c r="BG481" s="97"/>
      <c r="BH481" s="97"/>
      <c r="CJ481" s="1"/>
    </row>
    <row r="482" spans="19:88" s="17" customFormat="1" ht="22.5" customHeight="1" x14ac:dyDescent="0.25">
      <c r="S482" s="1"/>
      <c r="V482" s="99"/>
      <c r="W482" s="99"/>
      <c r="AF482" s="1"/>
      <c r="AN482" s="1"/>
      <c r="AV482" s="1"/>
      <c r="AW482" s="97"/>
      <c r="AX482" s="97"/>
      <c r="AY482" s="97"/>
      <c r="AZ482" s="97"/>
      <c r="BA482" s="97"/>
      <c r="BB482" s="97"/>
      <c r="BC482" s="97"/>
      <c r="BD482" s="98"/>
      <c r="BE482" s="97"/>
      <c r="BF482" s="97"/>
      <c r="BG482" s="97"/>
      <c r="BH482" s="97"/>
      <c r="CJ482" s="1"/>
    </row>
    <row r="483" spans="19:88" s="17" customFormat="1" ht="22.5" customHeight="1" x14ac:dyDescent="0.25">
      <c r="S483" s="1"/>
      <c r="V483" s="99"/>
      <c r="W483" s="99"/>
      <c r="AF483" s="1"/>
      <c r="AN483" s="1"/>
      <c r="AV483" s="1"/>
      <c r="AW483" s="97"/>
      <c r="AX483" s="97"/>
      <c r="AY483" s="97"/>
      <c r="AZ483" s="97"/>
      <c r="BA483" s="97"/>
      <c r="BB483" s="97"/>
      <c r="BC483" s="97"/>
      <c r="BD483" s="98"/>
      <c r="BE483" s="97"/>
      <c r="BF483" s="97"/>
      <c r="BG483" s="97"/>
      <c r="BH483" s="97"/>
      <c r="CJ483" s="1"/>
    </row>
    <row r="484" spans="19:88" s="17" customFormat="1" ht="22.5" customHeight="1" x14ac:dyDescent="0.25">
      <c r="S484" s="1"/>
      <c r="V484" s="99"/>
      <c r="W484" s="99"/>
      <c r="AF484" s="1"/>
      <c r="AN484" s="1"/>
      <c r="AV484" s="1"/>
      <c r="AW484" s="97"/>
      <c r="AX484" s="97"/>
      <c r="AY484" s="97"/>
      <c r="AZ484" s="97"/>
      <c r="BA484" s="97"/>
      <c r="BB484" s="97"/>
      <c r="BC484" s="97"/>
      <c r="BD484" s="98"/>
      <c r="BE484" s="97"/>
      <c r="BF484" s="97"/>
      <c r="BG484" s="97"/>
      <c r="BH484" s="97"/>
      <c r="CJ484" s="1"/>
    </row>
    <row r="485" spans="19:88" s="17" customFormat="1" ht="22.5" customHeight="1" x14ac:dyDescent="0.25">
      <c r="S485" s="1"/>
      <c r="V485" s="99"/>
      <c r="W485" s="99"/>
      <c r="AF485" s="1"/>
      <c r="AN485" s="1"/>
      <c r="AV485" s="1"/>
      <c r="AW485" s="97"/>
      <c r="AX485" s="97"/>
      <c r="AY485" s="97"/>
      <c r="AZ485" s="97"/>
      <c r="BA485" s="97"/>
      <c r="BB485" s="97"/>
      <c r="BC485" s="97"/>
      <c r="BD485" s="98"/>
      <c r="BE485" s="97"/>
      <c r="BF485" s="97"/>
      <c r="BG485" s="97"/>
      <c r="BH485" s="97"/>
      <c r="CJ485" s="1"/>
    </row>
    <row r="486" spans="19:88" s="17" customFormat="1" ht="22.5" customHeight="1" x14ac:dyDescent="0.25">
      <c r="S486" s="1"/>
      <c r="V486" s="99"/>
      <c r="W486" s="99"/>
      <c r="AF486" s="1"/>
      <c r="AN486" s="1"/>
      <c r="AV486" s="1"/>
      <c r="AW486" s="97"/>
      <c r="AX486" s="97"/>
      <c r="AY486" s="97"/>
      <c r="AZ486" s="97"/>
      <c r="BA486" s="97"/>
      <c r="BB486" s="97"/>
      <c r="BC486" s="97"/>
      <c r="BD486" s="98"/>
      <c r="BE486" s="97"/>
      <c r="BF486" s="97"/>
      <c r="BG486" s="97"/>
      <c r="BH486" s="97"/>
      <c r="CJ486" s="1"/>
    </row>
    <row r="487" spans="19:88" s="17" customFormat="1" ht="22.5" customHeight="1" x14ac:dyDescent="0.25">
      <c r="S487" s="1"/>
      <c r="V487" s="99"/>
      <c r="W487" s="99"/>
      <c r="AF487" s="1"/>
      <c r="AN487" s="1"/>
      <c r="AV487" s="1"/>
      <c r="AW487" s="97"/>
      <c r="AX487" s="97"/>
      <c r="AY487" s="97"/>
      <c r="AZ487" s="97"/>
      <c r="BA487" s="97"/>
      <c r="BB487" s="97"/>
      <c r="BC487" s="97"/>
      <c r="BD487" s="98"/>
      <c r="BE487" s="97"/>
      <c r="BF487" s="97"/>
      <c r="BG487" s="97"/>
      <c r="BH487" s="97"/>
      <c r="CJ487" s="1"/>
    </row>
    <row r="488" spans="19:88" s="17" customFormat="1" ht="22.5" customHeight="1" x14ac:dyDescent="0.25">
      <c r="S488" s="1"/>
      <c r="V488" s="99"/>
      <c r="W488" s="99"/>
      <c r="AF488" s="1"/>
      <c r="AN488" s="1"/>
      <c r="AV488" s="1"/>
      <c r="AW488" s="97"/>
      <c r="AX488" s="97"/>
      <c r="AY488" s="97"/>
      <c r="AZ488" s="97"/>
      <c r="BA488" s="97"/>
      <c r="BB488" s="97"/>
      <c r="BC488" s="97"/>
      <c r="BD488" s="98"/>
      <c r="BE488" s="97"/>
      <c r="BF488" s="97"/>
      <c r="BG488" s="97"/>
      <c r="BH488" s="97"/>
      <c r="CJ488" s="1"/>
    </row>
    <row r="489" spans="19:88" s="17" customFormat="1" ht="22.5" customHeight="1" x14ac:dyDescent="0.25">
      <c r="S489" s="1"/>
      <c r="V489" s="99"/>
      <c r="W489" s="99"/>
      <c r="AF489" s="1"/>
      <c r="AN489" s="1"/>
      <c r="AV489" s="1"/>
      <c r="AW489" s="97"/>
      <c r="AX489" s="97"/>
      <c r="AY489" s="97"/>
      <c r="AZ489" s="97"/>
      <c r="BA489" s="97"/>
      <c r="BB489" s="97"/>
      <c r="BC489" s="97"/>
      <c r="BD489" s="98"/>
      <c r="BE489" s="97"/>
      <c r="BF489" s="97"/>
      <c r="BG489" s="97"/>
      <c r="BH489" s="97"/>
      <c r="CJ489" s="1"/>
    </row>
    <row r="490" spans="19:88" s="17" customFormat="1" ht="22.5" customHeight="1" x14ac:dyDescent="0.25">
      <c r="S490" s="1"/>
      <c r="V490" s="99"/>
      <c r="W490" s="99"/>
      <c r="AF490" s="1"/>
      <c r="AN490" s="1"/>
      <c r="AV490" s="1"/>
      <c r="AW490" s="97"/>
      <c r="AX490" s="97"/>
      <c r="AY490" s="97"/>
      <c r="AZ490" s="97"/>
      <c r="BA490" s="97"/>
      <c r="BB490" s="97"/>
      <c r="BC490" s="97"/>
      <c r="BD490" s="98"/>
      <c r="BE490" s="97"/>
      <c r="BF490" s="97"/>
      <c r="BG490" s="97"/>
      <c r="BH490" s="97"/>
      <c r="CJ490" s="1"/>
    </row>
    <row r="491" spans="19:88" s="17" customFormat="1" ht="22.5" customHeight="1" x14ac:dyDescent="0.25">
      <c r="S491" s="1"/>
      <c r="V491" s="99"/>
      <c r="W491" s="99"/>
      <c r="AF491" s="1"/>
      <c r="AN491" s="1"/>
      <c r="AV491" s="1"/>
      <c r="AW491" s="97"/>
      <c r="AX491" s="97"/>
      <c r="AY491" s="97"/>
      <c r="AZ491" s="97"/>
      <c r="BA491" s="97"/>
      <c r="BB491" s="97"/>
      <c r="BC491" s="97"/>
      <c r="BD491" s="98"/>
      <c r="BE491" s="97"/>
      <c r="BF491" s="97"/>
      <c r="BG491" s="97"/>
      <c r="BH491" s="97"/>
      <c r="CJ491" s="1"/>
    </row>
    <row r="492" spans="19:88" s="17" customFormat="1" ht="22.5" customHeight="1" x14ac:dyDescent="0.25">
      <c r="S492" s="1"/>
      <c r="V492" s="99"/>
      <c r="W492" s="99"/>
      <c r="AF492" s="1"/>
      <c r="AN492" s="1"/>
      <c r="AV492" s="1"/>
      <c r="AW492" s="97"/>
      <c r="AX492" s="97"/>
      <c r="AY492" s="97"/>
      <c r="AZ492" s="97"/>
      <c r="BA492" s="97"/>
      <c r="BB492" s="97"/>
      <c r="BC492" s="97"/>
      <c r="BD492" s="98"/>
      <c r="BE492" s="97"/>
      <c r="BF492" s="97"/>
      <c r="BG492" s="97"/>
      <c r="BH492" s="97"/>
      <c r="CJ492" s="1"/>
    </row>
    <row r="493" spans="19:88" s="17" customFormat="1" ht="22.5" customHeight="1" x14ac:dyDescent="0.25">
      <c r="S493" s="1"/>
      <c r="V493" s="99"/>
      <c r="W493" s="99"/>
      <c r="AF493" s="1"/>
      <c r="AN493" s="1"/>
      <c r="AV493" s="1"/>
      <c r="AW493" s="97"/>
      <c r="AX493" s="97"/>
      <c r="AY493" s="97"/>
      <c r="AZ493" s="97"/>
      <c r="BA493" s="97"/>
      <c r="BB493" s="97"/>
      <c r="BC493" s="97"/>
      <c r="BD493" s="98"/>
      <c r="BE493" s="97"/>
      <c r="BF493" s="97"/>
      <c r="BG493" s="97"/>
      <c r="BH493" s="97"/>
      <c r="CJ493" s="1"/>
    </row>
    <row r="494" spans="19:88" s="17" customFormat="1" ht="22.5" customHeight="1" x14ac:dyDescent="0.25">
      <c r="S494" s="1"/>
      <c r="V494" s="99"/>
      <c r="W494" s="99"/>
      <c r="AF494" s="1"/>
      <c r="AN494" s="1"/>
      <c r="AV494" s="1"/>
      <c r="AW494" s="97"/>
      <c r="AX494" s="97"/>
      <c r="AY494" s="97"/>
      <c r="AZ494" s="97"/>
      <c r="BA494" s="97"/>
      <c r="BB494" s="97"/>
      <c r="BC494" s="97"/>
      <c r="BD494" s="98"/>
      <c r="BE494" s="97"/>
      <c r="BF494" s="97"/>
      <c r="BG494" s="97"/>
      <c r="BH494" s="97"/>
      <c r="CJ494" s="1"/>
    </row>
    <row r="495" spans="19:88" s="17" customFormat="1" ht="22.5" customHeight="1" x14ac:dyDescent="0.25">
      <c r="S495" s="1"/>
      <c r="V495" s="99"/>
      <c r="W495" s="99"/>
      <c r="AF495" s="1"/>
      <c r="AN495" s="1"/>
      <c r="AV495" s="1"/>
      <c r="AW495" s="97"/>
      <c r="AX495" s="97"/>
      <c r="AY495" s="97"/>
      <c r="AZ495" s="97"/>
      <c r="BA495" s="97"/>
      <c r="BB495" s="97"/>
      <c r="BC495" s="97"/>
      <c r="BD495" s="98"/>
      <c r="BE495" s="97"/>
      <c r="BF495" s="97"/>
      <c r="BG495" s="97"/>
      <c r="BH495" s="97"/>
      <c r="CJ495" s="1"/>
    </row>
    <row r="496" spans="19:88" s="17" customFormat="1" ht="22.5" customHeight="1" x14ac:dyDescent="0.25">
      <c r="S496" s="1"/>
      <c r="V496" s="99"/>
      <c r="W496" s="99"/>
      <c r="AF496" s="1"/>
      <c r="AN496" s="1"/>
      <c r="AV496" s="1"/>
      <c r="AW496" s="97"/>
      <c r="AX496" s="97"/>
      <c r="AY496" s="97"/>
      <c r="AZ496" s="97"/>
      <c r="BA496" s="97"/>
      <c r="BB496" s="97"/>
      <c r="BC496" s="97"/>
      <c r="BD496" s="98"/>
      <c r="BE496" s="97"/>
      <c r="BF496" s="97"/>
      <c r="BG496" s="97"/>
      <c r="BH496" s="97"/>
      <c r="CJ496" s="1"/>
    </row>
    <row r="497" spans="19:88" s="17" customFormat="1" ht="22.5" customHeight="1" x14ac:dyDescent="0.25">
      <c r="S497" s="1"/>
      <c r="V497" s="99"/>
      <c r="W497" s="99"/>
      <c r="AF497" s="1"/>
      <c r="AN497" s="1"/>
      <c r="AV497" s="1"/>
      <c r="AW497" s="97"/>
      <c r="AX497" s="97"/>
      <c r="AY497" s="97"/>
      <c r="AZ497" s="97"/>
      <c r="BA497" s="97"/>
      <c r="BB497" s="97"/>
      <c r="BC497" s="97"/>
      <c r="BD497" s="98"/>
      <c r="BE497" s="97"/>
      <c r="BF497" s="97"/>
      <c r="BG497" s="97"/>
      <c r="BH497" s="97"/>
      <c r="CJ497" s="1"/>
    </row>
    <row r="498" spans="19:88" s="17" customFormat="1" ht="22.5" customHeight="1" x14ac:dyDescent="0.25">
      <c r="S498" s="1"/>
      <c r="V498" s="99"/>
      <c r="W498" s="99"/>
      <c r="AF498" s="1"/>
      <c r="AN498" s="1"/>
      <c r="AV498" s="1"/>
      <c r="AW498" s="97"/>
      <c r="AX498" s="97"/>
      <c r="AY498" s="97"/>
      <c r="AZ498" s="97"/>
      <c r="BA498" s="97"/>
      <c r="BB498" s="97"/>
      <c r="BC498" s="97"/>
      <c r="BD498" s="98"/>
      <c r="BE498" s="97"/>
      <c r="BF498" s="97"/>
      <c r="BG498" s="97"/>
      <c r="BH498" s="97"/>
      <c r="CJ498" s="1"/>
    </row>
    <row r="499" spans="19:88" s="17" customFormat="1" ht="22.5" customHeight="1" x14ac:dyDescent="0.25">
      <c r="S499" s="1"/>
      <c r="V499" s="99"/>
      <c r="W499" s="99"/>
      <c r="AF499" s="1"/>
      <c r="AN499" s="1"/>
      <c r="AV499" s="1"/>
      <c r="AW499" s="97"/>
      <c r="AX499" s="97"/>
      <c r="AY499" s="97"/>
      <c r="AZ499" s="97"/>
      <c r="BA499" s="97"/>
      <c r="BB499" s="97"/>
      <c r="BC499" s="97"/>
      <c r="BD499" s="98"/>
      <c r="BE499" s="97"/>
      <c r="BF499" s="97"/>
      <c r="BG499" s="97"/>
      <c r="BH499" s="97"/>
      <c r="CJ499" s="1"/>
    </row>
    <row r="500" spans="19:88" s="17" customFormat="1" ht="22.5" customHeight="1" x14ac:dyDescent="0.25">
      <c r="S500" s="1"/>
      <c r="V500" s="99"/>
      <c r="W500" s="99"/>
      <c r="AF500" s="1"/>
      <c r="AN500" s="1"/>
      <c r="AV500" s="1"/>
      <c r="AW500" s="97"/>
      <c r="AX500" s="97"/>
      <c r="AY500" s="97"/>
      <c r="AZ500" s="97"/>
      <c r="BA500" s="97"/>
      <c r="BB500" s="97"/>
      <c r="BC500" s="97"/>
      <c r="BD500" s="98"/>
      <c r="BE500" s="97"/>
      <c r="BF500" s="97"/>
      <c r="BG500" s="97"/>
      <c r="BH500" s="97"/>
      <c r="CJ500" s="1"/>
    </row>
    <row r="501" spans="19:88" s="17" customFormat="1" ht="22.5" customHeight="1" x14ac:dyDescent="0.25">
      <c r="S501" s="1"/>
      <c r="V501" s="99"/>
      <c r="W501" s="99"/>
      <c r="AF501" s="1"/>
      <c r="AN501" s="1"/>
      <c r="AV501" s="1"/>
      <c r="AW501" s="97"/>
      <c r="AX501" s="97"/>
      <c r="AY501" s="97"/>
      <c r="AZ501" s="97"/>
      <c r="BA501" s="97"/>
      <c r="BB501" s="97"/>
      <c r="BC501" s="97"/>
      <c r="BD501" s="98"/>
      <c r="BE501" s="97"/>
      <c r="BF501" s="97"/>
      <c r="BG501" s="97"/>
      <c r="BH501" s="97"/>
      <c r="CJ501" s="1"/>
    </row>
    <row r="502" spans="19:88" s="17" customFormat="1" ht="22.5" customHeight="1" x14ac:dyDescent="0.25">
      <c r="S502" s="1"/>
      <c r="V502" s="99"/>
      <c r="W502" s="99"/>
      <c r="AF502" s="1"/>
      <c r="AN502" s="1"/>
      <c r="AV502" s="1"/>
      <c r="AW502" s="97"/>
      <c r="AX502" s="97"/>
      <c r="AY502" s="97"/>
      <c r="AZ502" s="97"/>
      <c r="BA502" s="97"/>
      <c r="BB502" s="97"/>
      <c r="BC502" s="97"/>
      <c r="BD502" s="98"/>
      <c r="BE502" s="97"/>
      <c r="BF502" s="97"/>
      <c r="BG502" s="97"/>
      <c r="BH502" s="97"/>
      <c r="CJ502" s="1"/>
    </row>
    <row r="503" spans="19:88" s="17" customFormat="1" ht="22.5" customHeight="1" x14ac:dyDescent="0.25">
      <c r="S503" s="1"/>
      <c r="V503" s="99"/>
      <c r="W503" s="99"/>
      <c r="AF503" s="1"/>
      <c r="AN503" s="1"/>
      <c r="AV503" s="1"/>
      <c r="AW503" s="97"/>
      <c r="AX503" s="97"/>
      <c r="AY503" s="97"/>
      <c r="AZ503" s="97"/>
      <c r="BA503" s="97"/>
      <c r="BB503" s="97"/>
      <c r="BC503" s="97"/>
      <c r="BD503" s="98"/>
      <c r="BE503" s="97"/>
      <c r="BF503" s="97"/>
      <c r="BG503" s="97"/>
      <c r="BH503" s="97"/>
      <c r="CJ503" s="1"/>
    </row>
    <row r="504" spans="19:88" s="17" customFormat="1" ht="22.5" customHeight="1" x14ac:dyDescent="0.25">
      <c r="S504" s="1"/>
      <c r="V504" s="99"/>
      <c r="W504" s="99"/>
      <c r="AF504" s="1"/>
      <c r="AN504" s="1"/>
      <c r="AV504" s="1"/>
      <c r="AW504" s="97"/>
      <c r="AX504" s="97"/>
      <c r="AY504" s="97"/>
      <c r="AZ504" s="97"/>
      <c r="BA504" s="97"/>
      <c r="BB504" s="97"/>
      <c r="BC504" s="97"/>
      <c r="BD504" s="98"/>
      <c r="BE504" s="97"/>
      <c r="BF504" s="97"/>
      <c r="BG504" s="97"/>
      <c r="BH504" s="97"/>
      <c r="CJ504" s="1"/>
    </row>
    <row r="505" spans="19:88" s="17" customFormat="1" ht="22.5" customHeight="1" x14ac:dyDescent="0.25">
      <c r="S505" s="1"/>
      <c r="V505" s="99"/>
      <c r="W505" s="99"/>
      <c r="AF505" s="1"/>
      <c r="AN505" s="1"/>
      <c r="AV505" s="1"/>
      <c r="AW505" s="97"/>
      <c r="AX505" s="97"/>
      <c r="AY505" s="97"/>
      <c r="AZ505" s="97"/>
      <c r="BA505" s="97"/>
      <c r="BB505" s="97"/>
      <c r="BC505" s="97"/>
      <c r="BD505" s="98"/>
      <c r="BE505" s="97"/>
      <c r="BF505" s="97"/>
      <c r="BG505" s="97"/>
      <c r="BH505" s="97"/>
      <c r="CJ505" s="1"/>
    </row>
    <row r="506" spans="19:88" s="17" customFormat="1" ht="22.5" customHeight="1" x14ac:dyDescent="0.25">
      <c r="S506" s="1"/>
      <c r="V506" s="99"/>
      <c r="W506" s="99"/>
      <c r="AF506" s="1"/>
      <c r="AN506" s="1"/>
      <c r="AV506" s="1"/>
      <c r="AW506" s="97"/>
      <c r="AX506" s="97"/>
      <c r="AY506" s="97"/>
      <c r="AZ506" s="97"/>
      <c r="BA506" s="97"/>
      <c r="BB506" s="97"/>
      <c r="BC506" s="97"/>
      <c r="BD506" s="98"/>
      <c r="BE506" s="97"/>
      <c r="BF506" s="97"/>
      <c r="BG506" s="97"/>
      <c r="BH506" s="97"/>
      <c r="CJ506" s="1"/>
    </row>
    <row r="507" spans="19:88" s="17" customFormat="1" ht="22.5" customHeight="1" x14ac:dyDescent="0.25">
      <c r="S507" s="1"/>
      <c r="V507" s="99"/>
      <c r="W507" s="99"/>
      <c r="AF507" s="1"/>
      <c r="AN507" s="1"/>
      <c r="AV507" s="1"/>
      <c r="AW507" s="97"/>
      <c r="AX507" s="97"/>
      <c r="AY507" s="97"/>
      <c r="AZ507" s="97"/>
      <c r="BA507" s="97"/>
      <c r="BB507" s="97"/>
      <c r="BC507" s="97"/>
      <c r="BD507" s="98"/>
      <c r="BE507" s="97"/>
      <c r="BF507" s="97"/>
      <c r="BG507" s="97"/>
      <c r="BH507" s="97"/>
      <c r="CJ507" s="1"/>
    </row>
    <row r="508" spans="19:88" s="17" customFormat="1" ht="22.5" customHeight="1" x14ac:dyDescent="0.25">
      <c r="S508" s="1"/>
      <c r="V508" s="99"/>
      <c r="W508" s="99"/>
      <c r="AF508" s="1"/>
      <c r="AN508" s="1"/>
      <c r="AV508" s="1"/>
      <c r="AW508" s="97"/>
      <c r="AX508" s="97"/>
      <c r="AY508" s="97"/>
      <c r="AZ508" s="97"/>
      <c r="BA508" s="97"/>
      <c r="BB508" s="97"/>
      <c r="BC508" s="97"/>
      <c r="BD508" s="98"/>
      <c r="BE508" s="97"/>
      <c r="BF508" s="97"/>
      <c r="BG508" s="97"/>
      <c r="BH508" s="97"/>
      <c r="CJ508" s="1"/>
    </row>
    <row r="509" spans="19:88" s="17" customFormat="1" ht="22.5" customHeight="1" x14ac:dyDescent="0.25">
      <c r="S509" s="1"/>
      <c r="V509" s="99"/>
      <c r="W509" s="99"/>
      <c r="AF509" s="1"/>
      <c r="AN509" s="1"/>
      <c r="AV509" s="1"/>
      <c r="AW509" s="97"/>
      <c r="AX509" s="97"/>
      <c r="AY509" s="97"/>
      <c r="AZ509" s="97"/>
      <c r="BA509" s="97"/>
      <c r="BB509" s="97"/>
      <c r="BC509" s="97"/>
      <c r="BD509" s="98"/>
      <c r="BE509" s="97"/>
      <c r="BF509" s="97"/>
      <c r="BG509" s="97"/>
      <c r="BH509" s="97"/>
      <c r="CJ509" s="1"/>
    </row>
    <row r="510" spans="19:88" s="17" customFormat="1" ht="22.5" customHeight="1" x14ac:dyDescent="0.25">
      <c r="S510" s="1"/>
      <c r="V510" s="99"/>
      <c r="W510" s="99"/>
      <c r="AF510" s="1"/>
      <c r="AN510" s="1"/>
      <c r="AV510" s="1"/>
      <c r="AW510" s="97"/>
      <c r="AX510" s="97"/>
      <c r="AY510" s="97"/>
      <c r="AZ510" s="97"/>
      <c r="BA510" s="97"/>
      <c r="BB510" s="97"/>
      <c r="BC510" s="97"/>
      <c r="BD510" s="98"/>
      <c r="BE510" s="97"/>
      <c r="BF510" s="97"/>
      <c r="BG510" s="97"/>
      <c r="BH510" s="97"/>
      <c r="CJ510" s="1"/>
    </row>
    <row r="511" spans="19:88" s="17" customFormat="1" ht="22.5" customHeight="1" x14ac:dyDescent="0.25">
      <c r="S511" s="1"/>
      <c r="V511" s="99"/>
      <c r="W511" s="99"/>
      <c r="AF511" s="1"/>
      <c r="AN511" s="1"/>
      <c r="AV511" s="1"/>
      <c r="AW511" s="97"/>
      <c r="AX511" s="97"/>
      <c r="AY511" s="97"/>
      <c r="AZ511" s="97"/>
      <c r="BA511" s="97"/>
      <c r="BB511" s="97"/>
      <c r="BC511" s="97"/>
      <c r="BD511" s="98"/>
      <c r="BE511" s="97"/>
      <c r="BF511" s="97"/>
      <c r="BG511" s="97"/>
      <c r="BH511" s="97"/>
      <c r="CJ511" s="1"/>
    </row>
    <row r="512" spans="19:88" s="17" customFormat="1" ht="22.5" customHeight="1" x14ac:dyDescent="0.25">
      <c r="S512" s="1"/>
      <c r="V512" s="99"/>
      <c r="W512" s="99"/>
      <c r="AF512" s="1"/>
      <c r="AN512" s="1"/>
      <c r="AV512" s="1"/>
      <c r="AW512" s="97"/>
      <c r="AX512" s="97"/>
      <c r="AY512" s="97"/>
      <c r="AZ512" s="97"/>
      <c r="BA512" s="97"/>
      <c r="BB512" s="97"/>
      <c r="BC512" s="97"/>
      <c r="BD512" s="98"/>
      <c r="BE512" s="97"/>
      <c r="BF512" s="97"/>
      <c r="BG512" s="97"/>
      <c r="BH512" s="97"/>
      <c r="CJ512" s="1"/>
    </row>
    <row r="513" spans="19:88" s="17" customFormat="1" ht="22.5" customHeight="1" x14ac:dyDescent="0.25">
      <c r="S513" s="1"/>
      <c r="V513" s="99"/>
      <c r="W513" s="99"/>
      <c r="AF513" s="1"/>
      <c r="AN513" s="1"/>
      <c r="AV513" s="1"/>
      <c r="AW513" s="97"/>
      <c r="AX513" s="97"/>
      <c r="AY513" s="97"/>
      <c r="AZ513" s="97"/>
      <c r="BA513" s="97"/>
      <c r="BB513" s="97"/>
      <c r="BC513" s="97"/>
      <c r="BD513" s="98"/>
      <c r="BE513" s="97"/>
      <c r="BF513" s="97"/>
      <c r="BG513" s="97"/>
      <c r="BH513" s="97"/>
      <c r="CJ513" s="1"/>
    </row>
    <row r="514" spans="19:88" s="17" customFormat="1" ht="22.5" customHeight="1" x14ac:dyDescent="0.25">
      <c r="S514" s="1"/>
      <c r="V514" s="99"/>
      <c r="W514" s="99"/>
      <c r="AF514" s="1"/>
      <c r="AN514" s="1"/>
      <c r="AV514" s="1"/>
      <c r="AW514" s="97"/>
      <c r="AX514" s="97"/>
      <c r="AY514" s="97"/>
      <c r="AZ514" s="97"/>
      <c r="BA514" s="97"/>
      <c r="BB514" s="97"/>
      <c r="BC514" s="97"/>
      <c r="BD514" s="98"/>
      <c r="BE514" s="97"/>
      <c r="BF514" s="97"/>
      <c r="BG514" s="97"/>
      <c r="BH514" s="97"/>
      <c r="CJ514" s="1"/>
    </row>
    <row r="515" spans="19:88" s="17" customFormat="1" ht="22.5" customHeight="1" x14ac:dyDescent="0.25">
      <c r="S515" s="1"/>
      <c r="V515" s="99"/>
      <c r="W515" s="99"/>
      <c r="AF515" s="1"/>
      <c r="AN515" s="1"/>
      <c r="AV515" s="1"/>
      <c r="AW515" s="97"/>
      <c r="AX515" s="97"/>
      <c r="AY515" s="97"/>
      <c r="AZ515" s="97"/>
      <c r="BA515" s="97"/>
      <c r="BB515" s="97"/>
      <c r="BC515" s="97"/>
      <c r="BD515" s="98"/>
      <c r="BE515" s="97"/>
      <c r="BF515" s="97"/>
      <c r="BG515" s="97"/>
      <c r="BH515" s="97"/>
      <c r="CJ515" s="1"/>
    </row>
    <row r="516" spans="19:88" s="17" customFormat="1" ht="22.5" customHeight="1" x14ac:dyDescent="0.25">
      <c r="S516" s="1"/>
      <c r="V516" s="99"/>
      <c r="W516" s="99"/>
      <c r="AF516" s="1"/>
      <c r="AN516" s="1"/>
      <c r="AV516" s="1"/>
      <c r="AW516" s="97"/>
      <c r="AX516" s="97"/>
      <c r="AY516" s="97"/>
      <c r="AZ516" s="97"/>
      <c r="BA516" s="97"/>
      <c r="BB516" s="97"/>
      <c r="BC516" s="97"/>
      <c r="BD516" s="98"/>
      <c r="BE516" s="97"/>
      <c r="BF516" s="97"/>
      <c r="BG516" s="97"/>
      <c r="BH516" s="97"/>
      <c r="CJ516" s="1"/>
    </row>
    <row r="517" spans="19:88" s="17" customFormat="1" ht="22.5" customHeight="1" x14ac:dyDescent="0.25">
      <c r="S517" s="1"/>
      <c r="V517" s="99"/>
      <c r="W517" s="99"/>
      <c r="AF517" s="1"/>
      <c r="AN517" s="1"/>
      <c r="AV517" s="1"/>
      <c r="AW517" s="97"/>
      <c r="AX517" s="97"/>
      <c r="AY517" s="97"/>
      <c r="AZ517" s="97"/>
      <c r="BA517" s="97"/>
      <c r="BB517" s="97"/>
      <c r="BC517" s="97"/>
      <c r="BD517" s="98"/>
      <c r="BE517" s="97"/>
      <c r="BF517" s="97"/>
      <c r="BG517" s="97"/>
      <c r="BH517" s="97"/>
      <c r="CJ517" s="1"/>
    </row>
    <row r="518" spans="19:88" s="17" customFormat="1" ht="22.5" customHeight="1" x14ac:dyDescent="0.25">
      <c r="S518" s="1"/>
      <c r="V518" s="99"/>
      <c r="W518" s="99"/>
      <c r="AF518" s="1"/>
      <c r="AN518" s="1"/>
      <c r="AV518" s="1"/>
      <c r="AW518" s="97"/>
      <c r="AX518" s="97"/>
      <c r="AY518" s="97"/>
      <c r="AZ518" s="97"/>
      <c r="BA518" s="97"/>
      <c r="BB518" s="97"/>
      <c r="BC518" s="97"/>
      <c r="BD518" s="98"/>
      <c r="BE518" s="97"/>
      <c r="BF518" s="97"/>
      <c r="BG518" s="97"/>
      <c r="BH518" s="97"/>
      <c r="CJ518" s="1"/>
    </row>
    <row r="519" spans="19:88" s="17" customFormat="1" ht="22.5" customHeight="1" x14ac:dyDescent="0.25">
      <c r="S519" s="1"/>
      <c r="V519" s="99"/>
      <c r="W519" s="99"/>
      <c r="AF519" s="1"/>
      <c r="AN519" s="1"/>
      <c r="AV519" s="1"/>
      <c r="AW519" s="97"/>
      <c r="AX519" s="97"/>
      <c r="AY519" s="97"/>
      <c r="AZ519" s="97"/>
      <c r="BA519" s="97"/>
      <c r="BB519" s="97"/>
      <c r="BC519" s="97"/>
      <c r="BD519" s="98"/>
      <c r="BE519" s="97"/>
      <c r="BF519" s="97"/>
      <c r="BG519" s="97"/>
      <c r="BH519" s="97"/>
      <c r="CJ519" s="1"/>
    </row>
    <row r="520" spans="19:88" s="17" customFormat="1" ht="22.5" customHeight="1" x14ac:dyDescent="0.25">
      <c r="S520" s="1"/>
      <c r="V520" s="99"/>
      <c r="W520" s="99"/>
      <c r="AF520" s="1"/>
      <c r="AN520" s="1"/>
      <c r="AV520" s="1"/>
      <c r="AW520" s="97"/>
      <c r="AX520" s="97"/>
      <c r="AY520" s="97"/>
      <c r="AZ520" s="97"/>
      <c r="BA520" s="97"/>
      <c r="BB520" s="97"/>
      <c r="BC520" s="97"/>
      <c r="BD520" s="98"/>
      <c r="BE520" s="97"/>
      <c r="BF520" s="97"/>
      <c r="BG520" s="97"/>
      <c r="BH520" s="97"/>
      <c r="CJ520" s="1"/>
    </row>
    <row r="521" spans="19:88" s="17" customFormat="1" ht="22.5" customHeight="1" x14ac:dyDescent="0.25">
      <c r="S521" s="1"/>
      <c r="V521" s="99"/>
      <c r="W521" s="99"/>
      <c r="AF521" s="1"/>
      <c r="AN521" s="1"/>
      <c r="AV521" s="1"/>
      <c r="AW521" s="97"/>
      <c r="AX521" s="97"/>
      <c r="AY521" s="97"/>
      <c r="AZ521" s="97"/>
      <c r="BA521" s="97"/>
      <c r="BB521" s="97"/>
      <c r="BC521" s="97"/>
      <c r="BD521" s="98"/>
      <c r="BE521" s="97"/>
      <c r="BF521" s="97"/>
      <c r="BG521" s="97"/>
      <c r="BH521" s="97"/>
      <c r="CJ521" s="1"/>
    </row>
    <row r="522" spans="19:88" s="17" customFormat="1" ht="22.5" customHeight="1" x14ac:dyDescent="0.25">
      <c r="S522" s="1"/>
      <c r="V522" s="99"/>
      <c r="W522" s="99"/>
      <c r="AF522" s="1"/>
      <c r="AN522" s="1"/>
      <c r="AV522" s="1"/>
      <c r="AW522" s="97"/>
      <c r="AX522" s="97"/>
      <c r="AY522" s="97"/>
      <c r="AZ522" s="97"/>
      <c r="BA522" s="97"/>
      <c r="BB522" s="97"/>
      <c r="BC522" s="97"/>
      <c r="BD522" s="98"/>
      <c r="BE522" s="97"/>
      <c r="BF522" s="97"/>
      <c r="BG522" s="97"/>
      <c r="BH522" s="97"/>
      <c r="CJ522" s="1"/>
    </row>
    <row r="523" spans="19:88" s="17" customFormat="1" ht="22.5" customHeight="1" x14ac:dyDescent="0.25">
      <c r="S523" s="1"/>
      <c r="V523" s="99"/>
      <c r="W523" s="99"/>
      <c r="AF523" s="1"/>
      <c r="AN523" s="1"/>
      <c r="AV523" s="1"/>
      <c r="AW523" s="97"/>
      <c r="AX523" s="97"/>
      <c r="AY523" s="97"/>
      <c r="AZ523" s="97"/>
      <c r="BA523" s="97"/>
      <c r="BB523" s="97"/>
      <c r="BC523" s="97"/>
      <c r="BD523" s="98"/>
      <c r="BE523" s="97"/>
      <c r="BF523" s="97"/>
      <c r="BG523" s="97"/>
      <c r="BH523" s="97"/>
      <c r="CJ523" s="1"/>
    </row>
    <row r="524" spans="19:88" s="17" customFormat="1" ht="22.5" customHeight="1" x14ac:dyDescent="0.25">
      <c r="S524" s="1"/>
      <c r="V524" s="99"/>
      <c r="W524" s="99"/>
      <c r="AF524" s="1"/>
      <c r="AN524" s="1"/>
      <c r="AV524" s="1"/>
      <c r="AW524" s="97"/>
      <c r="AX524" s="97"/>
      <c r="AY524" s="97"/>
      <c r="AZ524" s="97"/>
      <c r="BA524" s="97"/>
      <c r="BB524" s="97"/>
      <c r="BC524" s="97"/>
      <c r="BD524" s="98"/>
      <c r="BE524" s="97"/>
      <c r="BF524" s="97"/>
      <c r="BG524" s="97"/>
      <c r="BH524" s="97"/>
      <c r="CJ524" s="1"/>
    </row>
    <row r="525" spans="19:88" s="17" customFormat="1" ht="22.5" customHeight="1" x14ac:dyDescent="0.25">
      <c r="S525" s="1"/>
      <c r="V525" s="99"/>
      <c r="W525" s="99"/>
      <c r="AF525" s="1"/>
      <c r="AN525" s="1"/>
      <c r="AV525" s="1"/>
      <c r="AW525" s="97"/>
      <c r="AX525" s="97"/>
      <c r="AY525" s="97"/>
      <c r="AZ525" s="97"/>
      <c r="BA525" s="97"/>
      <c r="BB525" s="97"/>
      <c r="BC525" s="97"/>
      <c r="BD525" s="98"/>
      <c r="BE525" s="97"/>
      <c r="BF525" s="97"/>
      <c r="BG525" s="97"/>
      <c r="BH525" s="97"/>
      <c r="CJ525" s="1"/>
    </row>
    <row r="526" spans="19:88" s="17" customFormat="1" ht="22.5" customHeight="1" x14ac:dyDescent="0.25">
      <c r="S526" s="1"/>
      <c r="V526" s="99"/>
      <c r="W526" s="99"/>
      <c r="AF526" s="1"/>
      <c r="AN526" s="1"/>
      <c r="AV526" s="1"/>
      <c r="AW526" s="97"/>
      <c r="AX526" s="97"/>
      <c r="AY526" s="97"/>
      <c r="AZ526" s="97"/>
      <c r="BA526" s="97"/>
      <c r="BB526" s="97"/>
      <c r="BC526" s="97"/>
      <c r="BD526" s="98"/>
      <c r="BE526" s="97"/>
      <c r="BF526" s="97"/>
      <c r="BG526" s="97"/>
      <c r="BH526" s="97"/>
      <c r="CJ526" s="1"/>
    </row>
    <row r="527" spans="19:88" s="17" customFormat="1" ht="22.5" customHeight="1" x14ac:dyDescent="0.25">
      <c r="S527" s="1"/>
      <c r="V527" s="99"/>
      <c r="W527" s="99"/>
      <c r="AF527" s="1"/>
      <c r="AN527" s="1"/>
      <c r="AV527" s="1"/>
      <c r="AW527" s="97"/>
      <c r="AX527" s="97"/>
      <c r="AY527" s="97"/>
      <c r="AZ527" s="97"/>
      <c r="BA527" s="97"/>
      <c r="BB527" s="97"/>
      <c r="BC527" s="97"/>
      <c r="BD527" s="98"/>
      <c r="BE527" s="97"/>
      <c r="BF527" s="97"/>
      <c r="BG527" s="97"/>
      <c r="BH527" s="97"/>
      <c r="CJ527" s="1"/>
    </row>
    <row r="528" spans="19:88" s="17" customFormat="1" ht="22.5" customHeight="1" x14ac:dyDescent="0.25">
      <c r="S528" s="1"/>
      <c r="V528" s="99"/>
      <c r="W528" s="99"/>
      <c r="AF528" s="1"/>
      <c r="AN528" s="1"/>
      <c r="AV528" s="1"/>
      <c r="AW528" s="97"/>
      <c r="AX528" s="97"/>
      <c r="AY528" s="97"/>
      <c r="AZ528" s="97"/>
      <c r="BA528" s="97"/>
      <c r="BB528" s="97"/>
      <c r="BC528" s="97"/>
      <c r="BD528" s="98"/>
      <c r="BE528" s="97"/>
      <c r="BF528" s="97"/>
      <c r="BG528" s="97"/>
      <c r="BH528" s="97"/>
      <c r="CJ528" s="1"/>
    </row>
    <row r="529" spans="19:88" s="17" customFormat="1" ht="22.5" customHeight="1" x14ac:dyDescent="0.25">
      <c r="S529" s="1"/>
      <c r="V529" s="99"/>
      <c r="W529" s="99"/>
      <c r="AF529" s="1"/>
      <c r="AN529" s="1"/>
      <c r="AV529" s="1"/>
      <c r="AW529" s="97"/>
      <c r="AX529" s="97"/>
      <c r="AY529" s="97"/>
      <c r="AZ529" s="97"/>
      <c r="BA529" s="97"/>
      <c r="BB529" s="97"/>
      <c r="BC529" s="97"/>
      <c r="BD529" s="98"/>
      <c r="BE529" s="97"/>
      <c r="BF529" s="97"/>
      <c r="BG529" s="97"/>
      <c r="BH529" s="97"/>
      <c r="CJ529" s="1"/>
    </row>
    <row r="530" spans="19:88" s="17" customFormat="1" ht="22.5" customHeight="1" x14ac:dyDescent="0.25">
      <c r="S530" s="1"/>
      <c r="V530" s="99"/>
      <c r="W530" s="99"/>
      <c r="AF530" s="1"/>
      <c r="AN530" s="1"/>
      <c r="AV530" s="1"/>
      <c r="AW530" s="97"/>
      <c r="AX530" s="97"/>
      <c r="AY530" s="97"/>
      <c r="AZ530" s="97"/>
      <c r="BA530" s="97"/>
      <c r="BB530" s="97"/>
      <c r="BC530" s="97"/>
      <c r="BD530" s="98"/>
      <c r="BE530" s="97"/>
      <c r="BF530" s="97"/>
      <c r="BG530" s="97"/>
      <c r="BH530" s="97"/>
      <c r="CJ530" s="1"/>
    </row>
    <row r="531" spans="19:88" s="17" customFormat="1" ht="22.5" customHeight="1" x14ac:dyDescent="0.25">
      <c r="S531" s="1"/>
      <c r="V531" s="99"/>
      <c r="W531" s="99"/>
      <c r="AF531" s="1"/>
      <c r="AN531" s="1"/>
      <c r="AV531" s="1"/>
      <c r="AW531" s="97"/>
      <c r="AX531" s="97"/>
      <c r="AY531" s="97"/>
      <c r="AZ531" s="97"/>
      <c r="BA531" s="97"/>
      <c r="BB531" s="97"/>
      <c r="BC531" s="97"/>
      <c r="BD531" s="98"/>
      <c r="BE531" s="97"/>
      <c r="BF531" s="97"/>
      <c r="BG531" s="97"/>
      <c r="BH531" s="97"/>
      <c r="CJ531" s="1"/>
    </row>
    <row r="532" spans="19:88" s="17" customFormat="1" ht="22.5" customHeight="1" x14ac:dyDescent="0.25">
      <c r="S532" s="1"/>
      <c r="V532" s="99"/>
      <c r="W532" s="99"/>
      <c r="AF532" s="1"/>
      <c r="AN532" s="1"/>
      <c r="AV532" s="1"/>
      <c r="AW532" s="97"/>
      <c r="AX532" s="97"/>
      <c r="AY532" s="97"/>
      <c r="AZ532" s="97"/>
      <c r="BA532" s="97"/>
      <c r="BB532" s="97"/>
      <c r="BC532" s="97"/>
      <c r="BD532" s="98"/>
      <c r="BE532" s="97"/>
      <c r="BF532" s="97"/>
      <c r="BG532" s="97"/>
      <c r="BH532" s="97"/>
      <c r="CJ532" s="1"/>
    </row>
    <row r="533" spans="19:88" s="17" customFormat="1" ht="22.5" customHeight="1" x14ac:dyDescent="0.25">
      <c r="S533" s="1"/>
      <c r="V533" s="99"/>
      <c r="W533" s="99"/>
      <c r="AF533" s="1"/>
      <c r="AN533" s="1"/>
      <c r="AV533" s="1"/>
      <c r="AW533" s="97"/>
      <c r="AX533" s="97"/>
      <c r="AY533" s="97"/>
      <c r="AZ533" s="97"/>
      <c r="BA533" s="97"/>
      <c r="BB533" s="97"/>
      <c r="BC533" s="97"/>
      <c r="BD533" s="98"/>
      <c r="BE533" s="97"/>
      <c r="BF533" s="97"/>
      <c r="BG533" s="97"/>
      <c r="BH533" s="97"/>
      <c r="CJ533" s="1"/>
    </row>
    <row r="534" spans="19:88" s="17" customFormat="1" ht="22.5" customHeight="1" x14ac:dyDescent="0.25">
      <c r="S534" s="1"/>
      <c r="V534" s="99"/>
      <c r="W534" s="99"/>
      <c r="AF534" s="1"/>
      <c r="AN534" s="1"/>
      <c r="AV534" s="1"/>
      <c r="AW534" s="97"/>
      <c r="AX534" s="97"/>
      <c r="AY534" s="97"/>
      <c r="AZ534" s="97"/>
      <c r="BA534" s="97"/>
      <c r="BB534" s="97"/>
      <c r="BC534" s="97"/>
      <c r="BD534" s="98"/>
      <c r="BE534" s="97"/>
      <c r="BF534" s="97"/>
      <c r="BG534" s="97"/>
      <c r="BH534" s="97"/>
      <c r="CJ534" s="1"/>
    </row>
    <row r="535" spans="19:88" s="17" customFormat="1" ht="22.5" customHeight="1" x14ac:dyDescent="0.25">
      <c r="S535" s="1"/>
      <c r="V535" s="99"/>
      <c r="W535" s="99"/>
      <c r="AF535" s="1"/>
      <c r="AN535" s="1"/>
      <c r="AV535" s="1"/>
      <c r="AW535" s="97"/>
      <c r="AX535" s="97"/>
      <c r="AY535" s="97"/>
      <c r="AZ535" s="97"/>
      <c r="BA535" s="97"/>
      <c r="BB535" s="97"/>
      <c r="BC535" s="97"/>
      <c r="BD535" s="98"/>
      <c r="BE535" s="97"/>
      <c r="BF535" s="97"/>
      <c r="BG535" s="97"/>
      <c r="BH535" s="97"/>
      <c r="CJ535" s="1"/>
    </row>
    <row r="536" spans="19:88" s="17" customFormat="1" ht="22.5" customHeight="1" x14ac:dyDescent="0.25">
      <c r="S536" s="1"/>
      <c r="V536" s="99"/>
      <c r="W536" s="99"/>
      <c r="AF536" s="1"/>
      <c r="AN536" s="1"/>
      <c r="AV536" s="1"/>
      <c r="AW536" s="97"/>
      <c r="AX536" s="97"/>
      <c r="AY536" s="97"/>
      <c r="AZ536" s="97"/>
      <c r="BA536" s="97"/>
      <c r="BB536" s="97"/>
      <c r="BC536" s="97"/>
      <c r="BD536" s="98"/>
      <c r="BE536" s="97"/>
      <c r="BF536" s="97"/>
      <c r="BG536" s="97"/>
      <c r="BH536" s="97"/>
      <c r="CJ536" s="1"/>
    </row>
    <row r="537" spans="19:88" s="17" customFormat="1" ht="22.5" customHeight="1" x14ac:dyDescent="0.25">
      <c r="S537" s="1"/>
      <c r="V537" s="99"/>
      <c r="W537" s="99"/>
      <c r="AF537" s="1"/>
      <c r="AN537" s="1"/>
      <c r="AV537" s="1"/>
      <c r="AW537" s="97"/>
      <c r="AX537" s="97"/>
      <c r="AY537" s="97"/>
      <c r="AZ537" s="97"/>
      <c r="BA537" s="97"/>
      <c r="BB537" s="97"/>
      <c r="BC537" s="97"/>
      <c r="BD537" s="98"/>
      <c r="BE537" s="97"/>
      <c r="BF537" s="97"/>
      <c r="BG537" s="97"/>
      <c r="BH537" s="97"/>
      <c r="CJ537" s="1"/>
    </row>
    <row r="538" spans="19:88" s="17" customFormat="1" ht="22.5" customHeight="1" x14ac:dyDescent="0.25">
      <c r="S538" s="1"/>
      <c r="V538" s="99"/>
      <c r="W538" s="99"/>
      <c r="AF538" s="1"/>
      <c r="AN538" s="1"/>
      <c r="AV538" s="1"/>
      <c r="AW538" s="97"/>
      <c r="AX538" s="97"/>
      <c r="AY538" s="97"/>
      <c r="AZ538" s="97"/>
      <c r="BA538" s="97"/>
      <c r="BB538" s="97"/>
      <c r="BC538" s="97"/>
      <c r="BD538" s="98"/>
      <c r="BE538" s="97"/>
      <c r="BF538" s="97"/>
      <c r="BG538" s="97"/>
      <c r="BH538" s="97"/>
      <c r="CJ538" s="1"/>
    </row>
    <row r="539" spans="19:88" s="17" customFormat="1" ht="22.5" customHeight="1" x14ac:dyDescent="0.25">
      <c r="S539" s="1"/>
      <c r="V539" s="99"/>
      <c r="W539" s="99"/>
      <c r="AF539" s="1"/>
      <c r="AN539" s="1"/>
      <c r="AV539" s="1"/>
      <c r="AW539" s="97"/>
      <c r="AX539" s="97"/>
      <c r="AY539" s="97"/>
      <c r="AZ539" s="97"/>
      <c r="BA539" s="97"/>
      <c r="BB539" s="97"/>
      <c r="BC539" s="97"/>
      <c r="BD539" s="98"/>
      <c r="BE539" s="97"/>
      <c r="BF539" s="97"/>
      <c r="BG539" s="97"/>
      <c r="BH539" s="97"/>
      <c r="CJ539" s="1"/>
    </row>
    <row r="540" spans="19:88" s="17" customFormat="1" ht="22.5" customHeight="1" x14ac:dyDescent="0.25">
      <c r="S540" s="1"/>
      <c r="V540" s="99"/>
      <c r="W540" s="99"/>
      <c r="AF540" s="1"/>
      <c r="AN540" s="1"/>
      <c r="AV540" s="1"/>
      <c r="AW540" s="97"/>
      <c r="AX540" s="97"/>
      <c r="AY540" s="97"/>
      <c r="AZ540" s="97"/>
      <c r="BA540" s="97"/>
      <c r="BB540" s="97"/>
      <c r="BC540" s="97"/>
      <c r="BD540" s="98"/>
      <c r="BE540" s="97"/>
      <c r="BF540" s="97"/>
      <c r="BG540" s="97"/>
      <c r="BH540" s="97"/>
      <c r="CJ540" s="1"/>
    </row>
    <row r="541" spans="19:88" s="17" customFormat="1" ht="22.5" customHeight="1" x14ac:dyDescent="0.25">
      <c r="S541" s="1"/>
      <c r="V541" s="99"/>
      <c r="W541" s="99"/>
      <c r="AF541" s="1"/>
      <c r="AN541" s="1"/>
      <c r="AV541" s="1"/>
      <c r="AW541" s="97"/>
      <c r="AX541" s="97"/>
      <c r="AY541" s="97"/>
      <c r="AZ541" s="97"/>
      <c r="BA541" s="97"/>
      <c r="BB541" s="97"/>
      <c r="BC541" s="97"/>
      <c r="BD541" s="98"/>
      <c r="BE541" s="97"/>
      <c r="BF541" s="97"/>
      <c r="BG541" s="97"/>
      <c r="BH541" s="97"/>
      <c r="CJ541" s="1"/>
    </row>
    <row r="542" spans="19:88" s="17" customFormat="1" ht="22.5" customHeight="1" x14ac:dyDescent="0.25">
      <c r="S542" s="1"/>
      <c r="V542" s="99"/>
      <c r="W542" s="99"/>
      <c r="AF542" s="1"/>
      <c r="AN542" s="1"/>
      <c r="AV542" s="1"/>
      <c r="AW542" s="97"/>
      <c r="AX542" s="97"/>
      <c r="AY542" s="97"/>
      <c r="AZ542" s="97"/>
      <c r="BA542" s="97"/>
      <c r="BB542" s="97"/>
      <c r="BC542" s="97"/>
      <c r="BD542" s="98"/>
      <c r="BE542" s="97"/>
      <c r="BF542" s="97"/>
      <c r="BG542" s="97"/>
      <c r="BH542" s="97"/>
      <c r="CJ542" s="1"/>
    </row>
    <row r="543" spans="19:88" s="17" customFormat="1" ht="22.5" customHeight="1" x14ac:dyDescent="0.25">
      <c r="S543" s="1"/>
      <c r="V543" s="99"/>
      <c r="W543" s="99"/>
      <c r="AF543" s="1"/>
      <c r="AN543" s="1"/>
      <c r="AV543" s="1"/>
      <c r="AW543" s="97"/>
      <c r="AX543" s="97"/>
      <c r="AY543" s="97"/>
      <c r="AZ543" s="97"/>
      <c r="BA543" s="97"/>
      <c r="BB543" s="97"/>
      <c r="BC543" s="97"/>
      <c r="BD543" s="98"/>
      <c r="BE543" s="97"/>
      <c r="BF543" s="97"/>
      <c r="BG543" s="97"/>
      <c r="BH543" s="97"/>
      <c r="CJ543" s="1"/>
    </row>
    <row r="544" spans="19:88" s="17" customFormat="1" ht="22.5" customHeight="1" x14ac:dyDescent="0.25">
      <c r="S544" s="1"/>
      <c r="V544" s="99"/>
      <c r="W544" s="99"/>
      <c r="AF544" s="1"/>
      <c r="AN544" s="1"/>
      <c r="AV544" s="1"/>
      <c r="AW544" s="97"/>
      <c r="AX544" s="97"/>
      <c r="AY544" s="97"/>
      <c r="AZ544" s="97"/>
      <c r="BA544" s="97"/>
      <c r="BB544" s="97"/>
      <c r="BC544" s="97"/>
      <c r="BD544" s="98"/>
      <c r="BE544" s="97"/>
      <c r="BF544" s="97"/>
      <c r="BG544" s="97"/>
      <c r="BH544" s="97"/>
      <c r="CJ544" s="1"/>
    </row>
    <row r="545" spans="19:88" s="17" customFormat="1" ht="22.5" customHeight="1" x14ac:dyDescent="0.25">
      <c r="S545" s="1"/>
      <c r="V545" s="99"/>
      <c r="W545" s="99"/>
      <c r="AF545" s="1"/>
      <c r="AN545" s="1"/>
      <c r="AV545" s="1"/>
      <c r="AW545" s="97"/>
      <c r="AX545" s="97"/>
      <c r="AY545" s="97"/>
      <c r="AZ545" s="97"/>
      <c r="BA545" s="97"/>
      <c r="BB545" s="97"/>
      <c r="BC545" s="97"/>
      <c r="BD545" s="98"/>
      <c r="BE545" s="97"/>
      <c r="BF545" s="97"/>
      <c r="BG545" s="97"/>
      <c r="BH545" s="97"/>
      <c r="CJ545" s="1"/>
    </row>
    <row r="546" spans="19:88" s="17" customFormat="1" ht="22.5" customHeight="1" x14ac:dyDescent="0.25">
      <c r="S546" s="1"/>
      <c r="V546" s="99"/>
      <c r="W546" s="99"/>
      <c r="AF546" s="1"/>
      <c r="AN546" s="1"/>
      <c r="AV546" s="1"/>
      <c r="AW546" s="97"/>
      <c r="AX546" s="97"/>
      <c r="AY546" s="97"/>
      <c r="AZ546" s="97"/>
      <c r="BA546" s="97"/>
      <c r="BB546" s="97"/>
      <c r="BC546" s="97"/>
      <c r="BD546" s="98"/>
      <c r="BE546" s="97"/>
      <c r="BF546" s="97"/>
      <c r="BG546" s="97"/>
      <c r="BH546" s="97"/>
      <c r="CJ546" s="1"/>
    </row>
    <row r="547" spans="19:88" s="17" customFormat="1" ht="22.5" customHeight="1" x14ac:dyDescent="0.25">
      <c r="S547" s="1"/>
      <c r="V547" s="99"/>
      <c r="W547" s="99"/>
      <c r="AF547" s="1"/>
      <c r="AN547" s="1"/>
      <c r="AV547" s="1"/>
      <c r="AW547" s="97"/>
      <c r="AX547" s="97"/>
      <c r="AY547" s="97"/>
      <c r="AZ547" s="97"/>
      <c r="BA547" s="97"/>
      <c r="BB547" s="97"/>
      <c r="BC547" s="97"/>
      <c r="BD547" s="98"/>
      <c r="BE547" s="97"/>
      <c r="BF547" s="97"/>
      <c r="BG547" s="97"/>
      <c r="BH547" s="97"/>
      <c r="CJ547" s="1"/>
    </row>
    <row r="548" spans="19:88" s="17" customFormat="1" ht="22.5" customHeight="1" x14ac:dyDescent="0.25">
      <c r="S548" s="1"/>
      <c r="V548" s="99"/>
      <c r="W548" s="99"/>
      <c r="AF548" s="1"/>
      <c r="AN548" s="1"/>
      <c r="AV548" s="1"/>
      <c r="AW548" s="97"/>
      <c r="AX548" s="97"/>
      <c r="AY548" s="97"/>
      <c r="AZ548" s="97"/>
      <c r="BA548" s="97"/>
      <c r="BB548" s="97"/>
      <c r="BC548" s="97"/>
      <c r="BD548" s="98"/>
      <c r="BE548" s="97"/>
      <c r="BF548" s="97"/>
      <c r="BG548" s="97"/>
      <c r="BH548" s="97"/>
      <c r="CJ548" s="1"/>
    </row>
    <row r="549" spans="19:88" s="17" customFormat="1" ht="22.5" customHeight="1" x14ac:dyDescent="0.25">
      <c r="S549" s="1"/>
      <c r="V549" s="99"/>
      <c r="W549" s="99"/>
      <c r="AF549" s="1"/>
      <c r="AN549" s="1"/>
      <c r="AV549" s="1"/>
      <c r="AW549" s="97"/>
      <c r="AX549" s="97"/>
      <c r="AY549" s="97"/>
      <c r="AZ549" s="97"/>
      <c r="BA549" s="97"/>
      <c r="BB549" s="97"/>
      <c r="BC549" s="97"/>
      <c r="BD549" s="98"/>
      <c r="BE549" s="97"/>
      <c r="BF549" s="97"/>
      <c r="BG549" s="97"/>
      <c r="BH549" s="97"/>
      <c r="CJ549" s="1"/>
    </row>
    <row r="550" spans="19:88" s="17" customFormat="1" ht="22.5" customHeight="1" x14ac:dyDescent="0.25">
      <c r="S550" s="1"/>
      <c r="V550" s="99"/>
      <c r="W550" s="99"/>
      <c r="AF550" s="1"/>
      <c r="AN550" s="1"/>
      <c r="AV550" s="1"/>
      <c r="AW550" s="97"/>
      <c r="AX550" s="97"/>
      <c r="AY550" s="97"/>
      <c r="AZ550" s="97"/>
      <c r="BA550" s="97"/>
      <c r="BB550" s="97"/>
      <c r="BC550" s="97"/>
      <c r="BD550" s="98"/>
      <c r="BE550" s="97"/>
      <c r="BF550" s="97"/>
      <c r="BG550" s="97"/>
      <c r="BH550" s="97"/>
      <c r="CJ550" s="1"/>
    </row>
    <row r="551" spans="19:88" s="17" customFormat="1" ht="22.5" customHeight="1" x14ac:dyDescent="0.25">
      <c r="S551" s="1"/>
      <c r="V551" s="99"/>
      <c r="W551" s="99"/>
      <c r="AF551" s="1"/>
      <c r="AN551" s="1"/>
      <c r="AV551" s="1"/>
      <c r="AW551" s="97"/>
      <c r="AX551" s="97"/>
      <c r="AY551" s="97"/>
      <c r="AZ551" s="97"/>
      <c r="BA551" s="97"/>
      <c r="BB551" s="97"/>
      <c r="BC551" s="97"/>
      <c r="BD551" s="98"/>
      <c r="BE551" s="97"/>
      <c r="BF551" s="97"/>
      <c r="BG551" s="97"/>
      <c r="BH551" s="97"/>
      <c r="CJ551" s="1"/>
    </row>
    <row r="552" spans="19:88" s="17" customFormat="1" ht="22.5" customHeight="1" x14ac:dyDescent="0.25">
      <c r="S552" s="1"/>
      <c r="V552" s="99"/>
      <c r="W552" s="99"/>
      <c r="AF552" s="1"/>
      <c r="AN552" s="1"/>
      <c r="AV552" s="1"/>
      <c r="AW552" s="97"/>
      <c r="AX552" s="97"/>
      <c r="AY552" s="97"/>
      <c r="AZ552" s="97"/>
      <c r="BA552" s="97"/>
      <c r="BB552" s="97"/>
      <c r="BC552" s="97"/>
      <c r="BD552" s="98"/>
      <c r="BE552" s="97"/>
      <c r="BF552" s="97"/>
      <c r="BG552" s="97"/>
      <c r="BH552" s="97"/>
      <c r="CJ552" s="1"/>
    </row>
    <row r="553" spans="19:88" s="17" customFormat="1" ht="22.5" customHeight="1" x14ac:dyDescent="0.25">
      <c r="S553" s="1"/>
      <c r="V553" s="99"/>
      <c r="W553" s="99"/>
      <c r="AF553" s="1"/>
      <c r="AN553" s="1"/>
      <c r="AV553" s="1"/>
      <c r="AW553" s="97"/>
      <c r="AX553" s="97"/>
      <c r="AY553" s="97"/>
      <c r="AZ553" s="97"/>
      <c r="BA553" s="97"/>
      <c r="BB553" s="97"/>
      <c r="BC553" s="97"/>
      <c r="BD553" s="98"/>
      <c r="BE553" s="97"/>
      <c r="BF553" s="97"/>
      <c r="BG553" s="97"/>
      <c r="BH553" s="97"/>
      <c r="CJ553" s="1"/>
    </row>
    <row r="554" spans="19:88" s="17" customFormat="1" ht="22.5" customHeight="1" x14ac:dyDescent="0.25">
      <c r="S554" s="1"/>
      <c r="V554" s="99"/>
      <c r="W554" s="99"/>
      <c r="AF554" s="1"/>
      <c r="AN554" s="1"/>
      <c r="AV554" s="1"/>
      <c r="AW554" s="97"/>
      <c r="AX554" s="97"/>
      <c r="AY554" s="97"/>
      <c r="AZ554" s="97"/>
      <c r="BA554" s="97"/>
      <c r="BB554" s="97"/>
      <c r="BC554" s="97"/>
      <c r="BD554" s="98"/>
      <c r="BE554" s="97"/>
      <c r="BF554" s="97"/>
      <c r="BG554" s="97"/>
      <c r="BH554" s="97"/>
      <c r="CJ554" s="1"/>
    </row>
    <row r="555" spans="19:88" s="17" customFormat="1" ht="22.5" customHeight="1" x14ac:dyDescent="0.25">
      <c r="S555" s="1"/>
      <c r="V555" s="99"/>
      <c r="W555" s="99"/>
      <c r="AF555" s="1"/>
      <c r="AN555" s="1"/>
      <c r="AV555" s="1"/>
      <c r="AW555" s="97"/>
      <c r="AX555" s="97"/>
      <c r="AY555" s="97"/>
      <c r="AZ555" s="97"/>
      <c r="BA555" s="97"/>
      <c r="BB555" s="97"/>
      <c r="BC555" s="97"/>
      <c r="BD555" s="98"/>
      <c r="BE555" s="97"/>
      <c r="BF555" s="97"/>
      <c r="BG555" s="97"/>
      <c r="BH555" s="97"/>
      <c r="CJ555" s="1"/>
    </row>
    <row r="556" spans="19:88" s="17" customFormat="1" ht="22.5" customHeight="1" x14ac:dyDescent="0.25">
      <c r="S556" s="1"/>
      <c r="V556" s="99"/>
      <c r="W556" s="99"/>
      <c r="AF556" s="1"/>
      <c r="AN556" s="1"/>
      <c r="AV556" s="1"/>
      <c r="AW556" s="97"/>
      <c r="AX556" s="97"/>
      <c r="AY556" s="97"/>
      <c r="AZ556" s="97"/>
      <c r="BA556" s="97"/>
      <c r="BB556" s="97"/>
      <c r="BC556" s="97"/>
      <c r="BD556" s="98"/>
      <c r="BE556" s="97"/>
      <c r="BF556" s="97"/>
      <c r="BG556" s="97"/>
      <c r="BH556" s="97"/>
      <c r="CJ556" s="1"/>
    </row>
    <row r="557" spans="19:88" s="17" customFormat="1" ht="22.5" customHeight="1" x14ac:dyDescent="0.25">
      <c r="S557" s="1"/>
      <c r="V557" s="99"/>
      <c r="W557" s="99"/>
      <c r="AF557" s="1"/>
      <c r="AN557" s="1"/>
      <c r="AV557" s="1"/>
      <c r="AW557" s="97"/>
      <c r="AX557" s="97"/>
      <c r="AY557" s="97"/>
      <c r="AZ557" s="97"/>
      <c r="BA557" s="97"/>
      <c r="BB557" s="97"/>
      <c r="BC557" s="97"/>
      <c r="BD557" s="98"/>
      <c r="BE557" s="97"/>
      <c r="BF557" s="97"/>
      <c r="BG557" s="97"/>
      <c r="BH557" s="97"/>
      <c r="CJ557" s="1"/>
    </row>
    <row r="558" spans="19:88" s="17" customFormat="1" ht="22.5" customHeight="1" x14ac:dyDescent="0.25">
      <c r="S558" s="1"/>
      <c r="V558" s="99"/>
      <c r="W558" s="99"/>
      <c r="AF558" s="1"/>
      <c r="AN558" s="1"/>
      <c r="AV558" s="1"/>
      <c r="AW558" s="97"/>
      <c r="AX558" s="97"/>
      <c r="AY558" s="97"/>
      <c r="AZ558" s="97"/>
      <c r="BA558" s="97"/>
      <c r="BB558" s="97"/>
      <c r="BC558" s="97"/>
      <c r="BD558" s="98"/>
      <c r="BE558" s="97"/>
      <c r="BF558" s="97"/>
      <c r="BG558" s="97"/>
      <c r="BH558" s="97"/>
      <c r="CJ558" s="1"/>
    </row>
    <row r="559" spans="19:88" s="17" customFormat="1" ht="22.5" customHeight="1" x14ac:dyDescent="0.25">
      <c r="S559" s="1"/>
      <c r="V559" s="99"/>
      <c r="W559" s="99"/>
      <c r="AF559" s="1"/>
      <c r="AN559" s="1"/>
      <c r="AV559" s="1"/>
      <c r="AW559" s="97"/>
      <c r="AX559" s="97"/>
      <c r="AY559" s="97"/>
      <c r="AZ559" s="97"/>
      <c r="BA559" s="97"/>
      <c r="BB559" s="97"/>
      <c r="BC559" s="97"/>
      <c r="BD559" s="98"/>
      <c r="BE559" s="97"/>
      <c r="BF559" s="97"/>
      <c r="BG559" s="97"/>
      <c r="BH559" s="97"/>
      <c r="CJ559" s="1"/>
    </row>
    <row r="560" spans="19:88" s="17" customFormat="1" ht="22.5" customHeight="1" x14ac:dyDescent="0.25">
      <c r="S560" s="1"/>
      <c r="V560" s="99"/>
      <c r="W560" s="99"/>
      <c r="AF560" s="1"/>
      <c r="AN560" s="1"/>
      <c r="AV560" s="1"/>
      <c r="AW560" s="97"/>
      <c r="AX560" s="97"/>
      <c r="AY560" s="97"/>
      <c r="AZ560" s="97"/>
      <c r="BA560" s="97"/>
      <c r="BB560" s="97"/>
      <c r="BC560" s="97"/>
      <c r="BD560" s="98"/>
      <c r="BE560" s="97"/>
      <c r="BF560" s="97"/>
      <c r="BG560" s="97"/>
      <c r="BH560" s="97"/>
      <c r="CJ560" s="1"/>
    </row>
    <row r="561" spans="19:88" s="17" customFormat="1" ht="22.5" customHeight="1" x14ac:dyDescent="0.25">
      <c r="S561" s="1"/>
      <c r="V561" s="99"/>
      <c r="W561" s="99"/>
      <c r="AF561" s="1"/>
      <c r="AN561" s="1"/>
      <c r="AV561" s="1"/>
      <c r="AW561" s="97"/>
      <c r="AX561" s="97"/>
      <c r="AY561" s="97"/>
      <c r="AZ561" s="97"/>
      <c r="BA561" s="97"/>
      <c r="BB561" s="97"/>
      <c r="BC561" s="97"/>
      <c r="BD561" s="98"/>
      <c r="BE561" s="97"/>
      <c r="BF561" s="97"/>
      <c r="BG561" s="97"/>
      <c r="BH561" s="97"/>
      <c r="CJ561" s="1"/>
    </row>
    <row r="562" spans="19:88" s="17" customFormat="1" ht="22.5" customHeight="1" x14ac:dyDescent="0.25">
      <c r="S562" s="1"/>
      <c r="V562" s="99"/>
      <c r="W562" s="99"/>
      <c r="AF562" s="1"/>
      <c r="AN562" s="1"/>
      <c r="AV562" s="1"/>
      <c r="AW562" s="97"/>
      <c r="AX562" s="97"/>
      <c r="AY562" s="97"/>
      <c r="AZ562" s="97"/>
      <c r="BA562" s="97"/>
      <c r="BB562" s="97"/>
      <c r="BC562" s="97"/>
      <c r="BD562" s="98"/>
      <c r="BE562" s="97"/>
      <c r="BF562" s="97"/>
      <c r="BG562" s="97"/>
      <c r="BH562" s="97"/>
      <c r="CJ562" s="1"/>
    </row>
    <row r="563" spans="19:88" s="17" customFormat="1" ht="22.5" customHeight="1" x14ac:dyDescent="0.25">
      <c r="S563" s="1"/>
      <c r="V563" s="99"/>
      <c r="W563" s="99"/>
      <c r="AF563" s="1"/>
      <c r="AN563" s="1"/>
      <c r="AV563" s="1"/>
      <c r="AW563" s="97"/>
      <c r="AX563" s="97"/>
      <c r="AY563" s="97"/>
      <c r="AZ563" s="97"/>
      <c r="BA563" s="97"/>
      <c r="BB563" s="97"/>
      <c r="BC563" s="97"/>
      <c r="BD563" s="98"/>
      <c r="BE563" s="97"/>
      <c r="BF563" s="97"/>
      <c r="BG563" s="97"/>
      <c r="BH563" s="97"/>
      <c r="CJ563" s="1"/>
    </row>
    <row r="564" spans="19:88" s="17" customFormat="1" ht="22.5" customHeight="1" x14ac:dyDescent="0.25">
      <c r="S564" s="1"/>
      <c r="V564" s="99"/>
      <c r="W564" s="99"/>
      <c r="AF564" s="1"/>
      <c r="AN564" s="1"/>
      <c r="AV564" s="1"/>
      <c r="AW564" s="97"/>
      <c r="AX564" s="97"/>
      <c r="AY564" s="97"/>
      <c r="AZ564" s="97"/>
      <c r="BA564" s="97"/>
      <c r="BB564" s="97"/>
      <c r="BC564" s="97"/>
      <c r="BD564" s="98"/>
      <c r="BE564" s="97"/>
      <c r="BF564" s="97"/>
      <c r="BG564" s="97"/>
      <c r="BH564" s="97"/>
      <c r="CJ564" s="1"/>
    </row>
    <row r="565" spans="19:88" s="17" customFormat="1" ht="22.5" customHeight="1" x14ac:dyDescent="0.25">
      <c r="S565" s="1"/>
      <c r="V565" s="99"/>
      <c r="W565" s="99"/>
      <c r="AF565" s="1"/>
      <c r="AN565" s="1"/>
      <c r="AV565" s="1"/>
      <c r="AW565" s="97"/>
      <c r="AX565" s="97"/>
      <c r="AY565" s="97"/>
      <c r="AZ565" s="97"/>
      <c r="BA565" s="97"/>
      <c r="BB565" s="97"/>
      <c r="BC565" s="97"/>
      <c r="BD565" s="98"/>
      <c r="BE565" s="97"/>
      <c r="BF565" s="97"/>
      <c r="BG565" s="97"/>
      <c r="BH565" s="97"/>
      <c r="CJ565" s="1"/>
    </row>
    <row r="566" spans="19:88" s="17" customFormat="1" ht="22.5" customHeight="1" x14ac:dyDescent="0.25">
      <c r="S566" s="1"/>
      <c r="V566" s="99"/>
      <c r="W566" s="99"/>
      <c r="AF566" s="1"/>
      <c r="AN566" s="1"/>
      <c r="AV566" s="1"/>
      <c r="AW566" s="97"/>
      <c r="AX566" s="97"/>
      <c r="AY566" s="97"/>
      <c r="AZ566" s="97"/>
      <c r="BA566" s="97"/>
      <c r="BB566" s="97"/>
      <c r="BC566" s="97"/>
      <c r="BD566" s="98"/>
      <c r="BE566" s="97"/>
      <c r="BF566" s="97"/>
      <c r="BG566" s="97"/>
      <c r="BH566" s="97"/>
      <c r="CJ566" s="1"/>
    </row>
    <row r="567" spans="19:88" s="17" customFormat="1" ht="22.5" customHeight="1" x14ac:dyDescent="0.25">
      <c r="S567" s="1"/>
      <c r="V567" s="99"/>
      <c r="W567" s="99"/>
      <c r="AF567" s="1"/>
      <c r="AN567" s="1"/>
      <c r="AV567" s="1"/>
      <c r="AW567" s="97"/>
      <c r="AX567" s="97"/>
      <c r="AY567" s="97"/>
      <c r="AZ567" s="97"/>
      <c r="BA567" s="97"/>
      <c r="BB567" s="97"/>
      <c r="BC567" s="97"/>
      <c r="BD567" s="98"/>
      <c r="BE567" s="97"/>
      <c r="BF567" s="97"/>
      <c r="BG567" s="97"/>
      <c r="BH567" s="97"/>
      <c r="CJ567" s="1"/>
    </row>
    <row r="568" spans="19:88" s="17" customFormat="1" ht="22.5" customHeight="1" x14ac:dyDescent="0.25">
      <c r="S568" s="1"/>
      <c r="V568" s="99"/>
      <c r="W568" s="99"/>
      <c r="AF568" s="1"/>
      <c r="AN568" s="1"/>
      <c r="AV568" s="1"/>
      <c r="AW568" s="97"/>
      <c r="AX568" s="97"/>
      <c r="AY568" s="97"/>
      <c r="AZ568" s="97"/>
      <c r="BA568" s="97"/>
      <c r="BB568" s="97"/>
      <c r="BC568" s="97"/>
      <c r="BD568" s="98"/>
      <c r="BE568" s="97"/>
      <c r="BF568" s="97"/>
      <c r="BG568" s="97"/>
      <c r="BH568" s="97"/>
      <c r="CJ568" s="1"/>
    </row>
    <row r="569" spans="19:88" s="17" customFormat="1" ht="22.5" customHeight="1" x14ac:dyDescent="0.25">
      <c r="S569" s="1"/>
      <c r="V569" s="99"/>
      <c r="W569" s="99"/>
      <c r="AF569" s="1"/>
      <c r="AN569" s="1"/>
      <c r="AV569" s="1"/>
      <c r="AW569" s="97"/>
      <c r="AX569" s="97"/>
      <c r="AY569" s="97"/>
      <c r="AZ569" s="97"/>
      <c r="BA569" s="97"/>
      <c r="BB569" s="97"/>
      <c r="BC569" s="97"/>
      <c r="BD569" s="98"/>
      <c r="BE569" s="97"/>
      <c r="BF569" s="97"/>
      <c r="BG569" s="97"/>
      <c r="BH569" s="97"/>
      <c r="CJ569" s="1"/>
    </row>
    <row r="570" spans="19:88" s="17" customFormat="1" ht="22.5" customHeight="1" x14ac:dyDescent="0.25">
      <c r="S570" s="1"/>
      <c r="V570" s="99"/>
      <c r="W570" s="99"/>
      <c r="AF570" s="1"/>
      <c r="AN570" s="1"/>
      <c r="AV570" s="1"/>
      <c r="AW570" s="97"/>
      <c r="AX570" s="97"/>
      <c r="AY570" s="97"/>
      <c r="AZ570" s="97"/>
      <c r="BA570" s="97"/>
      <c r="BB570" s="97"/>
      <c r="BC570" s="97"/>
      <c r="BD570" s="98"/>
      <c r="BE570" s="97"/>
      <c r="BF570" s="97"/>
      <c r="BG570" s="97"/>
      <c r="BH570" s="97"/>
      <c r="CJ570" s="1"/>
    </row>
    <row r="571" spans="19:88" s="17" customFormat="1" ht="22.5" customHeight="1" x14ac:dyDescent="0.25">
      <c r="S571" s="1"/>
      <c r="V571" s="99"/>
      <c r="W571" s="99"/>
      <c r="AF571" s="1"/>
      <c r="AN571" s="1"/>
      <c r="AV571" s="1"/>
      <c r="AW571" s="97"/>
      <c r="AX571" s="97"/>
      <c r="AY571" s="97"/>
      <c r="AZ571" s="97"/>
      <c r="BA571" s="97"/>
      <c r="BB571" s="97"/>
      <c r="BC571" s="97"/>
      <c r="BD571" s="98"/>
      <c r="BE571" s="97"/>
      <c r="BF571" s="97"/>
      <c r="BG571" s="97"/>
      <c r="BH571" s="97"/>
      <c r="CJ571" s="1"/>
    </row>
    <row r="572" spans="19:88" s="17" customFormat="1" ht="22.5" customHeight="1" x14ac:dyDescent="0.25">
      <c r="S572" s="1"/>
      <c r="V572" s="99"/>
      <c r="W572" s="99"/>
      <c r="AF572" s="1"/>
      <c r="AN572" s="1"/>
      <c r="AV572" s="1"/>
      <c r="AW572" s="97"/>
      <c r="AX572" s="97"/>
      <c r="AY572" s="97"/>
      <c r="AZ572" s="97"/>
      <c r="BA572" s="97"/>
      <c r="BB572" s="97"/>
      <c r="BC572" s="97"/>
      <c r="BD572" s="98"/>
      <c r="BE572" s="97"/>
      <c r="BF572" s="97"/>
      <c r="BG572" s="97"/>
      <c r="BH572" s="97"/>
      <c r="CJ572" s="1"/>
    </row>
    <row r="573" spans="19:88" s="17" customFormat="1" ht="22.5" customHeight="1" x14ac:dyDescent="0.25">
      <c r="S573" s="1"/>
      <c r="V573" s="99"/>
      <c r="W573" s="99"/>
      <c r="AF573" s="1"/>
      <c r="AN573" s="1"/>
      <c r="AV573" s="1"/>
      <c r="AW573" s="97"/>
      <c r="AX573" s="97"/>
      <c r="AY573" s="97"/>
      <c r="AZ573" s="97"/>
      <c r="BA573" s="97"/>
      <c r="BB573" s="97"/>
      <c r="BC573" s="97"/>
      <c r="BD573" s="98"/>
      <c r="BE573" s="97"/>
      <c r="BF573" s="97"/>
      <c r="BG573" s="97"/>
      <c r="BH573" s="97"/>
      <c r="CJ573" s="1"/>
    </row>
    <row r="574" spans="19:88" s="17" customFormat="1" ht="22.5" customHeight="1" x14ac:dyDescent="0.25">
      <c r="S574" s="1"/>
      <c r="V574" s="99"/>
      <c r="W574" s="99"/>
      <c r="AF574" s="1"/>
      <c r="AN574" s="1"/>
      <c r="AV574" s="1"/>
      <c r="AW574" s="97"/>
      <c r="AX574" s="97"/>
      <c r="AY574" s="97"/>
      <c r="AZ574" s="97"/>
      <c r="BA574" s="97"/>
      <c r="BB574" s="97"/>
      <c r="BC574" s="97"/>
      <c r="BD574" s="98"/>
      <c r="BE574" s="97"/>
      <c r="BF574" s="97"/>
      <c r="BG574" s="97"/>
      <c r="BH574" s="97"/>
      <c r="CJ574" s="1"/>
    </row>
    <row r="575" spans="19:88" s="17" customFormat="1" ht="22.5" customHeight="1" x14ac:dyDescent="0.25">
      <c r="S575" s="1"/>
      <c r="V575" s="99"/>
      <c r="W575" s="99"/>
      <c r="AF575" s="1"/>
      <c r="AN575" s="1"/>
      <c r="AV575" s="1"/>
      <c r="AW575" s="97"/>
      <c r="AX575" s="97"/>
      <c r="AY575" s="97"/>
      <c r="AZ575" s="97"/>
      <c r="BA575" s="97"/>
      <c r="BB575" s="97"/>
      <c r="BC575" s="97"/>
      <c r="BD575" s="98"/>
      <c r="BE575" s="97"/>
      <c r="BF575" s="97"/>
      <c r="BG575" s="97"/>
      <c r="BH575" s="97"/>
      <c r="CJ575" s="1"/>
    </row>
    <row r="576" spans="19:88" s="17" customFormat="1" ht="22.5" customHeight="1" x14ac:dyDescent="0.25">
      <c r="S576" s="1"/>
      <c r="V576" s="99"/>
      <c r="W576" s="99"/>
      <c r="AF576" s="1"/>
      <c r="AN576" s="1"/>
      <c r="AV576" s="1"/>
      <c r="AW576" s="97"/>
      <c r="AX576" s="97"/>
      <c r="AY576" s="97"/>
      <c r="AZ576" s="97"/>
      <c r="BA576" s="97"/>
      <c r="BB576" s="97"/>
      <c r="BC576" s="97"/>
      <c r="BD576" s="98"/>
      <c r="BE576" s="97"/>
      <c r="BF576" s="97"/>
      <c r="BG576" s="97"/>
      <c r="BH576" s="97"/>
      <c r="CJ576" s="1"/>
    </row>
    <row r="577" spans="19:88" s="17" customFormat="1" ht="22.5" customHeight="1" x14ac:dyDescent="0.25">
      <c r="S577" s="1"/>
      <c r="V577" s="99"/>
      <c r="W577" s="99"/>
      <c r="AF577" s="1"/>
      <c r="AN577" s="1"/>
      <c r="AV577" s="1"/>
      <c r="AW577" s="97"/>
      <c r="AX577" s="97"/>
      <c r="AY577" s="97"/>
      <c r="AZ577" s="97"/>
      <c r="BA577" s="97"/>
      <c r="BB577" s="97"/>
      <c r="BC577" s="97"/>
      <c r="BD577" s="98"/>
      <c r="BE577" s="97"/>
      <c r="BF577" s="97"/>
      <c r="BG577" s="97"/>
      <c r="BH577" s="97"/>
      <c r="CJ577" s="1"/>
    </row>
    <row r="578" spans="19:88" s="17" customFormat="1" ht="22.5" customHeight="1" x14ac:dyDescent="0.25">
      <c r="S578" s="1"/>
      <c r="V578" s="99"/>
      <c r="W578" s="99"/>
      <c r="AF578" s="1"/>
      <c r="AN578" s="1"/>
      <c r="AV578" s="1"/>
      <c r="AW578" s="97"/>
      <c r="AX578" s="97"/>
      <c r="AY578" s="97"/>
      <c r="AZ578" s="97"/>
      <c r="BA578" s="97"/>
      <c r="BB578" s="97"/>
      <c r="BC578" s="97"/>
      <c r="BD578" s="98"/>
      <c r="BE578" s="97"/>
      <c r="BF578" s="97"/>
      <c r="BG578" s="97"/>
      <c r="BH578" s="97"/>
      <c r="CJ578" s="1"/>
    </row>
    <row r="579" spans="19:88" s="17" customFormat="1" ht="22.5" customHeight="1" x14ac:dyDescent="0.25">
      <c r="S579" s="1"/>
      <c r="V579" s="99"/>
      <c r="W579" s="99"/>
      <c r="AF579" s="1"/>
      <c r="AN579" s="1"/>
      <c r="AV579" s="1"/>
      <c r="AW579" s="97"/>
      <c r="AX579" s="97"/>
      <c r="AY579" s="97"/>
      <c r="AZ579" s="97"/>
      <c r="BA579" s="97"/>
      <c r="BB579" s="97"/>
      <c r="BC579" s="97"/>
      <c r="BD579" s="98"/>
      <c r="BE579" s="97"/>
      <c r="BF579" s="97"/>
      <c r="BG579" s="97"/>
      <c r="BH579" s="97"/>
      <c r="CJ579" s="1"/>
    </row>
    <row r="580" spans="19:88" s="17" customFormat="1" ht="22.5" customHeight="1" x14ac:dyDescent="0.25">
      <c r="S580" s="1"/>
      <c r="V580" s="99"/>
      <c r="W580" s="99"/>
      <c r="AF580" s="1"/>
      <c r="AN580" s="1"/>
      <c r="AV580" s="1"/>
      <c r="AW580" s="97"/>
      <c r="AX580" s="97"/>
      <c r="AY580" s="97"/>
      <c r="AZ580" s="97"/>
      <c r="BA580" s="97"/>
      <c r="BB580" s="97"/>
      <c r="BC580" s="97"/>
      <c r="BD580" s="98"/>
      <c r="BE580" s="97"/>
      <c r="BF580" s="97"/>
      <c r="BG580" s="97"/>
      <c r="BH580" s="97"/>
      <c r="CJ580" s="1"/>
    </row>
    <row r="581" spans="19:88" s="17" customFormat="1" ht="22.5" customHeight="1" x14ac:dyDescent="0.25">
      <c r="S581" s="1"/>
      <c r="V581" s="99"/>
      <c r="W581" s="99"/>
      <c r="AF581" s="1"/>
      <c r="AN581" s="1"/>
      <c r="AV581" s="1"/>
      <c r="AW581" s="97"/>
      <c r="AX581" s="97"/>
      <c r="AY581" s="97"/>
      <c r="AZ581" s="97"/>
      <c r="BA581" s="97"/>
      <c r="BB581" s="97"/>
      <c r="BC581" s="97"/>
      <c r="BD581" s="98"/>
      <c r="BE581" s="97"/>
      <c r="BF581" s="97"/>
      <c r="BG581" s="97"/>
      <c r="BH581" s="97"/>
      <c r="CJ581" s="1"/>
    </row>
    <row r="582" spans="19:88" s="17" customFormat="1" ht="22.5" customHeight="1" x14ac:dyDescent="0.25">
      <c r="S582" s="1"/>
      <c r="V582" s="99"/>
      <c r="W582" s="99"/>
      <c r="AF582" s="1"/>
      <c r="AN582" s="1"/>
      <c r="AV582" s="1"/>
      <c r="AW582" s="97"/>
      <c r="AX582" s="97"/>
      <c r="AY582" s="97"/>
      <c r="AZ582" s="97"/>
      <c r="BA582" s="97"/>
      <c r="BB582" s="97"/>
      <c r="BC582" s="97"/>
      <c r="BD582" s="98"/>
      <c r="BE582" s="97"/>
      <c r="BF582" s="97"/>
      <c r="BG582" s="97"/>
      <c r="BH582" s="97"/>
      <c r="CJ582" s="1"/>
    </row>
  </sheetData>
  <sheetProtection algorithmName="SHA-512" hashValue="MzPnBYNL+FeE/TNDzd8Bqhyl8isE6DKcxxCgVGNXpj7SAfhfOVk/g3uAQvqh0rxfDu6t+5sr/nu/SlPCermJwQ==" saltValue="wQS4y86x+iscaq+RKZ/uQA==" spinCount="100000" sheet="1" objects="1" selectLockedCells="1"/>
  <mergeCells count="857">
    <mergeCell ref="Y43:Z43"/>
    <mergeCell ref="AC43:AD43"/>
    <mergeCell ref="AG43:AH43"/>
    <mergeCell ref="AK43:AL43"/>
    <mergeCell ref="AO43:AP43"/>
    <mergeCell ref="AS43:AT43"/>
    <mergeCell ref="AW43:AX43"/>
    <mergeCell ref="BA43:BB43"/>
    <mergeCell ref="BE41:BF41"/>
    <mergeCell ref="CC43:CD43"/>
    <mergeCell ref="CG43:CH43"/>
    <mergeCell ref="BE43:BF43"/>
    <mergeCell ref="BI43:BJ43"/>
    <mergeCell ref="BM43:BN43"/>
    <mergeCell ref="BQ43:BR43"/>
    <mergeCell ref="BU43:BV43"/>
    <mergeCell ref="BY43:BZ43"/>
    <mergeCell ref="CC41:CD41"/>
    <mergeCell ref="CG41:CH41"/>
    <mergeCell ref="BI41:BJ41"/>
    <mergeCell ref="BM41:BN41"/>
    <mergeCell ref="BQ41:BR41"/>
    <mergeCell ref="BU41:BV41"/>
    <mergeCell ref="BY41:BZ41"/>
    <mergeCell ref="CG40:CJ40"/>
    <mergeCell ref="Y41:Z41"/>
    <mergeCell ref="AC41:AD41"/>
    <mergeCell ref="AG41:AH41"/>
    <mergeCell ref="AK41:AL41"/>
    <mergeCell ref="AO41:AP41"/>
    <mergeCell ref="AS41:AT41"/>
    <mergeCell ref="AW41:AX41"/>
    <mergeCell ref="BA41:BB41"/>
    <mergeCell ref="CG39:CH39"/>
    <mergeCell ref="Q40:U40"/>
    <mergeCell ref="AC40:AF40"/>
    <mergeCell ref="AK40:AN40"/>
    <mergeCell ref="AS40:AV40"/>
    <mergeCell ref="BA40:BD40"/>
    <mergeCell ref="BI40:BL40"/>
    <mergeCell ref="BQ40:BT40"/>
    <mergeCell ref="BA39:BB39"/>
    <mergeCell ref="BE39:BF39"/>
    <mergeCell ref="BI39:BJ39"/>
    <mergeCell ref="BM39:BN39"/>
    <mergeCell ref="BQ39:BR39"/>
    <mergeCell ref="BU39:BV39"/>
    <mergeCell ref="Y39:Z39"/>
    <mergeCell ref="AC39:AD39"/>
    <mergeCell ref="AG39:AH39"/>
    <mergeCell ref="AK39:AL39"/>
    <mergeCell ref="AO39:AP39"/>
    <mergeCell ref="AS39:AT39"/>
    <mergeCell ref="AW39:AX39"/>
    <mergeCell ref="BY39:BZ39"/>
    <mergeCell ref="CC39:CD39"/>
    <mergeCell ref="BY40:CB40"/>
    <mergeCell ref="BQ38:BT38"/>
    <mergeCell ref="BY38:CB38"/>
    <mergeCell ref="CG38:CJ38"/>
    <mergeCell ref="Y37:Z37"/>
    <mergeCell ref="AC37:AD37"/>
    <mergeCell ref="AG37:AH37"/>
    <mergeCell ref="AK37:AL37"/>
    <mergeCell ref="AO37:AP37"/>
    <mergeCell ref="AS37:AT37"/>
    <mergeCell ref="BU37:BV37"/>
    <mergeCell ref="BY37:BZ37"/>
    <mergeCell ref="CC37:CD37"/>
    <mergeCell ref="CG37:CH37"/>
    <mergeCell ref="BM37:BN37"/>
    <mergeCell ref="BQ37:BR37"/>
    <mergeCell ref="Q38:U38"/>
    <mergeCell ref="AC38:AF38"/>
    <mergeCell ref="AK38:AN38"/>
    <mergeCell ref="AS38:AV38"/>
    <mergeCell ref="BA38:BD38"/>
    <mergeCell ref="BI38:BL38"/>
    <mergeCell ref="AW37:AX37"/>
    <mergeCell ref="BA37:BB37"/>
    <mergeCell ref="BE37:BF37"/>
    <mergeCell ref="BI37:BJ37"/>
    <mergeCell ref="BQ35:BR35"/>
    <mergeCell ref="BU35:BV35"/>
    <mergeCell ref="BY35:BZ35"/>
    <mergeCell ref="CC35:CD35"/>
    <mergeCell ref="CG35:CH35"/>
    <mergeCell ref="Q36:U36"/>
    <mergeCell ref="AC36:AF36"/>
    <mergeCell ref="AK36:AN36"/>
    <mergeCell ref="AS36:AV36"/>
    <mergeCell ref="BA36:BD36"/>
    <mergeCell ref="AS35:AT35"/>
    <mergeCell ref="AW35:AX35"/>
    <mergeCell ref="BA35:BB35"/>
    <mergeCell ref="BE35:BF35"/>
    <mergeCell ref="BI35:BJ35"/>
    <mergeCell ref="BM35:BN35"/>
    <mergeCell ref="BI36:BL36"/>
    <mergeCell ref="BQ36:BT36"/>
    <mergeCell ref="BY36:CB36"/>
    <mergeCell ref="CG36:CJ36"/>
    <mergeCell ref="CE33:CE34"/>
    <mergeCell ref="CF33:CF34"/>
    <mergeCell ref="BQ34:BT34"/>
    <mergeCell ref="BY34:CB34"/>
    <mergeCell ref="CG34:CJ34"/>
    <mergeCell ref="Y35:Z35"/>
    <mergeCell ref="AC35:AD35"/>
    <mergeCell ref="AG35:AH35"/>
    <mergeCell ref="AK35:AL35"/>
    <mergeCell ref="AO35:AP35"/>
    <mergeCell ref="BU33:BU34"/>
    <mergeCell ref="BV33:BV34"/>
    <mergeCell ref="BW33:BW34"/>
    <mergeCell ref="BX33:BX34"/>
    <mergeCell ref="CC33:CC34"/>
    <mergeCell ref="CD33:CD34"/>
    <mergeCell ref="BG33:BG34"/>
    <mergeCell ref="BH33:BH34"/>
    <mergeCell ref="BM33:BM34"/>
    <mergeCell ref="BN33:BN34"/>
    <mergeCell ref="BO33:BO34"/>
    <mergeCell ref="BP33:BP34"/>
    <mergeCell ref="AW33:AW34"/>
    <mergeCell ref="AX33:AX34"/>
    <mergeCell ref="AY33:AY34"/>
    <mergeCell ref="AZ33:AZ34"/>
    <mergeCell ref="BE33:BE34"/>
    <mergeCell ref="BF33:BF34"/>
    <mergeCell ref="AI33:AI34"/>
    <mergeCell ref="AJ33:AJ34"/>
    <mergeCell ref="AO33:AO34"/>
    <mergeCell ref="AP33:AP34"/>
    <mergeCell ref="AQ33:AQ34"/>
    <mergeCell ref="AR33:AR34"/>
    <mergeCell ref="Z33:Z34"/>
    <mergeCell ref="AA33:AA34"/>
    <mergeCell ref="AB33:AB34"/>
    <mergeCell ref="AG33:AG34"/>
    <mergeCell ref="AH33:AH34"/>
    <mergeCell ref="I33:I34"/>
    <mergeCell ref="J33:J34"/>
    <mergeCell ref="K33:K34"/>
    <mergeCell ref="L33:L34"/>
    <mergeCell ref="M33:M34"/>
    <mergeCell ref="N33:N34"/>
    <mergeCell ref="CE31:CE32"/>
    <mergeCell ref="CF31:CF32"/>
    <mergeCell ref="A33:A34"/>
    <mergeCell ref="B33:B34"/>
    <mergeCell ref="C33:C34"/>
    <mergeCell ref="D33:D34"/>
    <mergeCell ref="E33:E34"/>
    <mergeCell ref="F33:F34"/>
    <mergeCell ref="G33:G34"/>
    <mergeCell ref="H33:H34"/>
    <mergeCell ref="BU31:BU32"/>
    <mergeCell ref="BV31:BV32"/>
    <mergeCell ref="BW31:BW32"/>
    <mergeCell ref="BX31:BX32"/>
    <mergeCell ref="CC31:CC32"/>
    <mergeCell ref="CD31:CD32"/>
    <mergeCell ref="BG31:BG32"/>
    <mergeCell ref="BH31:BH32"/>
    <mergeCell ref="BM31:BM32"/>
    <mergeCell ref="BN31:BN32"/>
    <mergeCell ref="BO31:BO32"/>
    <mergeCell ref="BP31:BP32"/>
    <mergeCell ref="AW31:AW32"/>
    <mergeCell ref="AX31:AX32"/>
    <mergeCell ref="BQ30:BR30"/>
    <mergeCell ref="BU30:BV30"/>
    <mergeCell ref="BY30:BZ30"/>
    <mergeCell ref="Y31:Y32"/>
    <mergeCell ref="Z31:Z32"/>
    <mergeCell ref="AA31:AA32"/>
    <mergeCell ref="AB31:AB32"/>
    <mergeCell ref="AG31:AG32"/>
    <mergeCell ref="AH31:AH32"/>
    <mergeCell ref="AY31:AY32"/>
    <mergeCell ref="AZ31:AZ32"/>
    <mergeCell ref="BE31:BE32"/>
    <mergeCell ref="BF31:BF32"/>
    <mergeCell ref="AI31:AI32"/>
    <mergeCell ref="AJ31:AJ32"/>
    <mergeCell ref="AO31:AO32"/>
    <mergeCell ref="AP31:AP32"/>
    <mergeCell ref="AQ31:AQ32"/>
    <mergeCell ref="AR31:AR32"/>
    <mergeCell ref="A31:A32"/>
    <mergeCell ref="B31:B32"/>
    <mergeCell ref="C31:C32"/>
    <mergeCell ref="D31:D32"/>
    <mergeCell ref="E31:E32"/>
    <mergeCell ref="AS30:AT30"/>
    <mergeCell ref="AW30:AX30"/>
    <mergeCell ref="BA30:BB30"/>
    <mergeCell ref="BE30:BF30"/>
    <mergeCell ref="F31:F32"/>
    <mergeCell ref="G31:G32"/>
    <mergeCell ref="H31:H32"/>
    <mergeCell ref="I31:I32"/>
    <mergeCell ref="J31:J32"/>
    <mergeCell ref="K31:K32"/>
    <mergeCell ref="L31:L32"/>
    <mergeCell ref="M31:M32"/>
    <mergeCell ref="N31:N32"/>
    <mergeCell ref="O31:O32"/>
    <mergeCell ref="P31:P32"/>
    <mergeCell ref="V31:V34"/>
    <mergeCell ref="O33:O34"/>
    <mergeCell ref="P33:P34"/>
    <mergeCell ref="Y33:Y34"/>
    <mergeCell ref="CG29:CJ29"/>
    <mergeCell ref="Y30:Z30"/>
    <mergeCell ref="AC30:AD30"/>
    <mergeCell ref="AG30:AH30"/>
    <mergeCell ref="AK30:AL30"/>
    <mergeCell ref="AO30:AP30"/>
    <mergeCell ref="BU28:BU29"/>
    <mergeCell ref="BV28:BV29"/>
    <mergeCell ref="BW28:BW29"/>
    <mergeCell ref="BX28:BX29"/>
    <mergeCell ref="CC28:CC29"/>
    <mergeCell ref="CD28:CD29"/>
    <mergeCell ref="BG28:BG29"/>
    <mergeCell ref="BH28:BH29"/>
    <mergeCell ref="BM28:BM29"/>
    <mergeCell ref="BN28:BN29"/>
    <mergeCell ref="BO28:BO29"/>
    <mergeCell ref="BP28:BP29"/>
    <mergeCell ref="AW28:AW29"/>
    <mergeCell ref="AX28:AX29"/>
    <mergeCell ref="CC30:CD30"/>
    <mergeCell ref="CG30:CH30"/>
    <mergeCell ref="BI30:BJ30"/>
    <mergeCell ref="BM30:BN30"/>
    <mergeCell ref="BF28:BF29"/>
    <mergeCell ref="AI28:AI29"/>
    <mergeCell ref="AJ28:AJ29"/>
    <mergeCell ref="AO28:AO29"/>
    <mergeCell ref="AP28:AP29"/>
    <mergeCell ref="AQ28:AQ29"/>
    <mergeCell ref="AR28:AR29"/>
    <mergeCell ref="CE28:CE29"/>
    <mergeCell ref="CF28:CF29"/>
    <mergeCell ref="BQ29:BT29"/>
    <mergeCell ref="BY29:CB29"/>
    <mergeCell ref="I28:I29"/>
    <mergeCell ref="J28:J29"/>
    <mergeCell ref="K28:K29"/>
    <mergeCell ref="L28:L29"/>
    <mergeCell ref="M28:M29"/>
    <mergeCell ref="N28:N29"/>
    <mergeCell ref="AY28:AY29"/>
    <mergeCell ref="AZ28:AZ29"/>
    <mergeCell ref="BE28:BE29"/>
    <mergeCell ref="CE26:CE27"/>
    <mergeCell ref="CF26:CF27"/>
    <mergeCell ref="A28:A29"/>
    <mergeCell ref="B28:B29"/>
    <mergeCell ref="C28:C29"/>
    <mergeCell ref="D28:D29"/>
    <mergeCell ref="E28:E29"/>
    <mergeCell ref="F28:F29"/>
    <mergeCell ref="G28:G29"/>
    <mergeCell ref="H28:H29"/>
    <mergeCell ref="BU26:BU27"/>
    <mergeCell ref="BV26:BV27"/>
    <mergeCell ref="BW26:BW27"/>
    <mergeCell ref="BX26:BX27"/>
    <mergeCell ref="CC26:CC27"/>
    <mergeCell ref="CD26:CD27"/>
    <mergeCell ref="BG26:BG27"/>
    <mergeCell ref="BH26:BH27"/>
    <mergeCell ref="BM26:BM27"/>
    <mergeCell ref="BN26:BN27"/>
    <mergeCell ref="BO26:BO27"/>
    <mergeCell ref="BP26:BP27"/>
    <mergeCell ref="AW26:AW27"/>
    <mergeCell ref="AX26:AX27"/>
    <mergeCell ref="AY26:AY27"/>
    <mergeCell ref="AZ26:AZ27"/>
    <mergeCell ref="BE26:BE27"/>
    <mergeCell ref="BF26:BF27"/>
    <mergeCell ref="AI26:AI27"/>
    <mergeCell ref="AJ26:AJ27"/>
    <mergeCell ref="AO26:AO27"/>
    <mergeCell ref="AP26:AP27"/>
    <mergeCell ref="AQ26:AQ27"/>
    <mergeCell ref="AR26:AR27"/>
    <mergeCell ref="AA26:AA27"/>
    <mergeCell ref="AB26:AB27"/>
    <mergeCell ref="AG26:AG27"/>
    <mergeCell ref="AH26:AH27"/>
    <mergeCell ref="L26:L27"/>
    <mergeCell ref="M26:M27"/>
    <mergeCell ref="N26:N27"/>
    <mergeCell ref="O26:O27"/>
    <mergeCell ref="P26:P27"/>
    <mergeCell ref="V26:V29"/>
    <mergeCell ref="O28:O29"/>
    <mergeCell ref="P28:P29"/>
    <mergeCell ref="Y28:Y29"/>
    <mergeCell ref="Z28:Z29"/>
    <mergeCell ref="AA28:AA29"/>
    <mergeCell ref="AB28:AB29"/>
    <mergeCell ref="AG28:AG29"/>
    <mergeCell ref="AH28:AH29"/>
    <mergeCell ref="CC25:CD25"/>
    <mergeCell ref="CG25:CH25"/>
    <mergeCell ref="A26:A27"/>
    <mergeCell ref="B26:B27"/>
    <mergeCell ref="C26:C27"/>
    <mergeCell ref="D26:D27"/>
    <mergeCell ref="E26:E27"/>
    <mergeCell ref="AS25:AT25"/>
    <mergeCell ref="AW25:AX25"/>
    <mergeCell ref="BA25:BB25"/>
    <mergeCell ref="BE25:BF25"/>
    <mergeCell ref="BI25:BJ25"/>
    <mergeCell ref="BM25:BN25"/>
    <mergeCell ref="F26:F27"/>
    <mergeCell ref="G26:G27"/>
    <mergeCell ref="H26:H27"/>
    <mergeCell ref="I26:I27"/>
    <mergeCell ref="J26:J27"/>
    <mergeCell ref="K26:K27"/>
    <mergeCell ref="BQ25:BR25"/>
    <mergeCell ref="BU25:BV25"/>
    <mergeCell ref="BY25:BZ25"/>
    <mergeCell ref="Y26:Y27"/>
    <mergeCell ref="Z26:Z27"/>
    <mergeCell ref="CE23:CE24"/>
    <mergeCell ref="CF23:CF24"/>
    <mergeCell ref="BQ24:BT24"/>
    <mergeCell ref="BY24:CB24"/>
    <mergeCell ref="CG24:CJ24"/>
    <mergeCell ref="Y25:Z25"/>
    <mergeCell ref="AC25:AD25"/>
    <mergeCell ref="AG25:AH25"/>
    <mergeCell ref="AK25:AL25"/>
    <mergeCell ref="AO25:AP25"/>
    <mergeCell ref="BU23:BU24"/>
    <mergeCell ref="BV23:BV24"/>
    <mergeCell ref="BW23:BW24"/>
    <mergeCell ref="BX23:BX24"/>
    <mergeCell ref="CC23:CC24"/>
    <mergeCell ref="CD23:CD24"/>
    <mergeCell ref="BG23:BG24"/>
    <mergeCell ref="BH23:BH24"/>
    <mergeCell ref="BM23:BM24"/>
    <mergeCell ref="BN23:BN24"/>
    <mergeCell ref="BO23:BO24"/>
    <mergeCell ref="BP23:BP24"/>
    <mergeCell ref="AW23:AW24"/>
    <mergeCell ref="AX23:AX24"/>
    <mergeCell ref="AY23:AY24"/>
    <mergeCell ref="AZ23:AZ24"/>
    <mergeCell ref="BE23:BE24"/>
    <mergeCell ref="BF23:BF24"/>
    <mergeCell ref="AI23:AI24"/>
    <mergeCell ref="AJ23:AJ24"/>
    <mergeCell ref="AO23:AO24"/>
    <mergeCell ref="AP23:AP24"/>
    <mergeCell ref="AQ23:AQ24"/>
    <mergeCell ref="AR23:AR24"/>
    <mergeCell ref="Z23:Z24"/>
    <mergeCell ref="AA23:AA24"/>
    <mergeCell ref="AB23:AB24"/>
    <mergeCell ref="AG23:AG24"/>
    <mergeCell ref="AH23:AH24"/>
    <mergeCell ref="I23:I24"/>
    <mergeCell ref="J23:J24"/>
    <mergeCell ref="K23:K24"/>
    <mergeCell ref="L23:L24"/>
    <mergeCell ref="M23:M24"/>
    <mergeCell ref="N23:N24"/>
    <mergeCell ref="CE21:CE22"/>
    <mergeCell ref="CF21:CF22"/>
    <mergeCell ref="A23:A24"/>
    <mergeCell ref="B23:B24"/>
    <mergeCell ref="C23:C24"/>
    <mergeCell ref="D23:D24"/>
    <mergeCell ref="E23:E24"/>
    <mergeCell ref="F23:F24"/>
    <mergeCell ref="G23:G24"/>
    <mergeCell ref="H23:H24"/>
    <mergeCell ref="BU21:BU22"/>
    <mergeCell ref="BV21:BV22"/>
    <mergeCell ref="BW21:BW22"/>
    <mergeCell ref="BX21:BX22"/>
    <mergeCell ref="CC21:CC22"/>
    <mergeCell ref="CD21:CD22"/>
    <mergeCell ref="BG21:BG22"/>
    <mergeCell ref="BH21:BH22"/>
    <mergeCell ref="BM21:BM22"/>
    <mergeCell ref="BN21:BN22"/>
    <mergeCell ref="BO21:BO22"/>
    <mergeCell ref="BP21:BP22"/>
    <mergeCell ref="AW21:AW22"/>
    <mergeCell ref="AX21:AX22"/>
    <mergeCell ref="BQ20:BR20"/>
    <mergeCell ref="BU20:BV20"/>
    <mergeCell ref="BY20:BZ20"/>
    <mergeCell ref="Y21:Y22"/>
    <mergeCell ref="Z21:Z22"/>
    <mergeCell ref="AA21:AA22"/>
    <mergeCell ref="AB21:AB22"/>
    <mergeCell ref="AG21:AG22"/>
    <mergeCell ref="AH21:AH22"/>
    <mergeCell ref="AY21:AY22"/>
    <mergeCell ref="AZ21:AZ22"/>
    <mergeCell ref="BE21:BE22"/>
    <mergeCell ref="BF21:BF22"/>
    <mergeCell ref="AI21:AI22"/>
    <mergeCell ref="AJ21:AJ22"/>
    <mergeCell ref="AO21:AO22"/>
    <mergeCell ref="AP21:AP22"/>
    <mergeCell ref="AQ21:AQ22"/>
    <mergeCell ref="AR21:AR22"/>
    <mergeCell ref="A21:A22"/>
    <mergeCell ref="B21:B22"/>
    <mergeCell ref="C21:C22"/>
    <mergeCell ref="D21:D22"/>
    <mergeCell ref="E21:E22"/>
    <mergeCell ref="AS20:AT20"/>
    <mergeCell ref="AW20:AX20"/>
    <mergeCell ref="BA20:BB20"/>
    <mergeCell ref="BE20:BF20"/>
    <mergeCell ref="F21:F22"/>
    <mergeCell ref="G21:G22"/>
    <mergeCell ref="H21:H22"/>
    <mergeCell ref="I21:I22"/>
    <mergeCell ref="J21:J22"/>
    <mergeCell ref="K21:K22"/>
    <mergeCell ref="L21:L22"/>
    <mergeCell ref="M21:M22"/>
    <mergeCell ref="N21:N22"/>
    <mergeCell ref="O21:O22"/>
    <mergeCell ref="P21:P22"/>
    <mergeCell ref="V21:V24"/>
    <mergeCell ref="O23:O24"/>
    <mergeCell ref="P23:P24"/>
    <mergeCell ref="Y23:Y24"/>
    <mergeCell ref="CG19:CJ19"/>
    <mergeCell ref="Y20:Z20"/>
    <mergeCell ref="AC20:AD20"/>
    <mergeCell ref="AG20:AH20"/>
    <mergeCell ref="AK20:AL20"/>
    <mergeCell ref="AO20:AP20"/>
    <mergeCell ref="BU18:BU19"/>
    <mergeCell ref="BV18:BV19"/>
    <mergeCell ref="BW18:BW19"/>
    <mergeCell ref="BX18:BX19"/>
    <mergeCell ref="CC18:CC19"/>
    <mergeCell ref="CD18:CD19"/>
    <mergeCell ref="BG18:BG19"/>
    <mergeCell ref="BH18:BH19"/>
    <mergeCell ref="BM18:BM19"/>
    <mergeCell ref="BN18:BN19"/>
    <mergeCell ref="BO18:BO19"/>
    <mergeCell ref="BP18:BP19"/>
    <mergeCell ref="AW18:AW19"/>
    <mergeCell ref="AX18:AX19"/>
    <mergeCell ref="CC20:CD20"/>
    <mergeCell ref="CG20:CH20"/>
    <mergeCell ref="BI20:BJ20"/>
    <mergeCell ref="BM20:BN20"/>
    <mergeCell ref="BF18:BF19"/>
    <mergeCell ref="AI18:AI19"/>
    <mergeCell ref="AJ18:AJ19"/>
    <mergeCell ref="AO18:AO19"/>
    <mergeCell ref="AP18:AP19"/>
    <mergeCell ref="AQ18:AQ19"/>
    <mergeCell ref="AR18:AR19"/>
    <mergeCell ref="CE18:CE19"/>
    <mergeCell ref="CF18:CF19"/>
    <mergeCell ref="BQ19:BT19"/>
    <mergeCell ref="BY19:CB19"/>
    <mergeCell ref="I18:I19"/>
    <mergeCell ref="J18:J19"/>
    <mergeCell ref="K18:K19"/>
    <mergeCell ref="L18:L19"/>
    <mergeCell ref="M18:M19"/>
    <mergeCell ref="N18:N19"/>
    <mergeCell ref="AY18:AY19"/>
    <mergeCell ref="AZ18:AZ19"/>
    <mergeCell ref="BE18:BE19"/>
    <mergeCell ref="CE16:CE17"/>
    <mergeCell ref="CF16:CF17"/>
    <mergeCell ref="A18:A19"/>
    <mergeCell ref="B18:B19"/>
    <mergeCell ref="C18:C19"/>
    <mergeCell ref="D18:D19"/>
    <mergeCell ref="E18:E19"/>
    <mergeCell ref="F18:F19"/>
    <mergeCell ref="G18:G19"/>
    <mergeCell ref="H18:H19"/>
    <mergeCell ref="BU16:BU17"/>
    <mergeCell ref="BV16:BV17"/>
    <mergeCell ref="BW16:BW17"/>
    <mergeCell ref="BX16:BX17"/>
    <mergeCell ref="CC16:CC17"/>
    <mergeCell ref="CD16:CD17"/>
    <mergeCell ref="BG16:BG17"/>
    <mergeCell ref="BH16:BH17"/>
    <mergeCell ref="BM16:BM17"/>
    <mergeCell ref="BN16:BN17"/>
    <mergeCell ref="BO16:BO17"/>
    <mergeCell ref="BP16:BP17"/>
    <mergeCell ref="AW16:AW17"/>
    <mergeCell ref="AX16:AX17"/>
    <mergeCell ref="AY16:AY17"/>
    <mergeCell ref="AZ16:AZ17"/>
    <mergeCell ref="BE16:BE17"/>
    <mergeCell ref="BF16:BF17"/>
    <mergeCell ref="AI16:AI17"/>
    <mergeCell ref="AJ16:AJ17"/>
    <mergeCell ref="AO16:AO17"/>
    <mergeCell ref="AP16:AP17"/>
    <mergeCell ref="AQ16:AQ17"/>
    <mergeCell ref="AR16:AR17"/>
    <mergeCell ref="AA16:AA17"/>
    <mergeCell ref="AB16:AB17"/>
    <mergeCell ref="AG16:AG17"/>
    <mergeCell ref="AH16:AH17"/>
    <mergeCell ref="L16:L17"/>
    <mergeCell ref="M16:M17"/>
    <mergeCell ref="N16:N17"/>
    <mergeCell ref="O16:O17"/>
    <mergeCell ref="P16:P17"/>
    <mergeCell ref="V16:V19"/>
    <mergeCell ref="O18:O19"/>
    <mergeCell ref="P18:P19"/>
    <mergeCell ref="Y18:Y19"/>
    <mergeCell ref="Z18:Z19"/>
    <mergeCell ref="AA18:AA19"/>
    <mergeCell ref="AB18:AB19"/>
    <mergeCell ref="AG18:AG19"/>
    <mergeCell ref="AH18:AH19"/>
    <mergeCell ref="CC15:CD15"/>
    <mergeCell ref="CG15:CH15"/>
    <mergeCell ref="A16:A17"/>
    <mergeCell ref="B16:B17"/>
    <mergeCell ref="C16:C17"/>
    <mergeCell ref="D16:D17"/>
    <mergeCell ref="E16:E17"/>
    <mergeCell ref="AS15:AT15"/>
    <mergeCell ref="AW15:AX15"/>
    <mergeCell ref="BA15:BB15"/>
    <mergeCell ref="BE15:BF15"/>
    <mergeCell ref="BI15:BJ15"/>
    <mergeCell ref="BM15:BN15"/>
    <mergeCell ref="F16:F17"/>
    <mergeCell ref="G16:G17"/>
    <mergeCell ref="H16:H17"/>
    <mergeCell ref="I16:I17"/>
    <mergeCell ref="J16:J17"/>
    <mergeCell ref="K16:K17"/>
    <mergeCell ref="BQ15:BR15"/>
    <mergeCell ref="BU15:BV15"/>
    <mergeCell ref="BY15:BZ15"/>
    <mergeCell ref="Y16:Y17"/>
    <mergeCell ref="Z16:Z17"/>
    <mergeCell ref="CE13:CE14"/>
    <mergeCell ref="CF13:CF14"/>
    <mergeCell ref="BQ14:BT14"/>
    <mergeCell ref="BY14:CB14"/>
    <mergeCell ref="CG14:CJ14"/>
    <mergeCell ref="Y15:Z15"/>
    <mergeCell ref="AC15:AD15"/>
    <mergeCell ref="AG15:AH15"/>
    <mergeCell ref="AK15:AL15"/>
    <mergeCell ref="AO15:AP15"/>
    <mergeCell ref="BU13:BU14"/>
    <mergeCell ref="BV13:BV14"/>
    <mergeCell ref="BW13:BW14"/>
    <mergeCell ref="BX13:BX14"/>
    <mergeCell ref="CC13:CC14"/>
    <mergeCell ref="CD13:CD14"/>
    <mergeCell ref="BG13:BG14"/>
    <mergeCell ref="BH13:BH14"/>
    <mergeCell ref="BM13:BM14"/>
    <mergeCell ref="BN13:BN14"/>
    <mergeCell ref="BO13:BO14"/>
    <mergeCell ref="BP13:BP14"/>
    <mergeCell ref="AW13:AW14"/>
    <mergeCell ref="AX13:AX14"/>
    <mergeCell ref="AY13:AY14"/>
    <mergeCell ref="AZ13:AZ14"/>
    <mergeCell ref="BE13:BE14"/>
    <mergeCell ref="BF13:BF14"/>
    <mergeCell ref="AI13:AI14"/>
    <mergeCell ref="AJ13:AJ14"/>
    <mergeCell ref="AO13:AO14"/>
    <mergeCell ref="AP13:AP14"/>
    <mergeCell ref="AQ13:AQ14"/>
    <mergeCell ref="AR13:AR14"/>
    <mergeCell ref="Y13:Y14"/>
    <mergeCell ref="Z13:Z14"/>
    <mergeCell ref="AA13:AA14"/>
    <mergeCell ref="AB13:AB14"/>
    <mergeCell ref="AG13:AG14"/>
    <mergeCell ref="AH13:AH14"/>
    <mergeCell ref="I13:I14"/>
    <mergeCell ref="J13:J14"/>
    <mergeCell ref="K13:K14"/>
    <mergeCell ref="L13:L14"/>
    <mergeCell ref="M13:M14"/>
    <mergeCell ref="N13:N14"/>
    <mergeCell ref="CE11:CE12"/>
    <mergeCell ref="CF11:CF12"/>
    <mergeCell ref="A13:A14"/>
    <mergeCell ref="B13:B14"/>
    <mergeCell ref="C13:C14"/>
    <mergeCell ref="D13:D14"/>
    <mergeCell ref="E13:E14"/>
    <mergeCell ref="F13:F14"/>
    <mergeCell ref="G13:G14"/>
    <mergeCell ref="H13:H14"/>
    <mergeCell ref="BU11:BU12"/>
    <mergeCell ref="BV11:BV12"/>
    <mergeCell ref="BW11:BW12"/>
    <mergeCell ref="BX11:BX12"/>
    <mergeCell ref="CC11:CC12"/>
    <mergeCell ref="CD11:CD12"/>
    <mergeCell ref="BG11:BG12"/>
    <mergeCell ref="BH11:BH12"/>
    <mergeCell ref="BM11:BM12"/>
    <mergeCell ref="BN11:BN12"/>
    <mergeCell ref="BO11:BO12"/>
    <mergeCell ref="BP11:BP12"/>
    <mergeCell ref="AW11:AW12"/>
    <mergeCell ref="AX11:AX12"/>
    <mergeCell ref="AY11:AY12"/>
    <mergeCell ref="AZ11:AZ12"/>
    <mergeCell ref="BE11:BE12"/>
    <mergeCell ref="BF11:BF12"/>
    <mergeCell ref="AI11:AI12"/>
    <mergeCell ref="AJ11:AJ12"/>
    <mergeCell ref="AO11:AO12"/>
    <mergeCell ref="AP11:AP12"/>
    <mergeCell ref="AQ11:AQ12"/>
    <mergeCell ref="AR11:AR12"/>
    <mergeCell ref="Y11:Y12"/>
    <mergeCell ref="Z11:Z12"/>
    <mergeCell ref="AA11:AA12"/>
    <mergeCell ref="AB11:AB12"/>
    <mergeCell ref="AG11:AG12"/>
    <mergeCell ref="AH11:AH12"/>
    <mergeCell ref="J11:J12"/>
    <mergeCell ref="K11:K12"/>
    <mergeCell ref="L11:L12"/>
    <mergeCell ref="M11:M12"/>
    <mergeCell ref="N11:N12"/>
    <mergeCell ref="O11:O12"/>
    <mergeCell ref="A11:A12"/>
    <mergeCell ref="B11:B12"/>
    <mergeCell ref="C11:C12"/>
    <mergeCell ref="D11:D12"/>
    <mergeCell ref="E11:E12"/>
    <mergeCell ref="F11:F12"/>
    <mergeCell ref="G11:G12"/>
    <mergeCell ref="H11:H12"/>
    <mergeCell ref="I11:I12"/>
    <mergeCell ref="CG9:CJ9"/>
    <mergeCell ref="Y10:Z10"/>
    <mergeCell ref="AC10:AD10"/>
    <mergeCell ref="AG10:AH10"/>
    <mergeCell ref="AK10:AL10"/>
    <mergeCell ref="AO10:AP10"/>
    <mergeCell ref="AS10:AT10"/>
    <mergeCell ref="AW10:AX10"/>
    <mergeCell ref="BA10:BB10"/>
    <mergeCell ref="BE10:BF10"/>
    <mergeCell ref="CG10:CH10"/>
    <mergeCell ref="BI10:BJ10"/>
    <mergeCell ref="BM10:BN10"/>
    <mergeCell ref="BQ10:BR10"/>
    <mergeCell ref="BU10:BV10"/>
    <mergeCell ref="BY10:BZ10"/>
    <mergeCell ref="CC10:CD10"/>
    <mergeCell ref="CE7:CE8"/>
    <mergeCell ref="CF7:CF8"/>
    <mergeCell ref="AC9:AF9"/>
    <mergeCell ref="AK9:AN9"/>
    <mergeCell ref="AS9:AV9"/>
    <mergeCell ref="BA9:BD9"/>
    <mergeCell ref="BI9:BL9"/>
    <mergeCell ref="BQ9:BT9"/>
    <mergeCell ref="BY9:CB9"/>
    <mergeCell ref="BU7:BU8"/>
    <mergeCell ref="BV7:BV8"/>
    <mergeCell ref="BW7:BW8"/>
    <mergeCell ref="BX7:BX8"/>
    <mergeCell ref="CC7:CC8"/>
    <mergeCell ref="CD7:CD8"/>
    <mergeCell ref="BG7:BG8"/>
    <mergeCell ref="BH7:BH8"/>
    <mergeCell ref="BM7:BM8"/>
    <mergeCell ref="BN7:BN8"/>
    <mergeCell ref="BO7:BO8"/>
    <mergeCell ref="BP7:BP8"/>
    <mergeCell ref="AW7:AW8"/>
    <mergeCell ref="AX7:AX8"/>
    <mergeCell ref="AY7:AY8"/>
    <mergeCell ref="BQ5:BT5"/>
    <mergeCell ref="BU5:BX5"/>
    <mergeCell ref="Y7:Y8"/>
    <mergeCell ref="Z7:Z8"/>
    <mergeCell ref="AA7:AA8"/>
    <mergeCell ref="AB7:AB8"/>
    <mergeCell ref="AG7:AG8"/>
    <mergeCell ref="AH7:AH8"/>
    <mergeCell ref="N7:N8"/>
    <mergeCell ref="O7:O8"/>
    <mergeCell ref="P7:P8"/>
    <mergeCell ref="V7:V9"/>
    <mergeCell ref="W7:W40"/>
    <mergeCell ref="X7:X9"/>
    <mergeCell ref="P11:P12"/>
    <mergeCell ref="V11:V14"/>
    <mergeCell ref="O13:O14"/>
    <mergeCell ref="P13:P14"/>
    <mergeCell ref="AZ7:AZ8"/>
    <mergeCell ref="BE7:BE8"/>
    <mergeCell ref="BF7:BF8"/>
    <mergeCell ref="AI7:AI8"/>
    <mergeCell ref="AJ7:AJ8"/>
    <mergeCell ref="AO7:AO8"/>
    <mergeCell ref="A7:A9"/>
    <mergeCell ref="B7:B9"/>
    <mergeCell ref="C7:C9"/>
    <mergeCell ref="D7:D9"/>
    <mergeCell ref="E7:E8"/>
    <mergeCell ref="F7:F9"/>
    <mergeCell ref="G7:G9"/>
    <mergeCell ref="BA5:BD5"/>
    <mergeCell ref="BE5:BH5"/>
    <mergeCell ref="AC5:AF5"/>
    <mergeCell ref="AG5:AJ5"/>
    <mergeCell ref="AK5:AN5"/>
    <mergeCell ref="AO5:AR5"/>
    <mergeCell ref="AS5:AV5"/>
    <mergeCell ref="AW5:AZ5"/>
    <mergeCell ref="H7:H9"/>
    <mergeCell ref="I7:I9"/>
    <mergeCell ref="J7:J9"/>
    <mergeCell ref="K7:K9"/>
    <mergeCell ref="L7:L8"/>
    <mergeCell ref="M7:M8"/>
    <mergeCell ref="AP7:AP8"/>
    <mergeCell ref="AQ7:AQ8"/>
    <mergeCell ref="AR7:AR8"/>
    <mergeCell ref="BE4:BL4"/>
    <mergeCell ref="BM4:BT4"/>
    <mergeCell ref="BU4:CB4"/>
    <mergeCell ref="CC4:CJ4"/>
    <mergeCell ref="A5:C5"/>
    <mergeCell ref="E5:F5"/>
    <mergeCell ref="G5:I5"/>
    <mergeCell ref="J5:J6"/>
    <mergeCell ref="K5:K6"/>
    <mergeCell ref="Y5:AB5"/>
    <mergeCell ref="A4:K4"/>
    <mergeCell ref="L4:P5"/>
    <mergeCell ref="Q4:U5"/>
    <mergeCell ref="V4:W5"/>
    <mergeCell ref="X4:X5"/>
    <mergeCell ref="Y4:AF4"/>
    <mergeCell ref="AG4:AN4"/>
    <mergeCell ref="AO4:AV4"/>
    <mergeCell ref="AW4:BD4"/>
    <mergeCell ref="BY5:CB5"/>
    <mergeCell ref="CC5:CF5"/>
    <mergeCell ref="CG5:CJ5"/>
    <mergeCell ref="BI5:BL5"/>
    <mergeCell ref="BM5:BP5"/>
    <mergeCell ref="CK4:CR4"/>
    <mergeCell ref="CK5:CN5"/>
    <mergeCell ref="CO5:CR5"/>
    <mergeCell ref="CK7:CK8"/>
    <mergeCell ref="CL7:CL8"/>
    <mergeCell ref="CM7:CM8"/>
    <mergeCell ref="CN7:CN8"/>
    <mergeCell ref="CO9:CR9"/>
    <mergeCell ref="CK10:CL10"/>
    <mergeCell ref="CO10:CP10"/>
    <mergeCell ref="CK11:CK12"/>
    <mergeCell ref="CL11:CL12"/>
    <mergeCell ref="CM11:CM12"/>
    <mergeCell ref="CN11:CN12"/>
    <mergeCell ref="CK13:CK14"/>
    <mergeCell ref="CL13:CL14"/>
    <mergeCell ref="CM13:CM14"/>
    <mergeCell ref="CN13:CN14"/>
    <mergeCell ref="CO14:CR14"/>
    <mergeCell ref="CK15:CL15"/>
    <mergeCell ref="CO15:CP15"/>
    <mergeCell ref="CK16:CK17"/>
    <mergeCell ref="CL16:CL17"/>
    <mergeCell ref="CM16:CM17"/>
    <mergeCell ref="CN16:CN17"/>
    <mergeCell ref="CK18:CK19"/>
    <mergeCell ref="CL18:CL19"/>
    <mergeCell ref="CM18:CM19"/>
    <mergeCell ref="CN18:CN19"/>
    <mergeCell ref="CO19:CR19"/>
    <mergeCell ref="CK20:CL20"/>
    <mergeCell ref="CO20:CP20"/>
    <mergeCell ref="CK21:CK22"/>
    <mergeCell ref="CL21:CL22"/>
    <mergeCell ref="CM21:CM22"/>
    <mergeCell ref="CN21:CN22"/>
    <mergeCell ref="CK23:CK24"/>
    <mergeCell ref="CL23:CL24"/>
    <mergeCell ref="CM23:CM24"/>
    <mergeCell ref="CN23:CN24"/>
    <mergeCell ref="CO24:CR24"/>
    <mergeCell ref="CO34:CR34"/>
    <mergeCell ref="CK25:CL25"/>
    <mergeCell ref="CO25:CP25"/>
    <mergeCell ref="CK26:CK27"/>
    <mergeCell ref="CL26:CL27"/>
    <mergeCell ref="CM26:CM27"/>
    <mergeCell ref="CN26:CN27"/>
    <mergeCell ref="CK28:CK29"/>
    <mergeCell ref="CL28:CL29"/>
    <mergeCell ref="CM28:CM29"/>
    <mergeCell ref="CN28:CN29"/>
    <mergeCell ref="CO29:CR29"/>
    <mergeCell ref="CK41:CL41"/>
    <mergeCell ref="CO41:CP41"/>
    <mergeCell ref="CK43:CL43"/>
    <mergeCell ref="CO43:CP43"/>
    <mergeCell ref="C1:CJ3"/>
    <mergeCell ref="CK35:CL35"/>
    <mergeCell ref="CO35:CP35"/>
    <mergeCell ref="CO36:CR36"/>
    <mergeCell ref="CK37:CL37"/>
    <mergeCell ref="CO37:CP37"/>
    <mergeCell ref="CO38:CR38"/>
    <mergeCell ref="CK39:CL39"/>
    <mergeCell ref="CO39:CP39"/>
    <mergeCell ref="CO40:CR40"/>
    <mergeCell ref="CK30:CL30"/>
    <mergeCell ref="CO30:CP30"/>
    <mergeCell ref="CK31:CK32"/>
    <mergeCell ref="CL31:CL32"/>
    <mergeCell ref="CM31:CM32"/>
    <mergeCell ref="CN31:CN32"/>
    <mergeCell ref="CK33:CK34"/>
    <mergeCell ref="CL33:CL34"/>
    <mergeCell ref="CM33:CM34"/>
    <mergeCell ref="CN33:CN34"/>
  </mergeCells>
  <pageMargins left="0.7" right="0.7" top="0.75" bottom="0.75" header="0.3" footer="0.3"/>
  <pageSetup paperSize="9" orientation="portrait" horizontalDpi="0"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249977111117893"/>
  </sheetPr>
  <dimension ref="A1:ZK583"/>
  <sheetViews>
    <sheetView topLeftCell="BL1" zoomScale="85" zoomScaleNormal="85" workbookViewId="0">
      <selection activeCell="BM4" sqref="BM4:BT4"/>
    </sheetView>
  </sheetViews>
  <sheetFormatPr baseColWidth="10" defaultColWidth="11.42578125" defaultRowHeight="22.5" customHeight="1" x14ac:dyDescent="0.25"/>
  <cols>
    <col min="1" max="1" width="22.42578125" style="75" customWidth="1"/>
    <col min="2" max="2" width="26.7109375" style="75" customWidth="1"/>
    <col min="3" max="3" width="23.85546875" style="75" customWidth="1"/>
    <col min="4" max="4" width="33.42578125" style="75" customWidth="1"/>
    <col min="5" max="5" width="43.42578125" style="75" customWidth="1"/>
    <col min="6" max="6" width="17.140625" style="75" customWidth="1"/>
    <col min="7" max="7" width="26.7109375" style="75" customWidth="1"/>
    <col min="8" max="8" width="16.7109375" style="75" customWidth="1"/>
    <col min="9" max="9" width="17.28515625" style="75" customWidth="1"/>
    <col min="10" max="10" width="16.85546875" style="75" customWidth="1"/>
    <col min="11" max="11" width="12.5703125" style="75" customWidth="1"/>
    <col min="12" max="12" width="29.5703125" style="75" customWidth="1"/>
    <col min="13" max="13" width="35.42578125" style="75" customWidth="1"/>
    <col min="14" max="14" width="12.28515625" style="75" customWidth="1"/>
    <col min="15" max="15" width="10.7109375" style="75" customWidth="1"/>
    <col min="16" max="16" width="12.28515625" style="75" customWidth="1"/>
    <col min="17" max="17" width="25.28515625" style="75" customWidth="1"/>
    <col min="18" max="18" width="34" style="75" customWidth="1"/>
    <col min="19" max="19" width="19.28515625" style="100" customWidth="1"/>
    <col min="20" max="20" width="11.7109375" style="75" customWidth="1"/>
    <col min="21" max="21" width="18" style="75" customWidth="1"/>
    <col min="22" max="22" width="17" style="103" customWidth="1"/>
    <col min="23" max="23" width="18.5703125" style="103" customWidth="1"/>
    <col min="24" max="24" width="20.7109375" style="75" customWidth="1"/>
    <col min="25" max="25" width="12.85546875" style="75" customWidth="1"/>
    <col min="26" max="26" width="7.140625" style="75" customWidth="1"/>
    <col min="27" max="27" width="20.7109375" style="75" customWidth="1"/>
    <col min="28" max="28" width="55.42578125" style="75" customWidth="1"/>
    <col min="29" max="29" width="11.5703125" style="75" customWidth="1"/>
    <col min="30" max="30" width="8.140625" style="75" customWidth="1"/>
    <col min="31" max="31" width="20.42578125" style="75" customWidth="1"/>
    <col min="32" max="32" width="43" style="100" customWidth="1"/>
    <col min="33" max="33" width="12.85546875" style="75" customWidth="1"/>
    <col min="34" max="34" width="7.140625" style="75" customWidth="1"/>
    <col min="35" max="35" width="20.7109375" style="75" customWidth="1"/>
    <col min="36" max="36" width="55.42578125" style="75" customWidth="1"/>
    <col min="37" max="37" width="11.5703125" style="75" customWidth="1"/>
    <col min="38" max="38" width="8.140625" style="75" customWidth="1"/>
    <col min="39" max="39" width="20.42578125" style="75" customWidth="1"/>
    <col min="40" max="40" width="43" style="100" customWidth="1"/>
    <col min="41" max="41" width="12.85546875" style="75" customWidth="1"/>
    <col min="42" max="42" width="7.140625" style="75" customWidth="1"/>
    <col min="43" max="43" width="20.7109375" style="75" customWidth="1"/>
    <col min="44" max="44" width="54.7109375" style="75" customWidth="1"/>
    <col min="45" max="45" width="11.5703125" style="75" customWidth="1"/>
    <col min="46" max="46" width="8.140625" style="75" customWidth="1"/>
    <col min="47" max="47" width="20.42578125" style="75" customWidth="1"/>
    <col min="48" max="48" width="43" style="100" customWidth="1"/>
    <col min="49" max="49" width="12.85546875" style="75" customWidth="1"/>
    <col min="50" max="50" width="7.140625" style="75" customWidth="1"/>
    <col min="51" max="51" width="20.7109375" style="75" customWidth="1"/>
    <col min="52" max="52" width="55.42578125" style="75" customWidth="1"/>
    <col min="53" max="53" width="11.5703125" style="75" customWidth="1"/>
    <col min="54" max="54" width="8.140625" style="75" customWidth="1"/>
    <col min="55" max="55" width="20.42578125" style="75" customWidth="1"/>
    <col min="56" max="56" width="43" style="100" customWidth="1"/>
    <col min="57" max="57" width="12.85546875" style="75" customWidth="1"/>
    <col min="58" max="58" width="7.140625" style="75" customWidth="1"/>
    <col min="59" max="59" width="20.7109375" style="75" customWidth="1"/>
    <col min="60" max="60" width="55.42578125" style="75" customWidth="1"/>
    <col min="61" max="61" width="11.5703125" style="75" customWidth="1"/>
    <col min="62" max="62" width="8.140625" style="75" customWidth="1"/>
    <col min="63" max="63" width="20.42578125" style="75" customWidth="1"/>
    <col min="64" max="64" width="43" style="100" customWidth="1"/>
    <col min="65" max="65" width="12.85546875" style="75" customWidth="1"/>
    <col min="66" max="66" width="7.140625" style="75" customWidth="1"/>
    <col min="67" max="67" width="20.7109375" style="75" customWidth="1"/>
    <col min="68" max="68" width="54.7109375" style="75" customWidth="1"/>
    <col min="69" max="69" width="11.5703125" style="75" customWidth="1"/>
    <col min="70" max="70" width="8.140625" style="75" customWidth="1"/>
    <col min="71" max="71" width="20.42578125" style="75" customWidth="1"/>
    <col min="72" max="72" width="43" style="100" customWidth="1"/>
    <col min="73" max="687" width="11.42578125" style="17"/>
    <col min="688" max="16384" width="11.42578125" style="75"/>
  </cols>
  <sheetData>
    <row r="1" spans="1:687" s="1" customFormat="1" ht="15.75" customHeight="1" x14ac:dyDescent="0.25">
      <c r="C1" s="383" t="s">
        <v>0</v>
      </c>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4"/>
      <c r="BS1" s="2" t="s">
        <v>1</v>
      </c>
      <c r="BT1" s="3">
        <v>43458</v>
      </c>
    </row>
    <row r="2" spans="1:687" s="1" customFormat="1" ht="30" customHeight="1" x14ac:dyDescent="0.25">
      <c r="C2" s="383"/>
      <c r="D2" s="383"/>
      <c r="E2" s="383"/>
      <c r="F2" s="383"/>
      <c r="G2" s="383"/>
      <c r="H2" s="383"/>
      <c r="I2" s="383"/>
      <c r="J2" s="383"/>
      <c r="K2" s="383"/>
      <c r="L2" s="383"/>
      <c r="M2" s="383"/>
      <c r="N2" s="383"/>
      <c r="O2" s="383"/>
      <c r="P2" s="383"/>
      <c r="Q2" s="383"/>
      <c r="R2" s="383"/>
      <c r="S2" s="383"/>
      <c r="T2" s="383"/>
      <c r="U2" s="383"/>
      <c r="V2" s="383"/>
      <c r="W2" s="383"/>
      <c r="X2" s="383"/>
      <c r="Y2" s="383"/>
      <c r="Z2" s="383"/>
      <c r="AA2" s="383"/>
      <c r="AB2" s="383"/>
      <c r="AC2" s="383"/>
      <c r="AD2" s="383"/>
      <c r="AE2" s="383"/>
      <c r="AF2" s="383"/>
      <c r="AG2" s="383"/>
      <c r="AH2" s="383"/>
      <c r="AI2" s="383"/>
      <c r="AJ2" s="383"/>
      <c r="AK2" s="383"/>
      <c r="AL2" s="383"/>
      <c r="AM2" s="383"/>
      <c r="AN2" s="383"/>
      <c r="AO2" s="383"/>
      <c r="AP2" s="383"/>
      <c r="AQ2" s="383"/>
      <c r="AR2" s="383"/>
      <c r="AS2" s="383"/>
      <c r="AT2" s="383"/>
      <c r="AU2" s="383"/>
      <c r="AV2" s="383"/>
      <c r="AW2" s="383"/>
      <c r="AX2" s="383"/>
      <c r="AY2" s="383"/>
      <c r="AZ2" s="383"/>
      <c r="BA2" s="383"/>
      <c r="BB2" s="383"/>
      <c r="BC2" s="383"/>
      <c r="BD2" s="383"/>
      <c r="BE2" s="383"/>
      <c r="BF2" s="383"/>
      <c r="BG2" s="383"/>
      <c r="BH2" s="383"/>
      <c r="BI2" s="383"/>
      <c r="BJ2" s="383"/>
      <c r="BK2" s="383"/>
      <c r="BL2" s="383"/>
      <c r="BM2" s="383"/>
      <c r="BN2" s="383"/>
      <c r="BO2" s="383"/>
      <c r="BP2" s="383"/>
      <c r="BQ2" s="383"/>
      <c r="BR2" s="384"/>
      <c r="BS2" s="2" t="s">
        <v>2</v>
      </c>
      <c r="BT2" s="2">
        <v>5</v>
      </c>
    </row>
    <row r="3" spans="1:687" s="1" customFormat="1" ht="29.25" customHeight="1" x14ac:dyDescent="0.25">
      <c r="C3" s="383"/>
      <c r="D3" s="383"/>
      <c r="E3" s="383"/>
      <c r="F3" s="383"/>
      <c r="G3" s="383"/>
      <c r="H3" s="383"/>
      <c r="I3" s="383"/>
      <c r="J3" s="383"/>
      <c r="K3" s="383"/>
      <c r="L3" s="383"/>
      <c r="M3" s="383"/>
      <c r="N3" s="383"/>
      <c r="O3" s="383"/>
      <c r="P3" s="383"/>
      <c r="Q3" s="383"/>
      <c r="R3" s="383"/>
      <c r="S3" s="383"/>
      <c r="T3" s="383"/>
      <c r="U3" s="383"/>
      <c r="V3" s="383"/>
      <c r="W3" s="383"/>
      <c r="X3" s="383"/>
      <c r="Y3" s="383"/>
      <c r="Z3" s="383"/>
      <c r="AA3" s="383"/>
      <c r="AB3" s="383"/>
      <c r="AC3" s="383"/>
      <c r="AD3" s="383"/>
      <c r="AE3" s="383"/>
      <c r="AF3" s="383"/>
      <c r="AG3" s="383"/>
      <c r="AH3" s="383"/>
      <c r="AI3" s="383"/>
      <c r="AJ3" s="383"/>
      <c r="AK3" s="383"/>
      <c r="AL3" s="383"/>
      <c r="AM3" s="383"/>
      <c r="AN3" s="383"/>
      <c r="AO3" s="383"/>
      <c r="AP3" s="383"/>
      <c r="AQ3" s="383"/>
      <c r="AR3" s="383"/>
      <c r="AS3" s="383"/>
      <c r="AT3" s="383"/>
      <c r="AU3" s="383"/>
      <c r="AV3" s="383"/>
      <c r="AW3" s="383"/>
      <c r="AX3" s="383"/>
      <c r="AY3" s="383"/>
      <c r="AZ3" s="383"/>
      <c r="BA3" s="383"/>
      <c r="BB3" s="383"/>
      <c r="BC3" s="383"/>
      <c r="BD3" s="383"/>
      <c r="BE3" s="383"/>
      <c r="BF3" s="383"/>
      <c r="BG3" s="383"/>
      <c r="BH3" s="383"/>
      <c r="BI3" s="383"/>
      <c r="BJ3" s="383"/>
      <c r="BK3" s="383"/>
      <c r="BL3" s="383"/>
      <c r="BM3" s="383"/>
      <c r="BN3" s="383"/>
      <c r="BO3" s="383"/>
      <c r="BP3" s="383"/>
      <c r="BQ3" s="383"/>
      <c r="BR3" s="384"/>
      <c r="BS3" s="2" t="s">
        <v>3</v>
      </c>
      <c r="BT3" s="2" t="s">
        <v>4</v>
      </c>
    </row>
    <row r="4" spans="1:687" s="5" customFormat="1" ht="12.75" customHeight="1" x14ac:dyDescent="0.25">
      <c r="A4" s="419" t="s">
        <v>5</v>
      </c>
      <c r="B4" s="420"/>
      <c r="C4" s="420"/>
      <c r="D4" s="420"/>
      <c r="E4" s="420"/>
      <c r="F4" s="420"/>
      <c r="G4" s="420"/>
      <c r="H4" s="420"/>
      <c r="I4" s="420"/>
      <c r="J4" s="420"/>
      <c r="K4" s="421"/>
      <c r="L4" s="422" t="s">
        <v>6</v>
      </c>
      <c r="M4" s="423"/>
      <c r="N4" s="423"/>
      <c r="O4" s="423"/>
      <c r="P4" s="424"/>
      <c r="Q4" s="422" t="s">
        <v>7</v>
      </c>
      <c r="R4" s="423"/>
      <c r="S4" s="423"/>
      <c r="T4" s="423"/>
      <c r="U4" s="424"/>
      <c r="V4" s="425" t="s">
        <v>8</v>
      </c>
      <c r="W4" s="426"/>
      <c r="X4" s="429" t="s">
        <v>9</v>
      </c>
      <c r="Y4" s="399" t="s">
        <v>13</v>
      </c>
      <c r="Z4" s="400"/>
      <c r="AA4" s="400"/>
      <c r="AB4" s="400"/>
      <c r="AC4" s="400"/>
      <c r="AD4" s="400"/>
      <c r="AE4" s="400"/>
      <c r="AF4" s="401"/>
      <c r="AG4" s="399" t="s">
        <v>14</v>
      </c>
      <c r="AH4" s="400"/>
      <c r="AI4" s="400"/>
      <c r="AJ4" s="400"/>
      <c r="AK4" s="400"/>
      <c r="AL4" s="400"/>
      <c r="AM4" s="400"/>
      <c r="AN4" s="401"/>
      <c r="AO4" s="399" t="s">
        <v>15</v>
      </c>
      <c r="AP4" s="400"/>
      <c r="AQ4" s="400"/>
      <c r="AR4" s="400"/>
      <c r="AS4" s="400"/>
      <c r="AT4" s="400"/>
      <c r="AU4" s="400"/>
      <c r="AV4" s="401"/>
      <c r="AW4" s="399" t="s">
        <v>16</v>
      </c>
      <c r="AX4" s="400"/>
      <c r="AY4" s="400"/>
      <c r="AZ4" s="400"/>
      <c r="BA4" s="400"/>
      <c r="BB4" s="400"/>
      <c r="BC4" s="400"/>
      <c r="BD4" s="401"/>
      <c r="BE4" s="399" t="s">
        <v>382</v>
      </c>
      <c r="BF4" s="400"/>
      <c r="BG4" s="400"/>
      <c r="BH4" s="400"/>
      <c r="BI4" s="400"/>
      <c r="BJ4" s="400"/>
      <c r="BK4" s="400"/>
      <c r="BL4" s="401"/>
      <c r="BM4" s="399" t="s">
        <v>595</v>
      </c>
      <c r="BN4" s="400"/>
      <c r="BO4" s="400"/>
      <c r="BP4" s="400"/>
      <c r="BQ4" s="400"/>
      <c r="BR4" s="400"/>
      <c r="BS4" s="400"/>
      <c r="BT4" s="401"/>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c r="IZ4" s="4"/>
      <c r="JA4" s="4"/>
      <c r="JB4" s="4"/>
      <c r="JC4" s="4"/>
      <c r="JD4" s="4"/>
      <c r="JE4" s="4"/>
      <c r="JF4" s="4"/>
      <c r="JG4" s="4"/>
      <c r="JH4" s="4"/>
      <c r="JI4" s="4"/>
      <c r="JJ4" s="4"/>
      <c r="JK4" s="4"/>
      <c r="JL4" s="4"/>
      <c r="JM4" s="4"/>
      <c r="JN4" s="4"/>
      <c r="JO4" s="4"/>
      <c r="JP4" s="4"/>
      <c r="JQ4" s="4"/>
      <c r="JR4" s="4"/>
      <c r="JS4" s="4"/>
      <c r="JT4" s="4"/>
      <c r="JU4" s="4"/>
      <c r="JV4" s="4"/>
      <c r="JW4" s="4"/>
      <c r="JX4" s="4"/>
      <c r="JY4" s="4"/>
      <c r="JZ4" s="4"/>
      <c r="KA4" s="4"/>
      <c r="KB4" s="4"/>
      <c r="KC4" s="4"/>
      <c r="KD4" s="4"/>
      <c r="KE4" s="4"/>
      <c r="KF4" s="4"/>
      <c r="KG4" s="4"/>
      <c r="KH4" s="4"/>
      <c r="KI4" s="4"/>
      <c r="KJ4" s="4"/>
      <c r="KK4" s="4"/>
      <c r="KL4" s="4"/>
      <c r="KM4" s="4"/>
      <c r="KN4" s="4"/>
      <c r="KO4" s="4"/>
      <c r="KP4" s="4"/>
      <c r="KQ4" s="4"/>
      <c r="KR4" s="4"/>
      <c r="KS4" s="4"/>
      <c r="KT4" s="4"/>
      <c r="KU4" s="4"/>
      <c r="KV4" s="4"/>
      <c r="KW4" s="4"/>
      <c r="KX4" s="4"/>
      <c r="KY4" s="4"/>
      <c r="KZ4" s="4"/>
      <c r="LA4" s="4"/>
      <c r="LB4" s="4"/>
      <c r="LC4" s="4"/>
      <c r="LD4" s="4"/>
      <c r="LE4" s="4"/>
      <c r="LF4" s="4"/>
      <c r="LG4" s="4"/>
      <c r="LH4" s="4"/>
      <c r="LI4" s="4"/>
      <c r="LJ4" s="4"/>
      <c r="LK4" s="4"/>
      <c r="LL4" s="4"/>
      <c r="LM4" s="4"/>
      <c r="LN4" s="4"/>
      <c r="LO4" s="4"/>
      <c r="LP4" s="4"/>
      <c r="LQ4" s="4"/>
      <c r="LR4" s="4"/>
      <c r="LS4" s="4"/>
      <c r="LT4" s="4"/>
      <c r="LU4" s="4"/>
      <c r="LV4" s="4"/>
      <c r="LW4" s="4"/>
      <c r="LX4" s="4"/>
      <c r="LY4" s="4"/>
      <c r="LZ4" s="4"/>
      <c r="MA4" s="4"/>
      <c r="MB4" s="4"/>
      <c r="MC4" s="4"/>
      <c r="MD4" s="4"/>
      <c r="ME4" s="4"/>
      <c r="MF4" s="4"/>
      <c r="MG4" s="4"/>
      <c r="MH4" s="4"/>
      <c r="MI4" s="4"/>
      <c r="MJ4" s="4"/>
      <c r="MK4" s="4"/>
      <c r="ML4" s="4"/>
      <c r="MM4" s="4"/>
      <c r="MN4" s="4"/>
      <c r="MO4" s="4"/>
      <c r="MP4" s="4"/>
      <c r="MQ4" s="4"/>
      <c r="MR4" s="4"/>
      <c r="MS4" s="4"/>
      <c r="MT4" s="4"/>
      <c r="MU4" s="4"/>
      <c r="MV4" s="4"/>
      <c r="MW4" s="4"/>
      <c r="MX4" s="4"/>
      <c r="MY4" s="4"/>
      <c r="MZ4" s="4"/>
      <c r="NA4" s="4"/>
      <c r="NB4" s="4"/>
      <c r="NC4" s="4"/>
      <c r="ND4" s="4"/>
      <c r="NE4" s="4"/>
      <c r="NF4" s="4"/>
      <c r="NG4" s="4"/>
      <c r="NH4" s="4"/>
      <c r="NI4" s="4"/>
      <c r="NJ4" s="4"/>
      <c r="NK4" s="4"/>
      <c r="NL4" s="4"/>
      <c r="NM4" s="4"/>
      <c r="NN4" s="4"/>
      <c r="NO4" s="4"/>
      <c r="NP4" s="4"/>
      <c r="NQ4" s="4"/>
      <c r="NR4" s="4"/>
      <c r="NS4" s="4"/>
      <c r="NT4" s="4"/>
      <c r="NU4" s="4"/>
      <c r="NV4" s="4"/>
      <c r="NW4" s="4"/>
      <c r="NX4" s="4"/>
      <c r="NY4" s="4"/>
      <c r="NZ4" s="4"/>
      <c r="OA4" s="4"/>
      <c r="OB4" s="4"/>
      <c r="OC4" s="4"/>
      <c r="OD4" s="4"/>
      <c r="OE4" s="4"/>
      <c r="OF4" s="4"/>
      <c r="OG4" s="4"/>
      <c r="OH4" s="4"/>
      <c r="OI4" s="4"/>
      <c r="OJ4" s="4"/>
      <c r="OK4" s="4"/>
      <c r="OL4" s="4"/>
      <c r="OM4" s="4"/>
      <c r="ON4" s="4"/>
      <c r="OO4" s="4"/>
      <c r="OP4" s="4"/>
      <c r="OQ4" s="4"/>
      <c r="OR4" s="4"/>
      <c r="OS4" s="4"/>
      <c r="OT4" s="4"/>
      <c r="OU4" s="4"/>
      <c r="OV4" s="4"/>
      <c r="OW4" s="4"/>
      <c r="OX4" s="4"/>
      <c r="OY4" s="4"/>
      <c r="OZ4" s="4"/>
      <c r="PA4" s="4"/>
      <c r="PB4" s="4"/>
      <c r="PC4" s="4"/>
      <c r="PD4" s="4"/>
      <c r="PE4" s="4"/>
      <c r="PF4" s="4"/>
      <c r="PG4" s="4"/>
      <c r="PH4" s="4"/>
      <c r="PI4" s="4"/>
      <c r="PJ4" s="4"/>
      <c r="PK4" s="4"/>
      <c r="PL4" s="4"/>
      <c r="PM4" s="4"/>
      <c r="PN4" s="4"/>
      <c r="PO4" s="4"/>
      <c r="PP4" s="4"/>
      <c r="PQ4" s="4"/>
      <c r="PR4" s="4"/>
      <c r="PS4" s="4"/>
      <c r="PT4" s="4"/>
      <c r="PU4" s="4"/>
      <c r="PV4" s="4"/>
      <c r="PW4" s="4"/>
      <c r="PX4" s="4"/>
      <c r="PY4" s="4"/>
      <c r="PZ4" s="4"/>
      <c r="QA4" s="4"/>
      <c r="QB4" s="4"/>
      <c r="QC4" s="4"/>
      <c r="QD4" s="4"/>
      <c r="QE4" s="4"/>
      <c r="QF4" s="4"/>
      <c r="QG4" s="4"/>
      <c r="QH4" s="4"/>
      <c r="QI4" s="4"/>
      <c r="QJ4" s="4"/>
      <c r="QK4" s="4"/>
      <c r="QL4" s="4"/>
      <c r="QM4" s="4"/>
      <c r="QN4" s="4"/>
      <c r="QO4" s="4"/>
      <c r="QP4" s="4"/>
      <c r="QQ4" s="4"/>
      <c r="QR4" s="4"/>
      <c r="QS4" s="4"/>
      <c r="QT4" s="4"/>
      <c r="QU4" s="4"/>
      <c r="QV4" s="4"/>
      <c r="QW4" s="4"/>
      <c r="QX4" s="4"/>
      <c r="QY4" s="4"/>
      <c r="QZ4" s="4"/>
      <c r="RA4" s="4"/>
      <c r="RB4" s="4"/>
      <c r="RC4" s="4"/>
      <c r="RD4" s="4"/>
      <c r="RE4" s="4"/>
      <c r="RF4" s="4"/>
      <c r="RG4" s="4"/>
      <c r="RH4" s="4"/>
      <c r="RI4" s="4"/>
      <c r="RJ4" s="4"/>
      <c r="RK4" s="4"/>
      <c r="RL4" s="4"/>
      <c r="RM4" s="4"/>
      <c r="RN4" s="4"/>
      <c r="RO4" s="4"/>
      <c r="RP4" s="4"/>
      <c r="RQ4" s="4"/>
      <c r="RR4" s="4"/>
      <c r="RS4" s="4"/>
      <c r="RT4" s="4"/>
      <c r="RU4" s="4"/>
      <c r="RV4" s="4"/>
      <c r="RW4" s="4"/>
      <c r="RX4" s="4"/>
      <c r="RY4" s="4"/>
      <c r="RZ4" s="4"/>
      <c r="SA4" s="4"/>
      <c r="SB4" s="4"/>
      <c r="SC4" s="4"/>
      <c r="SD4" s="4"/>
      <c r="SE4" s="4"/>
      <c r="SF4" s="4"/>
      <c r="SG4" s="4"/>
      <c r="SH4" s="4"/>
      <c r="SI4" s="4"/>
      <c r="SJ4" s="4"/>
      <c r="SK4" s="4"/>
      <c r="SL4" s="4"/>
      <c r="SM4" s="4"/>
      <c r="SN4" s="4"/>
      <c r="SO4" s="4"/>
      <c r="SP4" s="4"/>
      <c r="SQ4" s="4"/>
      <c r="SR4" s="4"/>
      <c r="SS4" s="4"/>
      <c r="ST4" s="4"/>
      <c r="SU4" s="4"/>
      <c r="SV4" s="4"/>
      <c r="SW4" s="4"/>
      <c r="SX4" s="4"/>
      <c r="SY4" s="4"/>
      <c r="SZ4" s="4"/>
      <c r="TA4" s="4"/>
      <c r="TB4" s="4"/>
      <c r="TC4" s="4"/>
      <c r="TD4" s="4"/>
      <c r="TE4" s="4"/>
      <c r="TF4" s="4"/>
      <c r="TG4" s="4"/>
      <c r="TH4" s="4"/>
      <c r="TI4" s="4"/>
      <c r="TJ4" s="4"/>
      <c r="TK4" s="4"/>
      <c r="TL4" s="4"/>
      <c r="TM4" s="4"/>
      <c r="TN4" s="4"/>
      <c r="TO4" s="4"/>
      <c r="TP4" s="4"/>
      <c r="TQ4" s="4"/>
      <c r="TR4" s="4"/>
      <c r="TS4" s="4"/>
      <c r="TT4" s="4"/>
      <c r="TU4" s="4"/>
      <c r="TV4" s="4"/>
      <c r="TW4" s="4"/>
      <c r="TX4" s="4"/>
      <c r="TY4" s="4"/>
      <c r="TZ4" s="4"/>
      <c r="UA4" s="4"/>
      <c r="UB4" s="4"/>
      <c r="UC4" s="4"/>
      <c r="UD4" s="4"/>
      <c r="UE4" s="4"/>
      <c r="UF4" s="4"/>
      <c r="UG4" s="4"/>
      <c r="UH4" s="4"/>
      <c r="UI4" s="4"/>
      <c r="UJ4" s="4"/>
      <c r="UK4" s="4"/>
      <c r="UL4" s="4"/>
      <c r="UM4" s="4"/>
      <c r="UN4" s="4"/>
      <c r="UO4" s="4"/>
      <c r="UP4" s="4"/>
      <c r="UQ4" s="4"/>
      <c r="UR4" s="4"/>
      <c r="US4" s="4"/>
      <c r="UT4" s="4"/>
      <c r="UU4" s="4"/>
      <c r="UV4" s="4"/>
      <c r="UW4" s="4"/>
      <c r="UX4" s="4"/>
      <c r="UY4" s="4"/>
      <c r="UZ4" s="4"/>
      <c r="VA4" s="4"/>
      <c r="VB4" s="4"/>
      <c r="VC4" s="4"/>
      <c r="VD4" s="4"/>
      <c r="VE4" s="4"/>
      <c r="VF4" s="4"/>
      <c r="VG4" s="4"/>
      <c r="VH4" s="4"/>
      <c r="VI4" s="4"/>
      <c r="VJ4" s="4"/>
      <c r="VK4" s="4"/>
      <c r="VL4" s="4"/>
      <c r="VM4" s="4"/>
      <c r="VN4" s="4"/>
      <c r="VO4" s="4"/>
      <c r="VP4" s="4"/>
      <c r="VQ4" s="4"/>
      <c r="VR4" s="4"/>
      <c r="VS4" s="4"/>
      <c r="VT4" s="4"/>
      <c r="VU4" s="4"/>
      <c r="VV4" s="4"/>
      <c r="VW4" s="4"/>
      <c r="VX4" s="4"/>
      <c r="VY4" s="4"/>
      <c r="VZ4" s="4"/>
      <c r="WA4" s="4"/>
      <c r="WB4" s="4"/>
      <c r="WC4" s="4"/>
      <c r="WD4" s="4"/>
      <c r="WE4" s="4"/>
      <c r="WF4" s="4"/>
      <c r="WG4" s="4"/>
      <c r="WH4" s="4"/>
      <c r="WI4" s="4"/>
      <c r="WJ4" s="4"/>
      <c r="WK4" s="4"/>
      <c r="WL4" s="4"/>
      <c r="WM4" s="4"/>
      <c r="WN4" s="4"/>
      <c r="WO4" s="4"/>
      <c r="WP4" s="4"/>
      <c r="WQ4" s="4"/>
      <c r="WR4" s="4"/>
      <c r="WS4" s="4"/>
      <c r="WT4" s="4"/>
      <c r="WU4" s="4"/>
      <c r="WV4" s="4"/>
      <c r="WW4" s="4"/>
      <c r="WX4" s="4"/>
      <c r="WY4" s="4"/>
      <c r="WZ4" s="4"/>
      <c r="XA4" s="4"/>
      <c r="XB4" s="4"/>
      <c r="XC4" s="4"/>
      <c r="XD4" s="4"/>
      <c r="XE4" s="4"/>
      <c r="XF4" s="4"/>
      <c r="XG4" s="4"/>
      <c r="XH4" s="4"/>
      <c r="XI4" s="4"/>
      <c r="XJ4" s="4"/>
      <c r="XK4" s="4"/>
      <c r="XL4" s="4"/>
      <c r="XM4" s="4"/>
      <c r="XN4" s="4"/>
      <c r="XO4" s="4"/>
      <c r="XP4" s="4"/>
      <c r="XQ4" s="4"/>
      <c r="XR4" s="4"/>
      <c r="XS4" s="4"/>
      <c r="XT4" s="4"/>
      <c r="XU4" s="4"/>
      <c r="XV4" s="4"/>
      <c r="XW4" s="4"/>
      <c r="XX4" s="4"/>
      <c r="XY4" s="4"/>
      <c r="XZ4" s="4"/>
      <c r="YA4" s="4"/>
      <c r="YB4" s="4"/>
      <c r="YC4" s="4"/>
      <c r="YD4" s="4"/>
      <c r="YE4" s="4"/>
      <c r="YF4" s="4"/>
      <c r="YG4" s="4"/>
      <c r="YH4" s="4"/>
      <c r="YI4" s="4"/>
      <c r="YJ4" s="4"/>
      <c r="YK4" s="4"/>
      <c r="YL4" s="4"/>
      <c r="YM4" s="4"/>
      <c r="YN4" s="4"/>
      <c r="YO4" s="4"/>
      <c r="YP4" s="4"/>
      <c r="YQ4" s="4"/>
      <c r="YR4" s="4"/>
      <c r="YS4" s="4"/>
      <c r="YT4" s="4"/>
      <c r="YU4" s="4"/>
      <c r="YV4" s="4"/>
      <c r="YW4" s="4"/>
      <c r="YX4" s="4"/>
      <c r="YY4" s="4"/>
      <c r="YZ4" s="4"/>
      <c r="ZA4" s="4"/>
      <c r="ZB4" s="4"/>
      <c r="ZC4" s="4"/>
      <c r="ZD4" s="4"/>
      <c r="ZE4" s="4"/>
      <c r="ZF4" s="4"/>
      <c r="ZG4" s="4"/>
      <c r="ZH4" s="4"/>
      <c r="ZI4" s="4"/>
      <c r="ZJ4" s="4"/>
      <c r="ZK4" s="4"/>
    </row>
    <row r="5" spans="1:687" s="7" customFormat="1" ht="15" x14ac:dyDescent="0.25">
      <c r="A5" s="402" t="s">
        <v>17</v>
      </c>
      <c r="B5" s="403"/>
      <c r="C5" s="406"/>
      <c r="D5" s="6" t="s">
        <v>18</v>
      </c>
      <c r="E5" s="402" t="s">
        <v>19</v>
      </c>
      <c r="F5" s="406"/>
      <c r="G5" s="402" t="s">
        <v>20</v>
      </c>
      <c r="H5" s="403"/>
      <c r="I5" s="406"/>
      <c r="J5" s="417" t="s">
        <v>21</v>
      </c>
      <c r="K5" s="506" t="s">
        <v>383</v>
      </c>
      <c r="L5" s="399"/>
      <c r="M5" s="400"/>
      <c r="N5" s="400"/>
      <c r="O5" s="400"/>
      <c r="P5" s="401"/>
      <c r="Q5" s="399"/>
      <c r="R5" s="400"/>
      <c r="S5" s="400"/>
      <c r="T5" s="400"/>
      <c r="U5" s="401"/>
      <c r="V5" s="427"/>
      <c r="W5" s="428"/>
      <c r="X5" s="430"/>
      <c r="Y5" s="402" t="s">
        <v>23</v>
      </c>
      <c r="Z5" s="403"/>
      <c r="AA5" s="403"/>
      <c r="AB5" s="404"/>
      <c r="AC5" s="405" t="s">
        <v>24</v>
      </c>
      <c r="AD5" s="403"/>
      <c r="AE5" s="403"/>
      <c r="AF5" s="406"/>
      <c r="AG5" s="402" t="s">
        <v>23</v>
      </c>
      <c r="AH5" s="403"/>
      <c r="AI5" s="403"/>
      <c r="AJ5" s="404"/>
      <c r="AK5" s="405" t="s">
        <v>24</v>
      </c>
      <c r="AL5" s="403"/>
      <c r="AM5" s="403"/>
      <c r="AN5" s="406"/>
      <c r="AO5" s="402" t="s">
        <v>23</v>
      </c>
      <c r="AP5" s="403"/>
      <c r="AQ5" s="403"/>
      <c r="AR5" s="404"/>
      <c r="AS5" s="405" t="s">
        <v>24</v>
      </c>
      <c r="AT5" s="403"/>
      <c r="AU5" s="403"/>
      <c r="AV5" s="406"/>
      <c r="AW5" s="402" t="s">
        <v>23</v>
      </c>
      <c r="AX5" s="403"/>
      <c r="AY5" s="403"/>
      <c r="AZ5" s="404"/>
      <c r="BA5" s="405" t="s">
        <v>24</v>
      </c>
      <c r="BB5" s="403"/>
      <c r="BC5" s="403"/>
      <c r="BD5" s="406"/>
      <c r="BE5" s="402" t="s">
        <v>23</v>
      </c>
      <c r="BF5" s="403"/>
      <c r="BG5" s="403"/>
      <c r="BH5" s="404"/>
      <c r="BI5" s="405" t="s">
        <v>24</v>
      </c>
      <c r="BJ5" s="403"/>
      <c r="BK5" s="403"/>
      <c r="BL5" s="406"/>
      <c r="BM5" s="402" t="s">
        <v>23</v>
      </c>
      <c r="BN5" s="403"/>
      <c r="BO5" s="403"/>
      <c r="BP5" s="404"/>
      <c r="BQ5" s="405" t="s">
        <v>24</v>
      </c>
      <c r="BR5" s="403"/>
      <c r="BS5" s="403"/>
      <c r="BT5" s="406"/>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c r="IX5" s="4"/>
      <c r="IY5" s="4"/>
      <c r="IZ5" s="4"/>
      <c r="JA5" s="4"/>
      <c r="JB5" s="4"/>
      <c r="JC5" s="4"/>
      <c r="JD5" s="4"/>
      <c r="JE5" s="4"/>
      <c r="JF5" s="4"/>
      <c r="JG5" s="4"/>
      <c r="JH5" s="4"/>
      <c r="JI5" s="4"/>
      <c r="JJ5" s="4"/>
      <c r="JK5" s="4"/>
      <c r="JL5" s="4"/>
      <c r="JM5" s="4"/>
      <c r="JN5" s="4"/>
      <c r="JO5" s="4"/>
      <c r="JP5" s="4"/>
      <c r="JQ5" s="4"/>
      <c r="JR5" s="4"/>
      <c r="JS5" s="4"/>
      <c r="JT5" s="4"/>
      <c r="JU5" s="4"/>
      <c r="JV5" s="4"/>
      <c r="JW5" s="4"/>
      <c r="JX5" s="4"/>
      <c r="JY5" s="4"/>
      <c r="JZ5" s="4"/>
      <c r="KA5" s="4"/>
      <c r="KB5" s="4"/>
      <c r="KC5" s="4"/>
      <c r="KD5" s="4"/>
      <c r="KE5" s="4"/>
      <c r="KF5" s="4"/>
      <c r="KG5" s="4"/>
      <c r="KH5" s="4"/>
      <c r="KI5" s="4"/>
      <c r="KJ5" s="4"/>
      <c r="KK5" s="4"/>
      <c r="KL5" s="4"/>
      <c r="KM5" s="4"/>
      <c r="KN5" s="4"/>
      <c r="KO5" s="4"/>
      <c r="KP5" s="4"/>
      <c r="KQ5" s="4"/>
      <c r="KR5" s="4"/>
      <c r="KS5" s="4"/>
      <c r="KT5" s="4"/>
      <c r="KU5" s="4"/>
      <c r="KV5" s="4"/>
      <c r="KW5" s="4"/>
      <c r="KX5" s="4"/>
      <c r="KY5" s="4"/>
      <c r="KZ5" s="4"/>
      <c r="LA5" s="4"/>
      <c r="LB5" s="4"/>
      <c r="LC5" s="4"/>
      <c r="LD5" s="4"/>
      <c r="LE5" s="4"/>
      <c r="LF5" s="4"/>
      <c r="LG5" s="4"/>
      <c r="LH5" s="4"/>
      <c r="LI5" s="4"/>
      <c r="LJ5" s="4"/>
      <c r="LK5" s="4"/>
      <c r="LL5" s="4"/>
      <c r="LM5" s="4"/>
      <c r="LN5" s="4"/>
      <c r="LO5" s="4"/>
      <c r="LP5" s="4"/>
      <c r="LQ5" s="4"/>
      <c r="LR5" s="4"/>
      <c r="LS5" s="4"/>
      <c r="LT5" s="4"/>
      <c r="LU5" s="4"/>
      <c r="LV5" s="4"/>
      <c r="LW5" s="4"/>
      <c r="LX5" s="4"/>
      <c r="LY5" s="4"/>
      <c r="LZ5" s="4"/>
      <c r="MA5" s="4"/>
      <c r="MB5" s="4"/>
      <c r="MC5" s="4"/>
      <c r="MD5" s="4"/>
      <c r="ME5" s="4"/>
      <c r="MF5" s="4"/>
      <c r="MG5" s="4"/>
      <c r="MH5" s="4"/>
      <c r="MI5" s="4"/>
      <c r="MJ5" s="4"/>
      <c r="MK5" s="4"/>
      <c r="ML5" s="4"/>
      <c r="MM5" s="4"/>
      <c r="MN5" s="4"/>
      <c r="MO5" s="4"/>
      <c r="MP5" s="4"/>
      <c r="MQ5" s="4"/>
      <c r="MR5" s="4"/>
      <c r="MS5" s="4"/>
      <c r="MT5" s="4"/>
      <c r="MU5" s="4"/>
      <c r="MV5" s="4"/>
      <c r="MW5" s="4"/>
      <c r="MX5" s="4"/>
      <c r="MY5" s="4"/>
      <c r="MZ5" s="4"/>
      <c r="NA5" s="4"/>
      <c r="NB5" s="4"/>
      <c r="NC5" s="4"/>
      <c r="ND5" s="4"/>
      <c r="NE5" s="4"/>
      <c r="NF5" s="4"/>
      <c r="NG5" s="4"/>
      <c r="NH5" s="4"/>
      <c r="NI5" s="4"/>
      <c r="NJ5" s="4"/>
      <c r="NK5" s="4"/>
      <c r="NL5" s="4"/>
      <c r="NM5" s="4"/>
      <c r="NN5" s="4"/>
      <c r="NO5" s="4"/>
      <c r="NP5" s="4"/>
      <c r="NQ5" s="4"/>
      <c r="NR5" s="4"/>
      <c r="NS5" s="4"/>
      <c r="NT5" s="4"/>
      <c r="NU5" s="4"/>
      <c r="NV5" s="4"/>
      <c r="NW5" s="4"/>
      <c r="NX5" s="4"/>
      <c r="NY5" s="4"/>
      <c r="NZ5" s="4"/>
      <c r="OA5" s="4"/>
      <c r="OB5" s="4"/>
      <c r="OC5" s="4"/>
      <c r="OD5" s="4"/>
      <c r="OE5" s="4"/>
      <c r="OF5" s="4"/>
      <c r="OG5" s="4"/>
      <c r="OH5" s="4"/>
      <c r="OI5" s="4"/>
      <c r="OJ5" s="4"/>
      <c r="OK5" s="4"/>
      <c r="OL5" s="4"/>
      <c r="OM5" s="4"/>
      <c r="ON5" s="4"/>
      <c r="OO5" s="4"/>
      <c r="OP5" s="4"/>
      <c r="OQ5" s="4"/>
      <c r="OR5" s="4"/>
      <c r="OS5" s="4"/>
      <c r="OT5" s="4"/>
      <c r="OU5" s="4"/>
      <c r="OV5" s="4"/>
      <c r="OW5" s="4"/>
      <c r="OX5" s="4"/>
      <c r="OY5" s="4"/>
      <c r="OZ5" s="4"/>
      <c r="PA5" s="4"/>
      <c r="PB5" s="4"/>
      <c r="PC5" s="4"/>
      <c r="PD5" s="4"/>
      <c r="PE5" s="4"/>
      <c r="PF5" s="4"/>
      <c r="PG5" s="4"/>
      <c r="PH5" s="4"/>
      <c r="PI5" s="4"/>
      <c r="PJ5" s="4"/>
      <c r="PK5" s="4"/>
      <c r="PL5" s="4"/>
      <c r="PM5" s="4"/>
      <c r="PN5" s="4"/>
      <c r="PO5" s="4"/>
      <c r="PP5" s="4"/>
      <c r="PQ5" s="4"/>
      <c r="PR5" s="4"/>
      <c r="PS5" s="4"/>
      <c r="PT5" s="4"/>
      <c r="PU5" s="4"/>
      <c r="PV5" s="4"/>
      <c r="PW5" s="4"/>
      <c r="PX5" s="4"/>
      <c r="PY5" s="4"/>
      <c r="PZ5" s="4"/>
      <c r="QA5" s="4"/>
      <c r="QB5" s="4"/>
      <c r="QC5" s="4"/>
      <c r="QD5" s="4"/>
      <c r="QE5" s="4"/>
      <c r="QF5" s="4"/>
      <c r="QG5" s="4"/>
      <c r="QH5" s="4"/>
      <c r="QI5" s="4"/>
      <c r="QJ5" s="4"/>
      <c r="QK5" s="4"/>
      <c r="QL5" s="4"/>
      <c r="QM5" s="4"/>
      <c r="QN5" s="4"/>
      <c r="QO5" s="4"/>
      <c r="QP5" s="4"/>
      <c r="QQ5" s="4"/>
      <c r="QR5" s="4"/>
      <c r="QS5" s="4"/>
      <c r="QT5" s="4"/>
      <c r="QU5" s="4"/>
      <c r="QV5" s="4"/>
      <c r="QW5" s="4"/>
      <c r="QX5" s="4"/>
      <c r="QY5" s="4"/>
      <c r="QZ5" s="4"/>
      <c r="RA5" s="4"/>
      <c r="RB5" s="4"/>
      <c r="RC5" s="4"/>
      <c r="RD5" s="4"/>
      <c r="RE5" s="4"/>
      <c r="RF5" s="4"/>
      <c r="RG5" s="4"/>
      <c r="RH5" s="4"/>
      <c r="RI5" s="4"/>
      <c r="RJ5" s="4"/>
      <c r="RK5" s="4"/>
      <c r="RL5" s="4"/>
      <c r="RM5" s="4"/>
      <c r="RN5" s="4"/>
      <c r="RO5" s="4"/>
      <c r="RP5" s="4"/>
      <c r="RQ5" s="4"/>
      <c r="RR5" s="4"/>
      <c r="RS5" s="4"/>
      <c r="RT5" s="4"/>
      <c r="RU5" s="4"/>
      <c r="RV5" s="4"/>
      <c r="RW5" s="4"/>
      <c r="RX5" s="4"/>
      <c r="RY5" s="4"/>
      <c r="RZ5" s="4"/>
      <c r="SA5" s="4"/>
      <c r="SB5" s="4"/>
      <c r="SC5" s="4"/>
      <c r="SD5" s="4"/>
      <c r="SE5" s="4"/>
      <c r="SF5" s="4"/>
      <c r="SG5" s="4"/>
      <c r="SH5" s="4"/>
      <c r="SI5" s="4"/>
      <c r="SJ5" s="4"/>
      <c r="SK5" s="4"/>
      <c r="SL5" s="4"/>
      <c r="SM5" s="4"/>
      <c r="SN5" s="4"/>
      <c r="SO5" s="4"/>
      <c r="SP5" s="4"/>
      <c r="SQ5" s="4"/>
      <c r="SR5" s="4"/>
      <c r="SS5" s="4"/>
      <c r="ST5" s="4"/>
      <c r="SU5" s="4"/>
      <c r="SV5" s="4"/>
      <c r="SW5" s="4"/>
      <c r="SX5" s="4"/>
      <c r="SY5" s="4"/>
      <c r="SZ5" s="4"/>
      <c r="TA5" s="4"/>
      <c r="TB5" s="4"/>
      <c r="TC5" s="4"/>
      <c r="TD5" s="4"/>
      <c r="TE5" s="4"/>
      <c r="TF5" s="4"/>
      <c r="TG5" s="4"/>
      <c r="TH5" s="4"/>
      <c r="TI5" s="4"/>
      <c r="TJ5" s="4"/>
      <c r="TK5" s="4"/>
      <c r="TL5" s="4"/>
      <c r="TM5" s="4"/>
      <c r="TN5" s="4"/>
      <c r="TO5" s="4"/>
      <c r="TP5" s="4"/>
      <c r="TQ5" s="4"/>
      <c r="TR5" s="4"/>
      <c r="TS5" s="4"/>
      <c r="TT5" s="4"/>
      <c r="TU5" s="4"/>
      <c r="TV5" s="4"/>
      <c r="TW5" s="4"/>
      <c r="TX5" s="4"/>
      <c r="TY5" s="4"/>
      <c r="TZ5" s="4"/>
      <c r="UA5" s="4"/>
      <c r="UB5" s="4"/>
      <c r="UC5" s="4"/>
      <c r="UD5" s="4"/>
      <c r="UE5" s="4"/>
      <c r="UF5" s="4"/>
      <c r="UG5" s="4"/>
      <c r="UH5" s="4"/>
      <c r="UI5" s="4"/>
      <c r="UJ5" s="4"/>
      <c r="UK5" s="4"/>
      <c r="UL5" s="4"/>
      <c r="UM5" s="4"/>
      <c r="UN5" s="4"/>
      <c r="UO5" s="4"/>
      <c r="UP5" s="4"/>
      <c r="UQ5" s="4"/>
      <c r="UR5" s="4"/>
      <c r="US5" s="4"/>
      <c r="UT5" s="4"/>
      <c r="UU5" s="4"/>
      <c r="UV5" s="4"/>
      <c r="UW5" s="4"/>
      <c r="UX5" s="4"/>
      <c r="UY5" s="4"/>
      <c r="UZ5" s="4"/>
      <c r="VA5" s="4"/>
      <c r="VB5" s="4"/>
      <c r="VC5" s="4"/>
      <c r="VD5" s="4"/>
      <c r="VE5" s="4"/>
      <c r="VF5" s="4"/>
      <c r="VG5" s="4"/>
      <c r="VH5" s="4"/>
      <c r="VI5" s="4"/>
      <c r="VJ5" s="4"/>
      <c r="VK5" s="4"/>
      <c r="VL5" s="4"/>
      <c r="VM5" s="4"/>
      <c r="VN5" s="4"/>
      <c r="VO5" s="4"/>
      <c r="VP5" s="4"/>
      <c r="VQ5" s="4"/>
      <c r="VR5" s="4"/>
      <c r="VS5" s="4"/>
      <c r="VT5" s="4"/>
      <c r="VU5" s="4"/>
      <c r="VV5" s="4"/>
      <c r="VW5" s="4"/>
      <c r="VX5" s="4"/>
      <c r="VY5" s="4"/>
      <c r="VZ5" s="4"/>
      <c r="WA5" s="4"/>
      <c r="WB5" s="4"/>
      <c r="WC5" s="4"/>
      <c r="WD5" s="4"/>
      <c r="WE5" s="4"/>
      <c r="WF5" s="4"/>
      <c r="WG5" s="4"/>
      <c r="WH5" s="4"/>
      <c r="WI5" s="4"/>
      <c r="WJ5" s="4"/>
      <c r="WK5" s="4"/>
      <c r="WL5" s="4"/>
      <c r="WM5" s="4"/>
      <c r="WN5" s="4"/>
      <c r="WO5" s="4"/>
      <c r="WP5" s="4"/>
      <c r="WQ5" s="4"/>
      <c r="WR5" s="4"/>
      <c r="WS5" s="4"/>
      <c r="WT5" s="4"/>
      <c r="WU5" s="4"/>
      <c r="WV5" s="4"/>
      <c r="WW5" s="4"/>
      <c r="WX5" s="4"/>
      <c r="WY5" s="4"/>
      <c r="WZ5" s="4"/>
      <c r="XA5" s="4"/>
      <c r="XB5" s="4"/>
      <c r="XC5" s="4"/>
      <c r="XD5" s="4"/>
      <c r="XE5" s="4"/>
      <c r="XF5" s="4"/>
      <c r="XG5" s="4"/>
      <c r="XH5" s="4"/>
      <c r="XI5" s="4"/>
      <c r="XJ5" s="4"/>
      <c r="XK5" s="4"/>
      <c r="XL5" s="4"/>
      <c r="XM5" s="4"/>
      <c r="XN5" s="4"/>
      <c r="XO5" s="4"/>
      <c r="XP5" s="4"/>
      <c r="XQ5" s="4"/>
      <c r="XR5" s="4"/>
      <c r="XS5" s="4"/>
      <c r="XT5" s="4"/>
      <c r="XU5" s="4"/>
      <c r="XV5" s="4"/>
      <c r="XW5" s="4"/>
      <c r="XX5" s="4"/>
      <c r="XY5" s="4"/>
      <c r="XZ5" s="4"/>
      <c r="YA5" s="4"/>
      <c r="YB5" s="4"/>
      <c r="YC5" s="4"/>
      <c r="YD5" s="4"/>
      <c r="YE5" s="4"/>
      <c r="YF5" s="4"/>
      <c r="YG5" s="4"/>
      <c r="YH5" s="4"/>
      <c r="YI5" s="4"/>
      <c r="YJ5" s="4"/>
      <c r="YK5" s="4"/>
      <c r="YL5" s="4"/>
      <c r="YM5" s="4"/>
      <c r="YN5" s="4"/>
      <c r="YO5" s="4"/>
      <c r="YP5" s="4"/>
      <c r="YQ5" s="4"/>
      <c r="YR5" s="4"/>
      <c r="YS5" s="4"/>
      <c r="YT5" s="4"/>
      <c r="YU5" s="4"/>
      <c r="YV5" s="4"/>
      <c r="YW5" s="4"/>
      <c r="YX5" s="4"/>
      <c r="YY5" s="4"/>
      <c r="YZ5" s="4"/>
      <c r="ZA5" s="4"/>
      <c r="ZB5" s="4"/>
      <c r="ZC5" s="4"/>
      <c r="ZD5" s="4"/>
      <c r="ZE5" s="4"/>
      <c r="ZF5" s="4"/>
      <c r="ZG5" s="4"/>
      <c r="ZH5" s="4"/>
      <c r="ZI5" s="4"/>
      <c r="ZJ5" s="4"/>
      <c r="ZK5" s="4"/>
    </row>
    <row r="6" spans="1:687" s="5" customFormat="1" ht="25.5" customHeight="1" x14ac:dyDescent="0.25">
      <c r="A6" s="8" t="s">
        <v>25</v>
      </c>
      <c r="B6" s="8" t="s">
        <v>26</v>
      </c>
      <c r="C6" s="9" t="s">
        <v>27</v>
      </c>
      <c r="D6" s="9" t="s">
        <v>28</v>
      </c>
      <c r="E6" s="9" t="s">
        <v>29</v>
      </c>
      <c r="F6" s="9" t="s">
        <v>30</v>
      </c>
      <c r="G6" s="9" t="s">
        <v>31</v>
      </c>
      <c r="H6" s="9" t="s">
        <v>32</v>
      </c>
      <c r="I6" s="9" t="s">
        <v>33</v>
      </c>
      <c r="J6" s="418"/>
      <c r="K6" s="507"/>
      <c r="L6" s="9" t="s">
        <v>6</v>
      </c>
      <c r="M6" s="9" t="s">
        <v>34</v>
      </c>
      <c r="N6" s="10" t="s">
        <v>35</v>
      </c>
      <c r="O6" s="10" t="s">
        <v>36</v>
      </c>
      <c r="P6" s="10" t="s">
        <v>37</v>
      </c>
      <c r="Q6" s="9" t="s">
        <v>7</v>
      </c>
      <c r="R6" s="9" t="s">
        <v>38</v>
      </c>
      <c r="S6" s="9" t="s">
        <v>35</v>
      </c>
      <c r="T6" s="9" t="s">
        <v>36</v>
      </c>
      <c r="U6" s="9" t="s">
        <v>39</v>
      </c>
      <c r="V6" s="11" t="s">
        <v>40</v>
      </c>
      <c r="W6" s="11" t="s">
        <v>41</v>
      </c>
      <c r="X6" s="9" t="s">
        <v>42</v>
      </c>
      <c r="Y6" s="9" t="s">
        <v>43</v>
      </c>
      <c r="Z6" s="9" t="s">
        <v>44</v>
      </c>
      <c r="AA6" s="9" t="s">
        <v>45</v>
      </c>
      <c r="AB6" s="9" t="s">
        <v>46</v>
      </c>
      <c r="AC6" s="9" t="s">
        <v>43</v>
      </c>
      <c r="AD6" s="9" t="s">
        <v>44</v>
      </c>
      <c r="AE6" s="9" t="s">
        <v>45</v>
      </c>
      <c r="AF6" s="9" t="s">
        <v>46</v>
      </c>
      <c r="AG6" s="9" t="s">
        <v>43</v>
      </c>
      <c r="AH6" s="9" t="s">
        <v>44</v>
      </c>
      <c r="AI6" s="9" t="s">
        <v>45</v>
      </c>
      <c r="AJ6" s="9" t="s">
        <v>46</v>
      </c>
      <c r="AK6" s="9" t="s">
        <v>43</v>
      </c>
      <c r="AL6" s="9" t="s">
        <v>44</v>
      </c>
      <c r="AM6" s="9" t="s">
        <v>45</v>
      </c>
      <c r="AN6" s="9" t="s">
        <v>46</v>
      </c>
      <c r="AO6" s="9" t="s">
        <v>43</v>
      </c>
      <c r="AP6" s="9" t="s">
        <v>44</v>
      </c>
      <c r="AQ6" s="9" t="s">
        <v>45</v>
      </c>
      <c r="AR6" s="9" t="s">
        <v>46</v>
      </c>
      <c r="AS6" s="9" t="s">
        <v>43</v>
      </c>
      <c r="AT6" s="9" t="s">
        <v>44</v>
      </c>
      <c r="AU6" s="9" t="s">
        <v>45</v>
      </c>
      <c r="AV6" s="9" t="s">
        <v>46</v>
      </c>
      <c r="AW6" s="9" t="s">
        <v>43</v>
      </c>
      <c r="AX6" s="9" t="s">
        <v>44</v>
      </c>
      <c r="AY6" s="9" t="s">
        <v>45</v>
      </c>
      <c r="AZ6" s="9" t="s">
        <v>46</v>
      </c>
      <c r="BA6" s="9" t="s">
        <v>43</v>
      </c>
      <c r="BB6" s="9" t="s">
        <v>44</v>
      </c>
      <c r="BC6" s="9" t="s">
        <v>45</v>
      </c>
      <c r="BD6" s="9" t="s">
        <v>46</v>
      </c>
      <c r="BE6" s="9" t="s">
        <v>43</v>
      </c>
      <c r="BF6" s="9" t="s">
        <v>44</v>
      </c>
      <c r="BG6" s="9" t="s">
        <v>45</v>
      </c>
      <c r="BH6" s="9" t="s">
        <v>46</v>
      </c>
      <c r="BI6" s="9" t="s">
        <v>43</v>
      </c>
      <c r="BJ6" s="9" t="s">
        <v>44</v>
      </c>
      <c r="BK6" s="9" t="s">
        <v>45</v>
      </c>
      <c r="BL6" s="9" t="s">
        <v>46</v>
      </c>
      <c r="BM6" s="9" t="s">
        <v>43</v>
      </c>
      <c r="BN6" s="9" t="s">
        <v>44</v>
      </c>
      <c r="BO6" s="9" t="s">
        <v>45</v>
      </c>
      <c r="BP6" s="9" t="s">
        <v>46</v>
      </c>
      <c r="BQ6" s="9" t="s">
        <v>43</v>
      </c>
      <c r="BR6" s="9" t="s">
        <v>44</v>
      </c>
      <c r="BS6" s="9" t="s">
        <v>45</v>
      </c>
      <c r="BT6" s="9" t="s">
        <v>46</v>
      </c>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c r="IX6" s="4"/>
      <c r="IY6" s="4"/>
      <c r="IZ6" s="4"/>
      <c r="JA6" s="4"/>
      <c r="JB6" s="4"/>
      <c r="JC6" s="4"/>
      <c r="JD6" s="4"/>
      <c r="JE6" s="4"/>
      <c r="JF6" s="4"/>
      <c r="JG6" s="4"/>
      <c r="JH6" s="4"/>
      <c r="JI6" s="4"/>
      <c r="JJ6" s="4"/>
      <c r="JK6" s="4"/>
      <c r="JL6" s="4"/>
      <c r="JM6" s="4"/>
      <c r="JN6" s="4"/>
      <c r="JO6" s="4"/>
      <c r="JP6" s="4"/>
      <c r="JQ6" s="4"/>
      <c r="JR6" s="4"/>
      <c r="JS6" s="4"/>
      <c r="JT6" s="4"/>
      <c r="JU6" s="4"/>
      <c r="JV6" s="4"/>
      <c r="JW6" s="4"/>
      <c r="JX6" s="4"/>
      <c r="JY6" s="4"/>
      <c r="JZ6" s="4"/>
      <c r="KA6" s="4"/>
      <c r="KB6" s="4"/>
      <c r="KC6" s="4"/>
      <c r="KD6" s="4"/>
      <c r="KE6" s="4"/>
      <c r="KF6" s="4"/>
      <c r="KG6" s="4"/>
      <c r="KH6" s="4"/>
      <c r="KI6" s="4"/>
      <c r="KJ6" s="4"/>
      <c r="KK6" s="4"/>
      <c r="KL6" s="4"/>
      <c r="KM6" s="4"/>
      <c r="KN6" s="4"/>
      <c r="KO6" s="4"/>
      <c r="KP6" s="4"/>
      <c r="KQ6" s="4"/>
      <c r="KR6" s="4"/>
      <c r="KS6" s="4"/>
      <c r="KT6" s="4"/>
      <c r="KU6" s="4"/>
      <c r="KV6" s="4"/>
      <c r="KW6" s="4"/>
      <c r="KX6" s="4"/>
      <c r="KY6" s="4"/>
      <c r="KZ6" s="4"/>
      <c r="LA6" s="4"/>
      <c r="LB6" s="4"/>
      <c r="LC6" s="4"/>
      <c r="LD6" s="4"/>
      <c r="LE6" s="4"/>
      <c r="LF6" s="4"/>
      <c r="LG6" s="4"/>
      <c r="LH6" s="4"/>
      <c r="LI6" s="4"/>
      <c r="LJ6" s="4"/>
      <c r="LK6" s="4"/>
      <c r="LL6" s="4"/>
      <c r="LM6" s="4"/>
      <c r="LN6" s="4"/>
      <c r="LO6" s="4"/>
      <c r="LP6" s="4"/>
      <c r="LQ6" s="4"/>
      <c r="LR6" s="4"/>
      <c r="LS6" s="4"/>
      <c r="LT6" s="4"/>
      <c r="LU6" s="4"/>
      <c r="LV6" s="4"/>
      <c r="LW6" s="4"/>
      <c r="LX6" s="4"/>
      <c r="LY6" s="4"/>
      <c r="LZ6" s="4"/>
      <c r="MA6" s="4"/>
      <c r="MB6" s="4"/>
      <c r="MC6" s="4"/>
      <c r="MD6" s="4"/>
      <c r="ME6" s="4"/>
      <c r="MF6" s="4"/>
      <c r="MG6" s="4"/>
      <c r="MH6" s="4"/>
      <c r="MI6" s="4"/>
      <c r="MJ6" s="4"/>
      <c r="MK6" s="4"/>
      <c r="ML6" s="4"/>
      <c r="MM6" s="4"/>
      <c r="MN6" s="4"/>
      <c r="MO6" s="4"/>
      <c r="MP6" s="4"/>
      <c r="MQ6" s="4"/>
      <c r="MR6" s="4"/>
      <c r="MS6" s="4"/>
      <c r="MT6" s="4"/>
      <c r="MU6" s="4"/>
      <c r="MV6" s="4"/>
      <c r="MW6" s="4"/>
      <c r="MX6" s="4"/>
      <c r="MY6" s="4"/>
      <c r="MZ6" s="4"/>
      <c r="NA6" s="4"/>
      <c r="NB6" s="4"/>
      <c r="NC6" s="4"/>
      <c r="ND6" s="4"/>
      <c r="NE6" s="4"/>
      <c r="NF6" s="4"/>
      <c r="NG6" s="4"/>
      <c r="NH6" s="4"/>
      <c r="NI6" s="4"/>
      <c r="NJ6" s="4"/>
      <c r="NK6" s="4"/>
      <c r="NL6" s="4"/>
      <c r="NM6" s="4"/>
      <c r="NN6" s="4"/>
      <c r="NO6" s="4"/>
      <c r="NP6" s="4"/>
      <c r="NQ6" s="4"/>
      <c r="NR6" s="4"/>
      <c r="NS6" s="4"/>
      <c r="NT6" s="4"/>
      <c r="NU6" s="4"/>
      <c r="NV6" s="4"/>
      <c r="NW6" s="4"/>
      <c r="NX6" s="4"/>
      <c r="NY6" s="4"/>
      <c r="NZ6" s="4"/>
      <c r="OA6" s="4"/>
      <c r="OB6" s="4"/>
      <c r="OC6" s="4"/>
      <c r="OD6" s="4"/>
      <c r="OE6" s="4"/>
      <c r="OF6" s="4"/>
      <c r="OG6" s="4"/>
      <c r="OH6" s="4"/>
      <c r="OI6" s="4"/>
      <c r="OJ6" s="4"/>
      <c r="OK6" s="4"/>
      <c r="OL6" s="4"/>
      <c r="OM6" s="4"/>
      <c r="ON6" s="4"/>
      <c r="OO6" s="4"/>
      <c r="OP6" s="4"/>
      <c r="OQ6" s="4"/>
      <c r="OR6" s="4"/>
      <c r="OS6" s="4"/>
      <c r="OT6" s="4"/>
      <c r="OU6" s="4"/>
      <c r="OV6" s="4"/>
      <c r="OW6" s="4"/>
      <c r="OX6" s="4"/>
      <c r="OY6" s="4"/>
      <c r="OZ6" s="4"/>
      <c r="PA6" s="4"/>
      <c r="PB6" s="4"/>
      <c r="PC6" s="4"/>
      <c r="PD6" s="4"/>
      <c r="PE6" s="4"/>
      <c r="PF6" s="4"/>
      <c r="PG6" s="4"/>
      <c r="PH6" s="4"/>
      <c r="PI6" s="4"/>
      <c r="PJ6" s="4"/>
      <c r="PK6" s="4"/>
      <c r="PL6" s="4"/>
      <c r="PM6" s="4"/>
      <c r="PN6" s="4"/>
      <c r="PO6" s="4"/>
      <c r="PP6" s="4"/>
      <c r="PQ6" s="4"/>
      <c r="PR6" s="4"/>
      <c r="PS6" s="4"/>
      <c r="PT6" s="4"/>
      <c r="PU6" s="4"/>
      <c r="PV6" s="4"/>
      <c r="PW6" s="4"/>
      <c r="PX6" s="4"/>
      <c r="PY6" s="4"/>
      <c r="PZ6" s="4"/>
      <c r="QA6" s="4"/>
      <c r="QB6" s="4"/>
      <c r="QC6" s="4"/>
      <c r="QD6" s="4"/>
      <c r="QE6" s="4"/>
      <c r="QF6" s="4"/>
      <c r="QG6" s="4"/>
      <c r="QH6" s="4"/>
      <c r="QI6" s="4"/>
      <c r="QJ6" s="4"/>
      <c r="QK6" s="4"/>
      <c r="QL6" s="4"/>
      <c r="QM6" s="4"/>
      <c r="QN6" s="4"/>
      <c r="QO6" s="4"/>
      <c r="QP6" s="4"/>
      <c r="QQ6" s="4"/>
      <c r="QR6" s="4"/>
      <c r="QS6" s="4"/>
      <c r="QT6" s="4"/>
      <c r="QU6" s="4"/>
      <c r="QV6" s="4"/>
      <c r="QW6" s="4"/>
      <c r="QX6" s="4"/>
      <c r="QY6" s="4"/>
      <c r="QZ6" s="4"/>
      <c r="RA6" s="4"/>
      <c r="RB6" s="4"/>
      <c r="RC6" s="4"/>
      <c r="RD6" s="4"/>
      <c r="RE6" s="4"/>
      <c r="RF6" s="4"/>
      <c r="RG6" s="4"/>
      <c r="RH6" s="4"/>
      <c r="RI6" s="4"/>
      <c r="RJ6" s="4"/>
      <c r="RK6" s="4"/>
      <c r="RL6" s="4"/>
      <c r="RM6" s="4"/>
      <c r="RN6" s="4"/>
      <c r="RO6" s="4"/>
      <c r="RP6" s="4"/>
      <c r="RQ6" s="4"/>
      <c r="RR6" s="4"/>
      <c r="RS6" s="4"/>
      <c r="RT6" s="4"/>
      <c r="RU6" s="4"/>
      <c r="RV6" s="4"/>
      <c r="RW6" s="4"/>
      <c r="RX6" s="4"/>
      <c r="RY6" s="4"/>
      <c r="RZ6" s="4"/>
      <c r="SA6" s="4"/>
      <c r="SB6" s="4"/>
      <c r="SC6" s="4"/>
      <c r="SD6" s="4"/>
      <c r="SE6" s="4"/>
      <c r="SF6" s="4"/>
      <c r="SG6" s="4"/>
      <c r="SH6" s="4"/>
      <c r="SI6" s="4"/>
      <c r="SJ6" s="4"/>
      <c r="SK6" s="4"/>
      <c r="SL6" s="4"/>
      <c r="SM6" s="4"/>
      <c r="SN6" s="4"/>
      <c r="SO6" s="4"/>
      <c r="SP6" s="4"/>
      <c r="SQ6" s="4"/>
      <c r="SR6" s="4"/>
      <c r="SS6" s="4"/>
      <c r="ST6" s="4"/>
      <c r="SU6" s="4"/>
      <c r="SV6" s="4"/>
      <c r="SW6" s="4"/>
      <c r="SX6" s="4"/>
      <c r="SY6" s="4"/>
      <c r="SZ6" s="4"/>
      <c r="TA6" s="4"/>
      <c r="TB6" s="4"/>
      <c r="TC6" s="4"/>
      <c r="TD6" s="4"/>
      <c r="TE6" s="4"/>
      <c r="TF6" s="4"/>
      <c r="TG6" s="4"/>
      <c r="TH6" s="4"/>
      <c r="TI6" s="4"/>
      <c r="TJ6" s="4"/>
      <c r="TK6" s="4"/>
      <c r="TL6" s="4"/>
      <c r="TM6" s="4"/>
      <c r="TN6" s="4"/>
      <c r="TO6" s="4"/>
      <c r="TP6" s="4"/>
      <c r="TQ6" s="4"/>
      <c r="TR6" s="4"/>
      <c r="TS6" s="4"/>
      <c r="TT6" s="4"/>
      <c r="TU6" s="4"/>
      <c r="TV6" s="4"/>
      <c r="TW6" s="4"/>
      <c r="TX6" s="4"/>
      <c r="TY6" s="4"/>
      <c r="TZ6" s="4"/>
      <c r="UA6" s="4"/>
      <c r="UB6" s="4"/>
      <c r="UC6" s="4"/>
      <c r="UD6" s="4"/>
      <c r="UE6" s="4"/>
      <c r="UF6" s="4"/>
      <c r="UG6" s="4"/>
      <c r="UH6" s="4"/>
      <c r="UI6" s="4"/>
      <c r="UJ6" s="4"/>
      <c r="UK6" s="4"/>
      <c r="UL6" s="4"/>
      <c r="UM6" s="4"/>
      <c r="UN6" s="4"/>
      <c r="UO6" s="4"/>
      <c r="UP6" s="4"/>
      <c r="UQ6" s="4"/>
      <c r="UR6" s="4"/>
      <c r="US6" s="4"/>
      <c r="UT6" s="4"/>
      <c r="UU6" s="4"/>
      <c r="UV6" s="4"/>
      <c r="UW6" s="4"/>
      <c r="UX6" s="4"/>
      <c r="UY6" s="4"/>
      <c r="UZ6" s="4"/>
      <c r="VA6" s="4"/>
      <c r="VB6" s="4"/>
      <c r="VC6" s="4"/>
      <c r="VD6" s="4"/>
      <c r="VE6" s="4"/>
      <c r="VF6" s="4"/>
      <c r="VG6" s="4"/>
      <c r="VH6" s="4"/>
      <c r="VI6" s="4"/>
      <c r="VJ6" s="4"/>
      <c r="VK6" s="4"/>
      <c r="VL6" s="4"/>
      <c r="VM6" s="4"/>
      <c r="VN6" s="4"/>
      <c r="VO6" s="4"/>
      <c r="VP6" s="4"/>
      <c r="VQ6" s="4"/>
      <c r="VR6" s="4"/>
      <c r="VS6" s="4"/>
      <c r="VT6" s="4"/>
      <c r="VU6" s="4"/>
      <c r="VV6" s="4"/>
      <c r="VW6" s="4"/>
      <c r="VX6" s="4"/>
      <c r="VY6" s="4"/>
      <c r="VZ6" s="4"/>
      <c r="WA6" s="4"/>
      <c r="WB6" s="4"/>
      <c r="WC6" s="4"/>
      <c r="WD6" s="4"/>
      <c r="WE6" s="4"/>
      <c r="WF6" s="4"/>
      <c r="WG6" s="4"/>
      <c r="WH6" s="4"/>
      <c r="WI6" s="4"/>
      <c r="WJ6" s="4"/>
      <c r="WK6" s="4"/>
      <c r="WL6" s="4"/>
      <c r="WM6" s="4"/>
      <c r="WN6" s="4"/>
      <c r="WO6" s="4"/>
      <c r="WP6" s="4"/>
      <c r="WQ6" s="4"/>
      <c r="WR6" s="4"/>
      <c r="WS6" s="4"/>
      <c r="WT6" s="4"/>
      <c r="WU6" s="4"/>
      <c r="WV6" s="4"/>
      <c r="WW6" s="4"/>
      <c r="WX6" s="4"/>
      <c r="WY6" s="4"/>
      <c r="WZ6" s="4"/>
      <c r="XA6" s="4"/>
      <c r="XB6" s="4"/>
      <c r="XC6" s="4"/>
      <c r="XD6" s="4"/>
      <c r="XE6" s="4"/>
      <c r="XF6" s="4"/>
      <c r="XG6" s="4"/>
      <c r="XH6" s="4"/>
      <c r="XI6" s="4"/>
      <c r="XJ6" s="4"/>
      <c r="XK6" s="4"/>
      <c r="XL6" s="4"/>
      <c r="XM6" s="4"/>
      <c r="XN6" s="4"/>
      <c r="XO6" s="4"/>
      <c r="XP6" s="4"/>
      <c r="XQ6" s="4"/>
      <c r="XR6" s="4"/>
      <c r="XS6" s="4"/>
      <c r="XT6" s="4"/>
      <c r="XU6" s="4"/>
      <c r="XV6" s="4"/>
      <c r="XW6" s="4"/>
      <c r="XX6" s="4"/>
      <c r="XY6" s="4"/>
      <c r="XZ6" s="4"/>
      <c r="YA6" s="4"/>
      <c r="YB6" s="4"/>
      <c r="YC6" s="4"/>
      <c r="YD6" s="4"/>
      <c r="YE6" s="4"/>
      <c r="YF6" s="4"/>
      <c r="YG6" s="4"/>
      <c r="YH6" s="4"/>
      <c r="YI6" s="4"/>
      <c r="YJ6" s="4"/>
      <c r="YK6" s="4"/>
      <c r="YL6" s="4"/>
      <c r="YM6" s="4"/>
      <c r="YN6" s="4"/>
      <c r="YO6" s="4"/>
      <c r="YP6" s="4"/>
      <c r="YQ6" s="4"/>
      <c r="YR6" s="4"/>
      <c r="YS6" s="4"/>
      <c r="YT6" s="4"/>
      <c r="YU6" s="4"/>
      <c r="YV6" s="4"/>
      <c r="YW6" s="4"/>
      <c r="YX6" s="4"/>
      <c r="YY6" s="4"/>
      <c r="YZ6" s="4"/>
      <c r="ZA6" s="4"/>
      <c r="ZB6" s="4"/>
      <c r="ZC6" s="4"/>
      <c r="ZD6" s="4"/>
      <c r="ZE6" s="4"/>
      <c r="ZF6" s="4"/>
      <c r="ZG6" s="4"/>
      <c r="ZH6" s="4"/>
      <c r="ZI6" s="4"/>
      <c r="ZJ6" s="4"/>
      <c r="ZK6" s="4"/>
    </row>
    <row r="7" spans="1:687" s="29" customFormat="1" ht="51" customHeight="1" x14ac:dyDescent="0.25">
      <c r="A7" s="510" t="s">
        <v>47</v>
      </c>
      <c r="B7" s="511" t="s">
        <v>48</v>
      </c>
      <c r="C7" s="508" t="s">
        <v>49</v>
      </c>
      <c r="D7" s="508" t="s">
        <v>50</v>
      </c>
      <c r="E7" s="508" t="s">
        <v>51</v>
      </c>
      <c r="F7" s="508" t="s">
        <v>52</v>
      </c>
      <c r="G7" s="508" t="s">
        <v>53</v>
      </c>
      <c r="H7" s="508" t="s">
        <v>54</v>
      </c>
      <c r="I7" s="508" t="s">
        <v>384</v>
      </c>
      <c r="J7" s="663" t="s">
        <v>385</v>
      </c>
      <c r="K7" s="663" t="s">
        <v>386</v>
      </c>
      <c r="L7" s="663" t="s">
        <v>387</v>
      </c>
      <c r="M7" s="663" t="s">
        <v>388</v>
      </c>
      <c r="N7" s="663" t="s">
        <v>60</v>
      </c>
      <c r="O7" s="663"/>
      <c r="P7" s="663">
        <v>2488</v>
      </c>
      <c r="Q7" s="664" t="s">
        <v>389</v>
      </c>
      <c r="R7" s="664" t="s">
        <v>390</v>
      </c>
      <c r="S7" s="665" t="s">
        <v>60</v>
      </c>
      <c r="T7" s="664"/>
      <c r="U7" s="665">
        <v>989</v>
      </c>
      <c r="V7" s="666">
        <v>855931474</v>
      </c>
      <c r="W7" s="667">
        <v>6807513277</v>
      </c>
      <c r="X7" s="126" t="s">
        <v>391</v>
      </c>
      <c r="Y7" s="494">
        <f>+Y11+Y15+Y19+Y23+Y27</f>
        <v>556</v>
      </c>
      <c r="Z7" s="497">
        <f>+P7</f>
        <v>2488</v>
      </c>
      <c r="AA7" s="500">
        <f>Y7/Z7</f>
        <v>0.22347266881028938</v>
      </c>
      <c r="AB7" s="503" t="s">
        <v>392</v>
      </c>
      <c r="AC7" s="24">
        <f>+AC11+AC15+AC19+AC23</f>
        <v>273</v>
      </c>
      <c r="AD7" s="24">
        <f>+U7</f>
        <v>989</v>
      </c>
      <c r="AE7" s="25">
        <f>+AC7/AD7</f>
        <v>0.27603640040444893</v>
      </c>
      <c r="AF7" s="369" t="s">
        <v>393</v>
      </c>
      <c r="AG7" s="494">
        <f>+AG11+AG15+AG19+AG23+AG27</f>
        <v>790</v>
      </c>
      <c r="AH7" s="497">
        <f>+'[12]PAI SSLA'!P7</f>
        <v>2488</v>
      </c>
      <c r="AI7" s="500">
        <f>AG7/AH7</f>
        <v>0.317524115755627</v>
      </c>
      <c r="AJ7" s="492" t="s">
        <v>394</v>
      </c>
      <c r="AK7" s="24">
        <f>+AK11+AK15+AK19+AK23</f>
        <v>275</v>
      </c>
      <c r="AL7" s="24">
        <f>+'[12]PAI SSLA'!U7</f>
        <v>989</v>
      </c>
      <c r="AM7" s="25">
        <f>+AK7/AL7</f>
        <v>0.2780586450960566</v>
      </c>
      <c r="AN7" s="369" t="s">
        <v>395</v>
      </c>
      <c r="AO7" s="494">
        <f>+AO11+AO15+AO19+AO23+AO27</f>
        <v>1130</v>
      </c>
      <c r="AP7" s="497">
        <f>+'[13]PAI SSLA'!P7</f>
        <v>2488</v>
      </c>
      <c r="AQ7" s="500">
        <f>AO7/AP7</f>
        <v>0.45418006430868169</v>
      </c>
      <c r="AR7" s="465" t="s">
        <v>396</v>
      </c>
      <c r="AS7" s="24">
        <f>+AS11+AS15+AS19+AS23</f>
        <v>278</v>
      </c>
      <c r="AT7" s="24">
        <f>+'[13]PAI SSLA'!U7</f>
        <v>989</v>
      </c>
      <c r="AU7" s="25">
        <f>+AS7/AT7</f>
        <v>0.28109201213346813</v>
      </c>
      <c r="AV7" s="26" t="s">
        <v>397</v>
      </c>
      <c r="AW7" s="494">
        <f>+AW11+AW15+AW19+AW23+AW27</f>
        <v>1443</v>
      </c>
      <c r="AX7" s="497">
        <v>2488</v>
      </c>
      <c r="AY7" s="500">
        <v>0.579983922829582</v>
      </c>
      <c r="AZ7" s="503" t="s">
        <v>398</v>
      </c>
      <c r="BA7" s="24">
        <v>309</v>
      </c>
      <c r="BB7" s="24">
        <v>989</v>
      </c>
      <c r="BC7" s="25">
        <v>0.31243680485338726</v>
      </c>
      <c r="BD7" s="26" t="s">
        <v>399</v>
      </c>
      <c r="BE7" s="494">
        <v>1710</v>
      </c>
      <c r="BF7" s="497">
        <v>2488</v>
      </c>
      <c r="BG7" s="500">
        <v>0.68729903536977488</v>
      </c>
      <c r="BH7" s="503" t="s">
        <v>400</v>
      </c>
      <c r="BI7" s="24">
        <v>349</v>
      </c>
      <c r="BJ7" s="24">
        <v>989</v>
      </c>
      <c r="BK7" s="25">
        <v>0.35288169868554092</v>
      </c>
      <c r="BL7" s="26" t="s">
        <v>401</v>
      </c>
      <c r="BM7" s="494">
        <v>1986</v>
      </c>
      <c r="BN7" s="497">
        <v>2488</v>
      </c>
      <c r="BO7" s="500">
        <v>0.79823151125401925</v>
      </c>
      <c r="BP7" s="503" t="s">
        <v>657</v>
      </c>
      <c r="BQ7" s="24">
        <v>414</v>
      </c>
      <c r="BR7" s="24">
        <v>989</v>
      </c>
      <c r="BS7" s="25">
        <v>0.41860465116279072</v>
      </c>
      <c r="BT7" s="26" t="s">
        <v>628</v>
      </c>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c r="JJ7" s="17"/>
      <c r="JK7" s="17"/>
      <c r="JL7" s="17"/>
      <c r="JM7" s="17"/>
      <c r="JN7" s="17"/>
      <c r="JO7" s="17"/>
      <c r="JP7" s="17"/>
      <c r="JQ7" s="17"/>
      <c r="JR7" s="17"/>
      <c r="JS7" s="17"/>
      <c r="JT7" s="17"/>
      <c r="JU7" s="17"/>
      <c r="JV7" s="17"/>
      <c r="JW7" s="17"/>
      <c r="JX7" s="17"/>
      <c r="JY7" s="17"/>
      <c r="JZ7" s="17"/>
      <c r="KA7" s="17"/>
      <c r="KB7" s="17"/>
      <c r="KC7" s="17"/>
      <c r="KD7" s="17"/>
      <c r="KE7" s="17"/>
      <c r="KF7" s="17"/>
      <c r="KG7" s="17"/>
      <c r="KH7" s="17"/>
      <c r="KI7" s="17"/>
      <c r="KJ7" s="17"/>
      <c r="KK7" s="17"/>
      <c r="KL7" s="17"/>
      <c r="KM7" s="17"/>
      <c r="KN7" s="17"/>
      <c r="KO7" s="17"/>
      <c r="KP7" s="17"/>
      <c r="KQ7" s="17"/>
      <c r="KR7" s="17"/>
      <c r="KS7" s="17"/>
      <c r="KT7" s="17"/>
      <c r="KU7" s="17"/>
      <c r="KV7" s="17"/>
      <c r="KW7" s="17"/>
      <c r="KX7" s="17"/>
      <c r="KY7" s="17"/>
      <c r="KZ7" s="17"/>
      <c r="LA7" s="17"/>
      <c r="LB7" s="17"/>
      <c r="LC7" s="17"/>
      <c r="LD7" s="17"/>
      <c r="LE7" s="17"/>
      <c r="LF7" s="17"/>
      <c r="LG7" s="17"/>
      <c r="LH7" s="17"/>
      <c r="LI7" s="17"/>
      <c r="LJ7" s="17"/>
      <c r="LK7" s="17"/>
      <c r="LL7" s="17"/>
      <c r="LM7" s="17"/>
      <c r="LN7" s="17"/>
      <c r="LO7" s="17"/>
      <c r="LP7" s="17"/>
      <c r="LQ7" s="17"/>
      <c r="LR7" s="17"/>
      <c r="LS7" s="17"/>
      <c r="LT7" s="17"/>
      <c r="LU7" s="17"/>
      <c r="LV7" s="17"/>
      <c r="LW7" s="17"/>
      <c r="LX7" s="17"/>
      <c r="LY7" s="17"/>
      <c r="LZ7" s="17"/>
      <c r="MA7" s="17"/>
      <c r="MB7" s="17"/>
      <c r="MC7" s="17"/>
      <c r="MD7" s="17"/>
      <c r="ME7" s="17"/>
      <c r="MF7" s="17"/>
      <c r="MG7" s="17"/>
      <c r="MH7" s="17"/>
      <c r="MI7" s="17"/>
      <c r="MJ7" s="17"/>
      <c r="MK7" s="17"/>
      <c r="ML7" s="17"/>
      <c r="MM7" s="17"/>
      <c r="MN7" s="17"/>
      <c r="MO7" s="17"/>
      <c r="MP7" s="17"/>
      <c r="MQ7" s="17"/>
      <c r="MR7" s="17"/>
      <c r="MS7" s="17"/>
      <c r="MT7" s="17"/>
      <c r="MU7" s="17"/>
      <c r="MV7" s="17"/>
      <c r="MW7" s="17"/>
      <c r="MX7" s="17"/>
      <c r="MY7" s="17"/>
      <c r="MZ7" s="17"/>
      <c r="NA7" s="17"/>
      <c r="NB7" s="17"/>
      <c r="NC7" s="17"/>
      <c r="ND7" s="17"/>
      <c r="NE7" s="17"/>
      <c r="NF7" s="17"/>
      <c r="NG7" s="17"/>
      <c r="NH7" s="17"/>
      <c r="NI7" s="17"/>
      <c r="NJ7" s="17"/>
      <c r="NK7" s="17"/>
      <c r="NL7" s="17"/>
      <c r="NM7" s="17"/>
      <c r="NN7" s="17"/>
      <c r="NO7" s="17"/>
      <c r="NP7" s="17"/>
      <c r="NQ7" s="17"/>
      <c r="NR7" s="17"/>
      <c r="NS7" s="17"/>
      <c r="NT7" s="17"/>
      <c r="NU7" s="17"/>
      <c r="NV7" s="17"/>
      <c r="NW7" s="17"/>
      <c r="NX7" s="17"/>
      <c r="NY7" s="17"/>
      <c r="NZ7" s="17"/>
      <c r="OA7" s="17"/>
      <c r="OB7" s="17"/>
      <c r="OC7" s="17"/>
      <c r="OD7" s="17"/>
      <c r="OE7" s="17"/>
      <c r="OF7" s="17"/>
      <c r="OG7" s="17"/>
      <c r="OH7" s="17"/>
      <c r="OI7" s="17"/>
      <c r="OJ7" s="17"/>
      <c r="OK7" s="17"/>
      <c r="OL7" s="17"/>
      <c r="OM7" s="17"/>
      <c r="ON7" s="17"/>
      <c r="OO7" s="17"/>
      <c r="OP7" s="17"/>
      <c r="OQ7" s="17"/>
      <c r="OR7" s="17"/>
      <c r="OS7" s="17"/>
      <c r="OT7" s="17"/>
      <c r="OU7" s="17"/>
      <c r="OV7" s="17"/>
      <c r="OW7" s="17"/>
      <c r="OX7" s="17"/>
      <c r="OY7" s="17"/>
      <c r="OZ7" s="17"/>
      <c r="PA7" s="17"/>
      <c r="PB7" s="17"/>
      <c r="PC7" s="17"/>
      <c r="PD7" s="17"/>
      <c r="PE7" s="17"/>
      <c r="PF7" s="17"/>
      <c r="PG7" s="17"/>
      <c r="PH7" s="17"/>
      <c r="PI7" s="17"/>
      <c r="PJ7" s="17"/>
      <c r="PK7" s="17"/>
      <c r="PL7" s="17"/>
      <c r="PM7" s="17"/>
      <c r="PN7" s="17"/>
      <c r="PO7" s="17"/>
      <c r="PP7" s="17"/>
      <c r="PQ7" s="17"/>
      <c r="PR7" s="17"/>
      <c r="PS7" s="17"/>
      <c r="PT7" s="17"/>
      <c r="PU7" s="17"/>
      <c r="PV7" s="17"/>
      <c r="PW7" s="17"/>
      <c r="PX7" s="17"/>
      <c r="PY7" s="17"/>
      <c r="PZ7" s="17"/>
      <c r="QA7" s="17"/>
      <c r="QB7" s="17"/>
      <c r="QC7" s="17"/>
      <c r="QD7" s="17"/>
      <c r="QE7" s="17"/>
      <c r="QF7" s="17"/>
      <c r="QG7" s="17"/>
      <c r="QH7" s="17"/>
      <c r="QI7" s="17"/>
      <c r="QJ7" s="17"/>
      <c r="QK7" s="17"/>
      <c r="QL7" s="17"/>
      <c r="QM7" s="17"/>
      <c r="QN7" s="17"/>
      <c r="QO7" s="17"/>
      <c r="QP7" s="17"/>
      <c r="QQ7" s="17"/>
      <c r="QR7" s="17"/>
      <c r="QS7" s="17"/>
      <c r="QT7" s="17"/>
      <c r="QU7" s="17"/>
      <c r="QV7" s="17"/>
      <c r="QW7" s="17"/>
      <c r="QX7" s="17"/>
      <c r="QY7" s="17"/>
      <c r="QZ7" s="17"/>
      <c r="RA7" s="17"/>
      <c r="RB7" s="17"/>
      <c r="RC7" s="17"/>
      <c r="RD7" s="17"/>
      <c r="RE7" s="17"/>
      <c r="RF7" s="17"/>
      <c r="RG7" s="17"/>
      <c r="RH7" s="17"/>
      <c r="RI7" s="17"/>
      <c r="RJ7" s="17"/>
      <c r="RK7" s="17"/>
      <c r="RL7" s="17"/>
      <c r="RM7" s="17"/>
      <c r="RN7" s="17"/>
      <c r="RO7" s="17"/>
      <c r="RP7" s="17"/>
      <c r="RQ7" s="17"/>
      <c r="RR7" s="17"/>
      <c r="RS7" s="17"/>
      <c r="RT7" s="17"/>
      <c r="RU7" s="17"/>
      <c r="RV7" s="17"/>
      <c r="RW7" s="17"/>
      <c r="RX7" s="17"/>
      <c r="RY7" s="17"/>
      <c r="RZ7" s="17"/>
      <c r="SA7" s="17"/>
      <c r="SB7" s="17"/>
      <c r="SC7" s="17"/>
      <c r="SD7" s="17"/>
      <c r="SE7" s="17"/>
      <c r="SF7" s="17"/>
      <c r="SG7" s="17"/>
      <c r="SH7" s="17"/>
      <c r="SI7" s="17"/>
      <c r="SJ7" s="17"/>
      <c r="SK7" s="17"/>
      <c r="SL7" s="17"/>
      <c r="SM7" s="17"/>
      <c r="SN7" s="17"/>
      <c r="SO7" s="17"/>
      <c r="SP7" s="17"/>
      <c r="SQ7" s="17"/>
      <c r="SR7" s="17"/>
      <c r="SS7" s="17"/>
      <c r="ST7" s="17"/>
      <c r="SU7" s="17"/>
      <c r="SV7" s="17"/>
      <c r="SW7" s="17"/>
      <c r="SX7" s="17"/>
      <c r="SY7" s="17"/>
      <c r="SZ7" s="17"/>
      <c r="TA7" s="17"/>
      <c r="TB7" s="17"/>
      <c r="TC7" s="17"/>
      <c r="TD7" s="17"/>
      <c r="TE7" s="17"/>
      <c r="TF7" s="17"/>
      <c r="TG7" s="17"/>
      <c r="TH7" s="17"/>
      <c r="TI7" s="17"/>
      <c r="TJ7" s="17"/>
      <c r="TK7" s="17"/>
      <c r="TL7" s="17"/>
      <c r="TM7" s="17"/>
      <c r="TN7" s="17"/>
      <c r="TO7" s="17"/>
      <c r="TP7" s="17"/>
      <c r="TQ7" s="17"/>
      <c r="TR7" s="17"/>
      <c r="TS7" s="17"/>
      <c r="TT7" s="17"/>
      <c r="TU7" s="17"/>
      <c r="TV7" s="17"/>
      <c r="TW7" s="17"/>
      <c r="TX7" s="17"/>
      <c r="TY7" s="17"/>
      <c r="TZ7" s="17"/>
      <c r="UA7" s="17"/>
      <c r="UB7" s="17"/>
      <c r="UC7" s="17"/>
      <c r="UD7" s="17"/>
      <c r="UE7" s="17"/>
      <c r="UF7" s="17"/>
      <c r="UG7" s="17"/>
      <c r="UH7" s="17"/>
      <c r="UI7" s="17"/>
      <c r="UJ7" s="17"/>
      <c r="UK7" s="17"/>
      <c r="UL7" s="17"/>
      <c r="UM7" s="17"/>
      <c r="UN7" s="17"/>
      <c r="UO7" s="17"/>
      <c r="UP7" s="17"/>
      <c r="UQ7" s="17"/>
      <c r="UR7" s="17"/>
      <c r="US7" s="17"/>
      <c r="UT7" s="17"/>
      <c r="UU7" s="17"/>
      <c r="UV7" s="17"/>
      <c r="UW7" s="17"/>
      <c r="UX7" s="17"/>
      <c r="UY7" s="17"/>
      <c r="UZ7" s="17"/>
      <c r="VA7" s="17"/>
      <c r="VB7" s="17"/>
      <c r="VC7" s="17"/>
      <c r="VD7" s="17"/>
      <c r="VE7" s="17"/>
      <c r="VF7" s="17"/>
      <c r="VG7" s="17"/>
      <c r="VH7" s="17"/>
      <c r="VI7" s="17"/>
      <c r="VJ7" s="17"/>
      <c r="VK7" s="17"/>
      <c r="VL7" s="17"/>
      <c r="VM7" s="17"/>
      <c r="VN7" s="17"/>
      <c r="VO7" s="17"/>
      <c r="VP7" s="17"/>
      <c r="VQ7" s="17"/>
      <c r="VR7" s="17"/>
      <c r="VS7" s="17"/>
      <c r="VT7" s="17"/>
      <c r="VU7" s="17"/>
      <c r="VV7" s="17"/>
      <c r="VW7" s="17"/>
      <c r="VX7" s="17"/>
      <c r="VY7" s="17"/>
      <c r="VZ7" s="17"/>
      <c r="WA7" s="17"/>
      <c r="WB7" s="17"/>
      <c r="WC7" s="17"/>
      <c r="WD7" s="17"/>
      <c r="WE7" s="17"/>
      <c r="WF7" s="17"/>
      <c r="WG7" s="17"/>
      <c r="WH7" s="17"/>
      <c r="WI7" s="17"/>
      <c r="WJ7" s="17"/>
      <c r="WK7" s="17"/>
      <c r="WL7" s="17"/>
      <c r="WM7" s="17"/>
      <c r="WN7" s="17"/>
      <c r="WO7" s="17"/>
      <c r="WP7" s="17"/>
      <c r="WQ7" s="17"/>
      <c r="WR7" s="17"/>
      <c r="WS7" s="17"/>
      <c r="WT7" s="17"/>
      <c r="WU7" s="17"/>
      <c r="WV7" s="17"/>
      <c r="WW7" s="17"/>
      <c r="WX7" s="17"/>
      <c r="WY7" s="17"/>
      <c r="WZ7" s="17"/>
      <c r="XA7" s="17"/>
      <c r="XB7" s="17"/>
      <c r="XC7" s="17"/>
      <c r="XD7" s="17"/>
      <c r="XE7" s="17"/>
      <c r="XF7" s="17"/>
      <c r="XG7" s="17"/>
      <c r="XH7" s="17"/>
      <c r="XI7" s="17"/>
      <c r="XJ7" s="17"/>
      <c r="XK7" s="17"/>
      <c r="XL7" s="17"/>
      <c r="XM7" s="17"/>
      <c r="XN7" s="17"/>
      <c r="XO7" s="17"/>
      <c r="XP7" s="17"/>
      <c r="XQ7" s="17"/>
      <c r="XR7" s="17"/>
      <c r="XS7" s="17"/>
      <c r="XT7" s="17"/>
      <c r="XU7" s="17"/>
      <c r="XV7" s="17"/>
      <c r="XW7" s="17"/>
      <c r="XX7" s="17"/>
      <c r="XY7" s="17"/>
      <c r="XZ7" s="17"/>
      <c r="YA7" s="17"/>
      <c r="YB7" s="17"/>
      <c r="YC7" s="17"/>
      <c r="YD7" s="17"/>
      <c r="YE7" s="17"/>
      <c r="YF7" s="17"/>
      <c r="YG7" s="17"/>
      <c r="YH7" s="17"/>
      <c r="YI7" s="17"/>
      <c r="YJ7" s="17"/>
      <c r="YK7" s="17"/>
      <c r="YL7" s="17"/>
      <c r="YM7" s="17"/>
      <c r="YN7" s="17"/>
      <c r="YO7" s="17"/>
      <c r="YP7" s="17"/>
      <c r="YQ7" s="17"/>
      <c r="YR7" s="17"/>
      <c r="YS7" s="17"/>
      <c r="YT7" s="17"/>
      <c r="YU7" s="17"/>
      <c r="YV7" s="17"/>
      <c r="YW7" s="17"/>
      <c r="YX7" s="17"/>
      <c r="YY7" s="17"/>
      <c r="YZ7" s="17"/>
      <c r="ZA7" s="17"/>
      <c r="ZB7" s="17"/>
      <c r="ZC7" s="17"/>
      <c r="ZD7" s="17"/>
      <c r="ZE7" s="17"/>
      <c r="ZF7" s="17"/>
      <c r="ZG7" s="17"/>
      <c r="ZH7" s="17"/>
      <c r="ZI7" s="17"/>
      <c r="ZJ7" s="17"/>
      <c r="ZK7" s="17"/>
    </row>
    <row r="8" spans="1:687" s="18" customFormat="1" ht="38.25" customHeight="1" x14ac:dyDescent="0.25">
      <c r="A8" s="510"/>
      <c r="B8" s="511"/>
      <c r="C8" s="509"/>
      <c r="D8" s="509"/>
      <c r="E8" s="509"/>
      <c r="F8" s="509"/>
      <c r="G8" s="509"/>
      <c r="H8" s="509"/>
      <c r="I8" s="509"/>
      <c r="J8" s="668"/>
      <c r="K8" s="668"/>
      <c r="L8" s="668"/>
      <c r="M8" s="668"/>
      <c r="N8" s="668"/>
      <c r="O8" s="668"/>
      <c r="P8" s="669"/>
      <c r="Q8" s="670" t="s">
        <v>402</v>
      </c>
      <c r="R8" s="670" t="s">
        <v>403</v>
      </c>
      <c r="S8" s="15" t="s">
        <v>60</v>
      </c>
      <c r="T8" s="670"/>
      <c r="U8" s="15">
        <v>2355</v>
      </c>
      <c r="V8" s="666"/>
      <c r="W8" s="671"/>
      <c r="X8" s="672" t="s">
        <v>391</v>
      </c>
      <c r="Y8" s="495"/>
      <c r="Z8" s="498"/>
      <c r="AA8" s="501"/>
      <c r="AB8" s="504"/>
      <c r="AC8" s="15">
        <f>+AC12+AC13+AC16+AC17+AC20++AC21+AC24+AC25+AC27</f>
        <v>723</v>
      </c>
      <c r="AD8" s="15">
        <f>+U8</f>
        <v>2355</v>
      </c>
      <c r="AE8" s="16">
        <f>+AC8/AD8</f>
        <v>0.30700636942675158</v>
      </c>
      <c r="AF8" s="377" t="s">
        <v>404</v>
      </c>
      <c r="AG8" s="495"/>
      <c r="AH8" s="498"/>
      <c r="AI8" s="501"/>
      <c r="AJ8" s="492"/>
      <c r="AK8" s="15">
        <f>+AK12+AK13+AK16+AK17+AK20+AK21+AK24+AK25+AK27</f>
        <v>994</v>
      </c>
      <c r="AL8" s="15">
        <f>+'[12]PAI SSLA'!U8</f>
        <v>2355</v>
      </c>
      <c r="AM8" s="16">
        <f>+AK8/AL8</f>
        <v>0.42208067940552019</v>
      </c>
      <c r="AN8" s="377" t="s">
        <v>405</v>
      </c>
      <c r="AO8" s="495"/>
      <c r="AP8" s="498"/>
      <c r="AQ8" s="501"/>
      <c r="AR8" s="465"/>
      <c r="AS8" s="15">
        <f>+AS12+AS13+AS16+AS17+AS20+AS21+AS24+AS25+AS27</f>
        <v>1279</v>
      </c>
      <c r="AT8" s="15">
        <f>+'[13]PAI SSLA'!U8</f>
        <v>2355</v>
      </c>
      <c r="AU8" s="16">
        <f>+AS8/AT8</f>
        <v>0.54309978768577494</v>
      </c>
      <c r="AV8" s="15" t="s">
        <v>406</v>
      </c>
      <c r="AW8" s="495"/>
      <c r="AX8" s="498"/>
      <c r="AY8" s="501"/>
      <c r="AZ8" s="504"/>
      <c r="BA8" s="15">
        <v>1538</v>
      </c>
      <c r="BB8" s="15">
        <v>2355</v>
      </c>
      <c r="BC8" s="16">
        <v>0.65307855626326961</v>
      </c>
      <c r="BD8" s="15" t="s">
        <v>407</v>
      </c>
      <c r="BE8" s="495"/>
      <c r="BF8" s="498"/>
      <c r="BG8" s="501"/>
      <c r="BH8" s="504"/>
      <c r="BI8" s="15">
        <v>1791</v>
      </c>
      <c r="BJ8" s="15">
        <v>2355</v>
      </c>
      <c r="BK8" s="16">
        <v>0.76050955414012744</v>
      </c>
      <c r="BL8" s="15" t="s">
        <v>408</v>
      </c>
      <c r="BM8" s="495"/>
      <c r="BN8" s="498"/>
      <c r="BO8" s="501"/>
      <c r="BP8" s="504"/>
      <c r="BQ8" s="15">
        <v>2015</v>
      </c>
      <c r="BR8" s="15">
        <v>2355</v>
      </c>
      <c r="BS8" s="16">
        <v>0.85562632696390661</v>
      </c>
      <c r="BT8" s="15" t="s">
        <v>658</v>
      </c>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c r="JJ8" s="17"/>
      <c r="JK8" s="17"/>
      <c r="JL8" s="17"/>
      <c r="JM8" s="17"/>
      <c r="JN8" s="17"/>
      <c r="JO8" s="17"/>
      <c r="JP8" s="17"/>
      <c r="JQ8" s="17"/>
      <c r="JR8" s="17"/>
      <c r="JS8" s="17"/>
      <c r="JT8" s="17"/>
      <c r="JU8" s="17"/>
      <c r="JV8" s="17"/>
      <c r="JW8" s="17"/>
      <c r="JX8" s="17"/>
      <c r="JY8" s="17"/>
      <c r="JZ8" s="17"/>
      <c r="KA8" s="17"/>
      <c r="KB8" s="17"/>
      <c r="KC8" s="17"/>
      <c r="KD8" s="17"/>
      <c r="KE8" s="17"/>
      <c r="KF8" s="17"/>
      <c r="KG8" s="17"/>
      <c r="KH8" s="17"/>
      <c r="KI8" s="17"/>
      <c r="KJ8" s="17"/>
      <c r="KK8" s="17"/>
      <c r="KL8" s="17"/>
      <c r="KM8" s="17"/>
      <c r="KN8" s="17"/>
      <c r="KO8" s="17"/>
      <c r="KP8" s="17"/>
      <c r="KQ8" s="17"/>
      <c r="KR8" s="17"/>
      <c r="KS8" s="17"/>
      <c r="KT8" s="17"/>
      <c r="KU8" s="17"/>
      <c r="KV8" s="17"/>
      <c r="KW8" s="17"/>
      <c r="KX8" s="17"/>
      <c r="KY8" s="17"/>
      <c r="KZ8" s="17"/>
      <c r="LA8" s="17"/>
      <c r="LB8" s="17"/>
      <c r="LC8" s="17"/>
      <c r="LD8" s="17"/>
      <c r="LE8" s="17"/>
      <c r="LF8" s="17"/>
      <c r="LG8" s="17"/>
      <c r="LH8" s="17"/>
      <c r="LI8" s="17"/>
      <c r="LJ8" s="17"/>
      <c r="LK8" s="17"/>
      <c r="LL8" s="17"/>
      <c r="LM8" s="17"/>
      <c r="LN8" s="17"/>
      <c r="LO8" s="17"/>
      <c r="LP8" s="17"/>
      <c r="LQ8" s="17"/>
      <c r="LR8" s="17"/>
      <c r="LS8" s="17"/>
      <c r="LT8" s="17"/>
      <c r="LU8" s="17"/>
      <c r="LV8" s="17"/>
      <c r="LW8" s="17"/>
      <c r="LX8" s="17"/>
      <c r="LY8" s="17"/>
      <c r="LZ8" s="17"/>
      <c r="MA8" s="17"/>
      <c r="MB8" s="17"/>
      <c r="MC8" s="17"/>
      <c r="MD8" s="17"/>
      <c r="ME8" s="17"/>
      <c r="MF8" s="17"/>
      <c r="MG8" s="17"/>
      <c r="MH8" s="17"/>
      <c r="MI8" s="17"/>
      <c r="MJ8" s="17"/>
      <c r="MK8" s="17"/>
      <c r="ML8" s="17"/>
      <c r="MM8" s="17"/>
      <c r="MN8" s="17"/>
      <c r="MO8" s="17"/>
      <c r="MP8" s="17"/>
      <c r="MQ8" s="17"/>
      <c r="MR8" s="17"/>
      <c r="MS8" s="17"/>
      <c r="MT8" s="17"/>
      <c r="MU8" s="17"/>
      <c r="MV8" s="17"/>
      <c r="MW8" s="17"/>
      <c r="MX8" s="17"/>
      <c r="MY8" s="17"/>
      <c r="MZ8" s="17"/>
      <c r="NA8" s="17"/>
      <c r="NB8" s="17"/>
      <c r="NC8" s="17"/>
      <c r="ND8" s="17"/>
      <c r="NE8" s="17"/>
      <c r="NF8" s="17"/>
      <c r="NG8" s="17"/>
      <c r="NH8" s="17"/>
      <c r="NI8" s="17"/>
      <c r="NJ8" s="17"/>
      <c r="NK8" s="17"/>
      <c r="NL8" s="17"/>
      <c r="NM8" s="17"/>
      <c r="NN8" s="17"/>
      <c r="NO8" s="17"/>
      <c r="NP8" s="17"/>
      <c r="NQ8" s="17"/>
      <c r="NR8" s="17"/>
      <c r="NS8" s="17"/>
      <c r="NT8" s="17"/>
      <c r="NU8" s="17"/>
      <c r="NV8" s="17"/>
      <c r="NW8" s="17"/>
      <c r="NX8" s="17"/>
      <c r="NY8" s="17"/>
      <c r="NZ8" s="17"/>
      <c r="OA8" s="17"/>
      <c r="OB8" s="17"/>
      <c r="OC8" s="17"/>
      <c r="OD8" s="17"/>
      <c r="OE8" s="17"/>
      <c r="OF8" s="17"/>
      <c r="OG8" s="17"/>
      <c r="OH8" s="17"/>
      <c r="OI8" s="17"/>
      <c r="OJ8" s="17"/>
      <c r="OK8" s="17"/>
      <c r="OL8" s="17"/>
      <c r="OM8" s="17"/>
      <c r="ON8" s="17"/>
      <c r="OO8" s="17"/>
      <c r="OP8" s="17"/>
      <c r="OQ8" s="17"/>
      <c r="OR8" s="17"/>
      <c r="OS8" s="17"/>
      <c r="OT8" s="17"/>
      <c r="OU8" s="17"/>
      <c r="OV8" s="17"/>
      <c r="OW8" s="17"/>
      <c r="OX8" s="17"/>
      <c r="OY8" s="17"/>
      <c r="OZ8" s="17"/>
      <c r="PA8" s="17"/>
      <c r="PB8" s="17"/>
      <c r="PC8" s="17"/>
      <c r="PD8" s="17"/>
      <c r="PE8" s="17"/>
      <c r="PF8" s="17"/>
      <c r="PG8" s="17"/>
      <c r="PH8" s="17"/>
      <c r="PI8" s="17"/>
      <c r="PJ8" s="17"/>
      <c r="PK8" s="17"/>
      <c r="PL8" s="17"/>
      <c r="PM8" s="17"/>
      <c r="PN8" s="17"/>
      <c r="PO8" s="17"/>
      <c r="PP8" s="17"/>
      <c r="PQ8" s="17"/>
      <c r="PR8" s="17"/>
      <c r="PS8" s="17"/>
      <c r="PT8" s="17"/>
      <c r="PU8" s="17"/>
      <c r="PV8" s="17"/>
      <c r="PW8" s="17"/>
      <c r="PX8" s="17"/>
      <c r="PY8" s="17"/>
      <c r="PZ8" s="17"/>
      <c r="QA8" s="17"/>
      <c r="QB8" s="17"/>
      <c r="QC8" s="17"/>
      <c r="QD8" s="17"/>
      <c r="QE8" s="17"/>
      <c r="QF8" s="17"/>
      <c r="QG8" s="17"/>
      <c r="QH8" s="17"/>
      <c r="QI8" s="17"/>
      <c r="QJ8" s="17"/>
      <c r="QK8" s="17"/>
      <c r="QL8" s="17"/>
      <c r="QM8" s="17"/>
      <c r="QN8" s="17"/>
      <c r="QO8" s="17"/>
      <c r="QP8" s="17"/>
      <c r="QQ8" s="17"/>
      <c r="QR8" s="17"/>
      <c r="QS8" s="17"/>
      <c r="QT8" s="17"/>
      <c r="QU8" s="17"/>
      <c r="QV8" s="17"/>
      <c r="QW8" s="17"/>
      <c r="QX8" s="17"/>
      <c r="QY8" s="17"/>
      <c r="QZ8" s="17"/>
      <c r="RA8" s="17"/>
      <c r="RB8" s="17"/>
      <c r="RC8" s="17"/>
      <c r="RD8" s="17"/>
      <c r="RE8" s="17"/>
      <c r="RF8" s="17"/>
      <c r="RG8" s="17"/>
      <c r="RH8" s="17"/>
      <c r="RI8" s="17"/>
      <c r="RJ8" s="17"/>
      <c r="RK8" s="17"/>
      <c r="RL8" s="17"/>
      <c r="RM8" s="17"/>
      <c r="RN8" s="17"/>
      <c r="RO8" s="17"/>
      <c r="RP8" s="17"/>
      <c r="RQ8" s="17"/>
      <c r="RR8" s="17"/>
      <c r="RS8" s="17"/>
      <c r="RT8" s="17"/>
      <c r="RU8" s="17"/>
      <c r="RV8" s="17"/>
      <c r="RW8" s="17"/>
      <c r="RX8" s="17"/>
      <c r="RY8" s="17"/>
      <c r="RZ8" s="17"/>
      <c r="SA8" s="17"/>
      <c r="SB8" s="17"/>
      <c r="SC8" s="17"/>
      <c r="SD8" s="17"/>
      <c r="SE8" s="17"/>
      <c r="SF8" s="17"/>
      <c r="SG8" s="17"/>
      <c r="SH8" s="17"/>
      <c r="SI8" s="17"/>
      <c r="SJ8" s="17"/>
      <c r="SK8" s="17"/>
      <c r="SL8" s="17"/>
      <c r="SM8" s="17"/>
      <c r="SN8" s="17"/>
      <c r="SO8" s="17"/>
      <c r="SP8" s="17"/>
      <c r="SQ8" s="17"/>
      <c r="SR8" s="17"/>
      <c r="SS8" s="17"/>
      <c r="ST8" s="17"/>
      <c r="SU8" s="17"/>
      <c r="SV8" s="17"/>
      <c r="SW8" s="17"/>
      <c r="SX8" s="17"/>
      <c r="SY8" s="17"/>
      <c r="SZ8" s="17"/>
      <c r="TA8" s="17"/>
      <c r="TB8" s="17"/>
      <c r="TC8" s="17"/>
      <c r="TD8" s="17"/>
      <c r="TE8" s="17"/>
      <c r="TF8" s="17"/>
      <c r="TG8" s="17"/>
      <c r="TH8" s="17"/>
      <c r="TI8" s="17"/>
      <c r="TJ8" s="17"/>
      <c r="TK8" s="17"/>
      <c r="TL8" s="17"/>
      <c r="TM8" s="17"/>
      <c r="TN8" s="17"/>
      <c r="TO8" s="17"/>
      <c r="TP8" s="17"/>
      <c r="TQ8" s="17"/>
      <c r="TR8" s="17"/>
      <c r="TS8" s="17"/>
      <c r="TT8" s="17"/>
      <c r="TU8" s="17"/>
      <c r="TV8" s="17"/>
      <c r="TW8" s="17"/>
      <c r="TX8" s="17"/>
      <c r="TY8" s="17"/>
      <c r="TZ8" s="17"/>
      <c r="UA8" s="17"/>
      <c r="UB8" s="17"/>
      <c r="UC8" s="17"/>
      <c r="UD8" s="17"/>
      <c r="UE8" s="17"/>
      <c r="UF8" s="17"/>
      <c r="UG8" s="17"/>
      <c r="UH8" s="17"/>
      <c r="UI8" s="17"/>
      <c r="UJ8" s="17"/>
      <c r="UK8" s="17"/>
      <c r="UL8" s="17"/>
      <c r="UM8" s="17"/>
      <c r="UN8" s="17"/>
      <c r="UO8" s="17"/>
      <c r="UP8" s="17"/>
      <c r="UQ8" s="17"/>
      <c r="UR8" s="17"/>
      <c r="US8" s="17"/>
      <c r="UT8" s="17"/>
      <c r="UU8" s="17"/>
      <c r="UV8" s="17"/>
      <c r="UW8" s="17"/>
      <c r="UX8" s="17"/>
      <c r="UY8" s="17"/>
      <c r="UZ8" s="17"/>
      <c r="VA8" s="17"/>
      <c r="VB8" s="17"/>
      <c r="VC8" s="17"/>
      <c r="VD8" s="17"/>
      <c r="VE8" s="17"/>
      <c r="VF8" s="17"/>
      <c r="VG8" s="17"/>
      <c r="VH8" s="17"/>
      <c r="VI8" s="17"/>
      <c r="VJ8" s="17"/>
      <c r="VK8" s="17"/>
      <c r="VL8" s="17"/>
      <c r="VM8" s="17"/>
      <c r="VN8" s="17"/>
      <c r="VO8" s="17"/>
      <c r="VP8" s="17"/>
      <c r="VQ8" s="17"/>
      <c r="VR8" s="17"/>
      <c r="VS8" s="17"/>
      <c r="VT8" s="17"/>
      <c r="VU8" s="17"/>
      <c r="VV8" s="17"/>
      <c r="VW8" s="17"/>
      <c r="VX8" s="17"/>
      <c r="VY8" s="17"/>
      <c r="VZ8" s="17"/>
      <c r="WA8" s="17"/>
      <c r="WB8" s="17"/>
      <c r="WC8" s="17"/>
      <c r="WD8" s="17"/>
      <c r="WE8" s="17"/>
      <c r="WF8" s="17"/>
      <c r="WG8" s="17"/>
      <c r="WH8" s="17"/>
      <c r="WI8" s="17"/>
      <c r="WJ8" s="17"/>
      <c r="WK8" s="17"/>
      <c r="WL8" s="17"/>
      <c r="WM8" s="17"/>
      <c r="WN8" s="17"/>
      <c r="WO8" s="17"/>
      <c r="WP8" s="17"/>
      <c r="WQ8" s="17"/>
      <c r="WR8" s="17"/>
      <c r="WS8" s="17"/>
      <c r="WT8" s="17"/>
      <c r="WU8" s="17"/>
      <c r="WV8" s="17"/>
      <c r="WW8" s="17"/>
      <c r="WX8" s="17"/>
      <c r="WY8" s="17"/>
      <c r="WZ8" s="17"/>
      <c r="XA8" s="17"/>
      <c r="XB8" s="17"/>
      <c r="XC8" s="17"/>
      <c r="XD8" s="17"/>
      <c r="XE8" s="17"/>
      <c r="XF8" s="17"/>
      <c r="XG8" s="17"/>
      <c r="XH8" s="17"/>
      <c r="XI8" s="17"/>
      <c r="XJ8" s="17"/>
      <c r="XK8" s="17"/>
      <c r="XL8" s="17"/>
      <c r="XM8" s="17"/>
      <c r="XN8" s="17"/>
      <c r="XO8" s="17"/>
      <c r="XP8" s="17"/>
      <c r="XQ8" s="17"/>
      <c r="XR8" s="17"/>
      <c r="XS8" s="17"/>
      <c r="XT8" s="17"/>
      <c r="XU8" s="17"/>
      <c r="XV8" s="17"/>
      <c r="XW8" s="17"/>
      <c r="XX8" s="17"/>
      <c r="XY8" s="17"/>
      <c r="XZ8" s="17"/>
      <c r="YA8" s="17"/>
      <c r="YB8" s="17"/>
      <c r="YC8" s="17"/>
      <c r="YD8" s="17"/>
      <c r="YE8" s="17"/>
      <c r="YF8" s="17"/>
      <c r="YG8" s="17"/>
      <c r="YH8" s="17"/>
      <c r="YI8" s="17"/>
      <c r="YJ8" s="17"/>
      <c r="YK8" s="17"/>
      <c r="YL8" s="17"/>
      <c r="YM8" s="17"/>
      <c r="YN8" s="17"/>
      <c r="YO8" s="17"/>
      <c r="YP8" s="17"/>
      <c r="YQ8" s="17"/>
      <c r="YR8" s="17"/>
      <c r="YS8" s="17"/>
      <c r="YT8" s="17"/>
      <c r="YU8" s="17"/>
      <c r="YV8" s="17"/>
      <c r="YW8" s="17"/>
      <c r="YX8" s="17"/>
      <c r="YY8" s="17"/>
      <c r="YZ8" s="17"/>
      <c r="ZA8" s="17"/>
      <c r="ZB8" s="17"/>
      <c r="ZC8" s="17"/>
      <c r="ZD8" s="17"/>
      <c r="ZE8" s="17"/>
      <c r="ZF8" s="17"/>
      <c r="ZG8" s="17"/>
      <c r="ZH8" s="17"/>
      <c r="ZI8" s="17"/>
      <c r="ZJ8" s="17"/>
      <c r="ZK8" s="17"/>
    </row>
    <row r="9" spans="1:687" s="29" customFormat="1" ht="45" customHeight="1" x14ac:dyDescent="0.25">
      <c r="A9" s="510"/>
      <c r="B9" s="511"/>
      <c r="C9" s="509"/>
      <c r="D9" s="509"/>
      <c r="E9" s="509"/>
      <c r="F9" s="509"/>
      <c r="G9" s="509"/>
      <c r="H9" s="509"/>
      <c r="I9" s="509"/>
      <c r="J9" s="668"/>
      <c r="K9" s="668"/>
      <c r="L9" s="668"/>
      <c r="M9" s="668"/>
      <c r="N9" s="668"/>
      <c r="O9" s="668"/>
      <c r="P9" s="668"/>
      <c r="Q9" s="673" t="s">
        <v>409</v>
      </c>
      <c r="R9" s="673" t="s">
        <v>410</v>
      </c>
      <c r="S9" s="108" t="s">
        <v>93</v>
      </c>
      <c r="T9" s="673"/>
      <c r="U9" s="674">
        <v>0.75</v>
      </c>
      <c r="V9" s="666"/>
      <c r="W9" s="671"/>
      <c r="X9" s="675" t="s">
        <v>391</v>
      </c>
      <c r="Y9" s="496"/>
      <c r="Z9" s="499"/>
      <c r="AA9" s="502"/>
      <c r="AB9" s="505"/>
      <c r="AC9" s="105">
        <f>34/Y7</f>
        <v>6.1151079136690649E-2</v>
      </c>
      <c r="AD9" s="106">
        <f>+U9</f>
        <v>0.75</v>
      </c>
      <c r="AE9" s="107">
        <f>+AC9/AD9</f>
        <v>8.1534772182254203E-2</v>
      </c>
      <c r="AF9" s="369" t="s">
        <v>411</v>
      </c>
      <c r="AG9" s="496"/>
      <c r="AH9" s="499"/>
      <c r="AI9" s="502"/>
      <c r="AJ9" s="492"/>
      <c r="AK9" s="105">
        <f>(5+14+13+21+19)/AG7</f>
        <v>9.1139240506329114E-2</v>
      </c>
      <c r="AL9" s="106">
        <f>+'[12]PAI SSLA'!U9</f>
        <v>0.75</v>
      </c>
      <c r="AM9" s="107">
        <f>+AK9/AL9</f>
        <v>0.12151898734177215</v>
      </c>
      <c r="AN9" s="369" t="s">
        <v>412</v>
      </c>
      <c r="AO9" s="496"/>
      <c r="AP9" s="499"/>
      <c r="AQ9" s="502"/>
      <c r="AR9" s="465"/>
      <c r="AS9" s="25">
        <f>(22+36+35+28)/(AO7-AO27)</f>
        <v>0.23540856031128404</v>
      </c>
      <c r="AT9" s="106">
        <f>+'[13]PAI SSLA'!U9</f>
        <v>0.75</v>
      </c>
      <c r="AU9" s="107">
        <f>+AS9/AT9</f>
        <v>0.31387808041504539</v>
      </c>
      <c r="AV9" s="108" t="s">
        <v>413</v>
      </c>
      <c r="AW9" s="496"/>
      <c r="AX9" s="499"/>
      <c r="AY9" s="502"/>
      <c r="AZ9" s="505"/>
      <c r="BA9" s="109">
        <v>0.25693430656934307</v>
      </c>
      <c r="BB9" s="106">
        <v>0.75</v>
      </c>
      <c r="BC9" s="107">
        <v>0.34257907542579075</v>
      </c>
      <c r="BD9" s="108" t="s">
        <v>414</v>
      </c>
      <c r="BE9" s="496"/>
      <c r="BF9" s="499"/>
      <c r="BG9" s="502"/>
      <c r="BH9" s="505"/>
      <c r="BI9" s="106">
        <v>0.29928741092636579</v>
      </c>
      <c r="BJ9" s="106">
        <v>0.75</v>
      </c>
      <c r="BK9" s="107">
        <v>0.39904988123515439</v>
      </c>
      <c r="BL9" s="108" t="s">
        <v>415</v>
      </c>
      <c r="BM9" s="496"/>
      <c r="BN9" s="499"/>
      <c r="BO9" s="502"/>
      <c r="BP9" s="505"/>
      <c r="BQ9" s="106">
        <v>0.32373386295928502</v>
      </c>
      <c r="BR9" s="106">
        <v>0.75</v>
      </c>
      <c r="BS9" s="107">
        <v>0.43164515061238001</v>
      </c>
      <c r="BT9" s="108" t="s">
        <v>629</v>
      </c>
      <c r="BU9" s="17"/>
      <c r="BV9" s="17"/>
      <c r="BW9" s="17"/>
      <c r="BX9" s="17"/>
      <c r="BY9" s="17"/>
      <c r="BZ9" s="17"/>
      <c r="CA9" s="17"/>
      <c r="CB9" s="17"/>
      <c r="CC9" s="17"/>
      <c r="CD9" s="17"/>
      <c r="CE9" s="17"/>
      <c r="CF9" s="17"/>
      <c r="CG9" s="17"/>
      <c r="CH9" s="17"/>
      <c r="CI9" s="17"/>
      <c r="CJ9" s="17"/>
      <c r="CK9" s="17"/>
      <c r="CL9" s="17"/>
      <c r="CM9" s="17"/>
      <c r="CN9" s="17"/>
      <c r="CO9" s="17"/>
      <c r="CP9" s="17"/>
      <c r="CQ9" s="17"/>
      <c r="CR9" s="17"/>
      <c r="CS9" s="17"/>
      <c r="CT9" s="17"/>
      <c r="CU9" s="17"/>
      <c r="CV9" s="17"/>
      <c r="CW9" s="17"/>
      <c r="CX9" s="17"/>
      <c r="CY9" s="17"/>
      <c r="CZ9" s="17"/>
      <c r="DA9" s="17"/>
      <c r="DB9" s="17"/>
      <c r="DC9" s="17"/>
      <c r="DD9" s="17"/>
      <c r="DE9" s="17"/>
      <c r="DF9" s="17"/>
      <c r="DG9" s="17"/>
      <c r="DH9" s="17"/>
      <c r="DI9" s="17"/>
      <c r="DJ9" s="17"/>
      <c r="DK9" s="17"/>
      <c r="DL9" s="17"/>
      <c r="DM9" s="17"/>
      <c r="DN9" s="17"/>
      <c r="DO9" s="17"/>
      <c r="DP9" s="17"/>
      <c r="DQ9" s="17"/>
      <c r="DR9" s="17"/>
      <c r="DS9" s="17"/>
      <c r="DT9" s="17"/>
      <c r="DU9" s="17"/>
      <c r="DV9" s="17"/>
      <c r="DW9" s="17"/>
      <c r="DX9" s="17"/>
      <c r="DY9" s="17"/>
      <c r="DZ9" s="17"/>
      <c r="EA9" s="17"/>
      <c r="EB9" s="17"/>
      <c r="EC9" s="17"/>
      <c r="ED9" s="17"/>
      <c r="EE9" s="17"/>
      <c r="EF9" s="17"/>
      <c r="EG9" s="17"/>
      <c r="EH9" s="17"/>
      <c r="EI9" s="17"/>
      <c r="EJ9" s="17"/>
      <c r="EK9" s="17"/>
      <c r="EL9" s="17"/>
      <c r="EM9" s="17"/>
      <c r="EN9" s="17"/>
      <c r="EO9" s="17"/>
      <c r="EP9" s="17"/>
      <c r="EQ9" s="17"/>
      <c r="ER9" s="17"/>
      <c r="ES9" s="17"/>
      <c r="ET9" s="17"/>
      <c r="EU9" s="17"/>
      <c r="EV9" s="17"/>
      <c r="EW9" s="17"/>
      <c r="EX9" s="17"/>
      <c r="EY9" s="17"/>
      <c r="EZ9" s="17"/>
      <c r="FA9" s="17"/>
      <c r="FB9" s="17"/>
      <c r="FC9" s="17"/>
      <c r="FD9" s="17"/>
      <c r="FE9" s="17"/>
      <c r="FF9" s="17"/>
      <c r="FG9" s="17"/>
      <c r="FH9" s="17"/>
      <c r="FI9" s="17"/>
      <c r="FJ9" s="17"/>
      <c r="FK9" s="17"/>
      <c r="FL9" s="17"/>
      <c r="FM9" s="17"/>
      <c r="FN9" s="17"/>
      <c r="FO9" s="17"/>
      <c r="FP9" s="17"/>
      <c r="FQ9" s="17"/>
      <c r="FR9" s="17"/>
      <c r="FS9" s="17"/>
      <c r="FT9" s="17"/>
      <c r="FU9" s="17"/>
      <c r="FV9" s="17"/>
      <c r="FW9" s="17"/>
      <c r="FX9" s="17"/>
      <c r="FY9" s="17"/>
      <c r="FZ9" s="17"/>
      <c r="GA9" s="17"/>
      <c r="GB9" s="17"/>
      <c r="GC9" s="17"/>
      <c r="GD9" s="17"/>
      <c r="GE9" s="17"/>
      <c r="GF9" s="17"/>
      <c r="GG9" s="17"/>
      <c r="GH9" s="17"/>
      <c r="GI9" s="17"/>
      <c r="GJ9" s="17"/>
      <c r="GK9" s="17"/>
      <c r="GL9" s="17"/>
      <c r="GM9" s="17"/>
      <c r="GN9" s="17"/>
      <c r="GO9" s="17"/>
      <c r="GP9" s="17"/>
      <c r="GQ9" s="17"/>
      <c r="GR9" s="17"/>
      <c r="GS9" s="17"/>
      <c r="GT9" s="17"/>
      <c r="GU9" s="17"/>
      <c r="GV9" s="17"/>
      <c r="GW9" s="17"/>
      <c r="GX9" s="17"/>
      <c r="GY9" s="17"/>
      <c r="GZ9" s="17"/>
      <c r="HA9" s="17"/>
      <c r="HB9" s="17"/>
      <c r="HC9" s="17"/>
      <c r="HD9" s="17"/>
      <c r="HE9" s="17"/>
      <c r="HF9" s="17"/>
      <c r="HG9" s="17"/>
      <c r="HH9" s="17"/>
      <c r="HI9" s="17"/>
      <c r="HJ9" s="17"/>
      <c r="HK9" s="17"/>
      <c r="HL9" s="17"/>
      <c r="HM9" s="17"/>
      <c r="HN9" s="17"/>
      <c r="HO9" s="17"/>
      <c r="HP9" s="17"/>
      <c r="HQ9" s="17"/>
      <c r="HR9" s="17"/>
      <c r="HS9" s="17"/>
      <c r="HT9" s="17"/>
      <c r="HU9" s="17"/>
      <c r="HV9" s="17"/>
      <c r="HW9" s="17"/>
      <c r="HX9" s="17"/>
      <c r="HY9" s="17"/>
      <c r="HZ9" s="17"/>
      <c r="IA9" s="17"/>
      <c r="IB9" s="17"/>
      <c r="IC9" s="17"/>
      <c r="ID9" s="17"/>
      <c r="IE9" s="17"/>
      <c r="IF9" s="17"/>
      <c r="IG9" s="17"/>
      <c r="IH9" s="17"/>
      <c r="II9" s="17"/>
      <c r="IJ9" s="17"/>
      <c r="IK9" s="17"/>
      <c r="IL9" s="17"/>
      <c r="IM9" s="17"/>
      <c r="IN9" s="17"/>
      <c r="IO9" s="17"/>
      <c r="IP9" s="17"/>
      <c r="IQ9" s="17"/>
      <c r="IR9" s="17"/>
      <c r="IS9" s="17"/>
      <c r="IT9" s="17"/>
      <c r="IU9" s="17"/>
      <c r="IV9" s="17"/>
      <c r="IW9" s="17"/>
      <c r="IX9" s="17"/>
      <c r="IY9" s="17"/>
      <c r="IZ9" s="17"/>
      <c r="JA9" s="17"/>
      <c r="JB9" s="17"/>
      <c r="JC9" s="17"/>
      <c r="JD9" s="17"/>
      <c r="JE9" s="17"/>
      <c r="JF9" s="17"/>
      <c r="JG9" s="17"/>
      <c r="JH9" s="17"/>
      <c r="JI9" s="17"/>
      <c r="JJ9" s="17"/>
      <c r="JK9" s="17"/>
      <c r="JL9" s="17"/>
      <c r="JM9" s="17"/>
      <c r="JN9" s="17"/>
      <c r="JO9" s="17"/>
      <c r="JP9" s="17"/>
      <c r="JQ9" s="17"/>
      <c r="JR9" s="17"/>
      <c r="JS9" s="17"/>
      <c r="JT9" s="17"/>
      <c r="JU9" s="17"/>
      <c r="JV9" s="17"/>
      <c r="JW9" s="17"/>
      <c r="JX9" s="17"/>
      <c r="JY9" s="17"/>
      <c r="JZ9" s="17"/>
      <c r="KA9" s="17"/>
      <c r="KB9" s="17"/>
      <c r="KC9" s="17"/>
      <c r="KD9" s="17"/>
      <c r="KE9" s="17"/>
      <c r="KF9" s="17"/>
      <c r="KG9" s="17"/>
      <c r="KH9" s="17"/>
      <c r="KI9" s="17"/>
      <c r="KJ9" s="17"/>
      <c r="KK9" s="17"/>
      <c r="KL9" s="17"/>
      <c r="KM9" s="17"/>
      <c r="KN9" s="17"/>
      <c r="KO9" s="17"/>
      <c r="KP9" s="17"/>
      <c r="KQ9" s="17"/>
      <c r="KR9" s="17"/>
      <c r="KS9" s="17"/>
      <c r="KT9" s="17"/>
      <c r="KU9" s="17"/>
      <c r="KV9" s="17"/>
      <c r="KW9" s="17"/>
      <c r="KX9" s="17"/>
      <c r="KY9" s="17"/>
      <c r="KZ9" s="17"/>
      <c r="LA9" s="17"/>
      <c r="LB9" s="17"/>
      <c r="LC9" s="17"/>
      <c r="LD9" s="17"/>
      <c r="LE9" s="17"/>
      <c r="LF9" s="17"/>
      <c r="LG9" s="17"/>
      <c r="LH9" s="17"/>
      <c r="LI9" s="17"/>
      <c r="LJ9" s="17"/>
      <c r="LK9" s="17"/>
      <c r="LL9" s="17"/>
      <c r="LM9" s="17"/>
      <c r="LN9" s="17"/>
      <c r="LO9" s="17"/>
      <c r="LP9" s="17"/>
      <c r="LQ9" s="17"/>
      <c r="LR9" s="17"/>
      <c r="LS9" s="17"/>
      <c r="LT9" s="17"/>
      <c r="LU9" s="17"/>
      <c r="LV9" s="17"/>
      <c r="LW9" s="17"/>
      <c r="LX9" s="17"/>
      <c r="LY9" s="17"/>
      <c r="LZ9" s="17"/>
      <c r="MA9" s="17"/>
      <c r="MB9" s="17"/>
      <c r="MC9" s="17"/>
      <c r="MD9" s="17"/>
      <c r="ME9" s="17"/>
      <c r="MF9" s="17"/>
      <c r="MG9" s="17"/>
      <c r="MH9" s="17"/>
      <c r="MI9" s="17"/>
      <c r="MJ9" s="17"/>
      <c r="MK9" s="17"/>
      <c r="ML9" s="17"/>
      <c r="MM9" s="17"/>
      <c r="MN9" s="17"/>
      <c r="MO9" s="17"/>
      <c r="MP9" s="17"/>
      <c r="MQ9" s="17"/>
      <c r="MR9" s="17"/>
      <c r="MS9" s="17"/>
      <c r="MT9" s="17"/>
      <c r="MU9" s="17"/>
      <c r="MV9" s="17"/>
      <c r="MW9" s="17"/>
      <c r="MX9" s="17"/>
      <c r="MY9" s="17"/>
      <c r="MZ9" s="17"/>
      <c r="NA9" s="17"/>
      <c r="NB9" s="17"/>
      <c r="NC9" s="17"/>
      <c r="ND9" s="17"/>
      <c r="NE9" s="17"/>
      <c r="NF9" s="17"/>
      <c r="NG9" s="17"/>
      <c r="NH9" s="17"/>
      <c r="NI9" s="17"/>
      <c r="NJ9" s="17"/>
      <c r="NK9" s="17"/>
      <c r="NL9" s="17"/>
      <c r="NM9" s="17"/>
      <c r="NN9" s="17"/>
      <c r="NO9" s="17"/>
      <c r="NP9" s="17"/>
      <c r="NQ9" s="17"/>
      <c r="NR9" s="17"/>
      <c r="NS9" s="17"/>
      <c r="NT9" s="17"/>
      <c r="NU9" s="17"/>
      <c r="NV9" s="17"/>
      <c r="NW9" s="17"/>
      <c r="NX9" s="17"/>
      <c r="NY9" s="17"/>
      <c r="NZ9" s="17"/>
      <c r="OA9" s="17"/>
      <c r="OB9" s="17"/>
      <c r="OC9" s="17"/>
      <c r="OD9" s="17"/>
      <c r="OE9" s="17"/>
      <c r="OF9" s="17"/>
      <c r="OG9" s="17"/>
      <c r="OH9" s="17"/>
      <c r="OI9" s="17"/>
      <c r="OJ9" s="17"/>
      <c r="OK9" s="17"/>
      <c r="OL9" s="17"/>
      <c r="OM9" s="17"/>
      <c r="ON9" s="17"/>
      <c r="OO9" s="17"/>
      <c r="OP9" s="17"/>
      <c r="OQ9" s="17"/>
      <c r="OR9" s="17"/>
      <c r="OS9" s="17"/>
      <c r="OT9" s="17"/>
      <c r="OU9" s="17"/>
      <c r="OV9" s="17"/>
      <c r="OW9" s="17"/>
      <c r="OX9" s="17"/>
      <c r="OY9" s="17"/>
      <c r="OZ9" s="17"/>
      <c r="PA9" s="17"/>
      <c r="PB9" s="17"/>
      <c r="PC9" s="17"/>
      <c r="PD9" s="17"/>
      <c r="PE9" s="17"/>
      <c r="PF9" s="17"/>
      <c r="PG9" s="17"/>
      <c r="PH9" s="17"/>
      <c r="PI9" s="17"/>
      <c r="PJ9" s="17"/>
      <c r="PK9" s="17"/>
      <c r="PL9" s="17"/>
      <c r="PM9" s="17"/>
      <c r="PN9" s="17"/>
      <c r="PO9" s="17"/>
      <c r="PP9" s="17"/>
      <c r="PQ9" s="17"/>
      <c r="PR9" s="17"/>
      <c r="PS9" s="17"/>
      <c r="PT9" s="17"/>
      <c r="PU9" s="17"/>
      <c r="PV9" s="17"/>
      <c r="PW9" s="17"/>
      <c r="PX9" s="17"/>
      <c r="PY9" s="17"/>
      <c r="PZ9" s="17"/>
      <c r="QA9" s="17"/>
      <c r="QB9" s="17"/>
      <c r="QC9" s="17"/>
      <c r="QD9" s="17"/>
      <c r="QE9" s="17"/>
      <c r="QF9" s="17"/>
      <c r="QG9" s="17"/>
      <c r="QH9" s="17"/>
      <c r="QI9" s="17"/>
      <c r="QJ9" s="17"/>
      <c r="QK9" s="17"/>
      <c r="QL9" s="17"/>
      <c r="QM9" s="17"/>
      <c r="QN9" s="17"/>
      <c r="QO9" s="17"/>
      <c r="QP9" s="17"/>
      <c r="QQ9" s="17"/>
      <c r="QR9" s="17"/>
      <c r="QS9" s="17"/>
      <c r="QT9" s="17"/>
      <c r="QU9" s="17"/>
      <c r="QV9" s="17"/>
      <c r="QW9" s="17"/>
      <c r="QX9" s="17"/>
      <c r="QY9" s="17"/>
      <c r="QZ9" s="17"/>
      <c r="RA9" s="17"/>
      <c r="RB9" s="17"/>
      <c r="RC9" s="17"/>
      <c r="RD9" s="17"/>
      <c r="RE9" s="17"/>
      <c r="RF9" s="17"/>
      <c r="RG9" s="17"/>
      <c r="RH9" s="17"/>
      <c r="RI9" s="17"/>
      <c r="RJ9" s="17"/>
      <c r="RK9" s="17"/>
      <c r="RL9" s="17"/>
      <c r="RM9" s="17"/>
      <c r="RN9" s="17"/>
      <c r="RO9" s="17"/>
      <c r="RP9" s="17"/>
      <c r="RQ9" s="17"/>
      <c r="RR9" s="17"/>
      <c r="RS9" s="17"/>
      <c r="RT9" s="17"/>
      <c r="RU9" s="17"/>
      <c r="RV9" s="17"/>
      <c r="RW9" s="17"/>
      <c r="RX9" s="17"/>
      <c r="RY9" s="17"/>
      <c r="RZ9" s="17"/>
      <c r="SA9" s="17"/>
      <c r="SB9" s="17"/>
      <c r="SC9" s="17"/>
      <c r="SD9" s="17"/>
      <c r="SE9" s="17"/>
      <c r="SF9" s="17"/>
      <c r="SG9" s="17"/>
      <c r="SH9" s="17"/>
      <c r="SI9" s="17"/>
      <c r="SJ9" s="17"/>
      <c r="SK9" s="17"/>
      <c r="SL9" s="17"/>
      <c r="SM9" s="17"/>
      <c r="SN9" s="17"/>
      <c r="SO9" s="17"/>
      <c r="SP9" s="17"/>
      <c r="SQ9" s="17"/>
      <c r="SR9" s="17"/>
      <c r="SS9" s="17"/>
      <c r="ST9" s="17"/>
      <c r="SU9" s="17"/>
      <c r="SV9" s="17"/>
      <c r="SW9" s="17"/>
      <c r="SX9" s="17"/>
      <c r="SY9" s="17"/>
      <c r="SZ9" s="17"/>
      <c r="TA9" s="17"/>
      <c r="TB9" s="17"/>
      <c r="TC9" s="17"/>
      <c r="TD9" s="17"/>
      <c r="TE9" s="17"/>
      <c r="TF9" s="17"/>
      <c r="TG9" s="17"/>
      <c r="TH9" s="17"/>
      <c r="TI9" s="17"/>
      <c r="TJ9" s="17"/>
      <c r="TK9" s="17"/>
      <c r="TL9" s="17"/>
      <c r="TM9" s="17"/>
      <c r="TN9" s="17"/>
      <c r="TO9" s="17"/>
      <c r="TP9" s="17"/>
      <c r="TQ9" s="17"/>
      <c r="TR9" s="17"/>
      <c r="TS9" s="17"/>
      <c r="TT9" s="17"/>
      <c r="TU9" s="17"/>
      <c r="TV9" s="17"/>
      <c r="TW9" s="17"/>
      <c r="TX9" s="17"/>
      <c r="TY9" s="17"/>
      <c r="TZ9" s="17"/>
      <c r="UA9" s="17"/>
      <c r="UB9" s="17"/>
      <c r="UC9" s="17"/>
      <c r="UD9" s="17"/>
      <c r="UE9" s="17"/>
      <c r="UF9" s="17"/>
      <c r="UG9" s="17"/>
      <c r="UH9" s="17"/>
      <c r="UI9" s="17"/>
      <c r="UJ9" s="17"/>
      <c r="UK9" s="17"/>
      <c r="UL9" s="17"/>
      <c r="UM9" s="17"/>
      <c r="UN9" s="17"/>
      <c r="UO9" s="17"/>
      <c r="UP9" s="17"/>
      <c r="UQ9" s="17"/>
      <c r="UR9" s="17"/>
      <c r="US9" s="17"/>
      <c r="UT9" s="17"/>
      <c r="UU9" s="17"/>
      <c r="UV9" s="17"/>
      <c r="UW9" s="17"/>
      <c r="UX9" s="17"/>
      <c r="UY9" s="17"/>
      <c r="UZ9" s="17"/>
      <c r="VA9" s="17"/>
      <c r="VB9" s="17"/>
      <c r="VC9" s="17"/>
      <c r="VD9" s="17"/>
      <c r="VE9" s="17"/>
      <c r="VF9" s="17"/>
      <c r="VG9" s="17"/>
      <c r="VH9" s="17"/>
      <c r="VI9" s="17"/>
      <c r="VJ9" s="17"/>
      <c r="VK9" s="17"/>
      <c r="VL9" s="17"/>
      <c r="VM9" s="17"/>
      <c r="VN9" s="17"/>
      <c r="VO9" s="17"/>
      <c r="VP9" s="17"/>
      <c r="VQ9" s="17"/>
      <c r="VR9" s="17"/>
      <c r="VS9" s="17"/>
      <c r="VT9" s="17"/>
      <c r="VU9" s="17"/>
      <c r="VV9" s="17"/>
      <c r="VW9" s="17"/>
      <c r="VX9" s="17"/>
      <c r="VY9" s="17"/>
      <c r="VZ9" s="17"/>
      <c r="WA9" s="17"/>
      <c r="WB9" s="17"/>
      <c r="WC9" s="17"/>
      <c r="WD9" s="17"/>
      <c r="WE9" s="17"/>
      <c r="WF9" s="17"/>
      <c r="WG9" s="17"/>
      <c r="WH9" s="17"/>
      <c r="WI9" s="17"/>
      <c r="WJ9" s="17"/>
      <c r="WK9" s="17"/>
      <c r="WL9" s="17"/>
      <c r="WM9" s="17"/>
      <c r="WN9" s="17"/>
      <c r="WO9" s="17"/>
      <c r="WP9" s="17"/>
      <c r="WQ9" s="17"/>
      <c r="WR9" s="17"/>
      <c r="WS9" s="17"/>
      <c r="WT9" s="17"/>
      <c r="WU9" s="17"/>
      <c r="WV9" s="17"/>
      <c r="WW9" s="17"/>
      <c r="WX9" s="17"/>
      <c r="WY9" s="17"/>
      <c r="WZ9" s="17"/>
      <c r="XA9" s="17"/>
      <c r="XB9" s="17"/>
      <c r="XC9" s="17"/>
      <c r="XD9" s="17"/>
      <c r="XE9" s="17"/>
      <c r="XF9" s="17"/>
      <c r="XG9" s="17"/>
      <c r="XH9" s="17"/>
      <c r="XI9" s="17"/>
      <c r="XJ9" s="17"/>
      <c r="XK9" s="17"/>
      <c r="XL9" s="17"/>
      <c r="XM9" s="17"/>
      <c r="XN9" s="17"/>
      <c r="XO9" s="17"/>
      <c r="XP9" s="17"/>
      <c r="XQ9" s="17"/>
      <c r="XR9" s="17"/>
      <c r="XS9" s="17"/>
      <c r="XT9" s="17"/>
      <c r="XU9" s="17"/>
      <c r="XV9" s="17"/>
      <c r="XW9" s="17"/>
      <c r="XX9" s="17"/>
      <c r="XY9" s="17"/>
      <c r="XZ9" s="17"/>
      <c r="YA9" s="17"/>
      <c r="YB9" s="17"/>
      <c r="YC9" s="17"/>
      <c r="YD9" s="17"/>
      <c r="YE9" s="17"/>
      <c r="YF9" s="17"/>
      <c r="YG9" s="17"/>
      <c r="YH9" s="17"/>
      <c r="YI9" s="17"/>
      <c r="YJ9" s="17"/>
      <c r="YK9" s="17"/>
      <c r="YL9" s="17"/>
      <c r="YM9" s="17"/>
      <c r="YN9" s="17"/>
      <c r="YO9" s="17"/>
      <c r="YP9" s="17"/>
      <c r="YQ9" s="17"/>
      <c r="YR9" s="17"/>
      <c r="YS9" s="17"/>
      <c r="YT9" s="17"/>
      <c r="YU9" s="17"/>
      <c r="YV9" s="17"/>
      <c r="YW9" s="17"/>
      <c r="YX9" s="17"/>
      <c r="YY9" s="17"/>
      <c r="YZ9" s="17"/>
      <c r="ZA9" s="17"/>
      <c r="ZB9" s="17"/>
      <c r="ZC9" s="17"/>
      <c r="ZD9" s="17"/>
      <c r="ZE9" s="17"/>
      <c r="ZF9" s="17"/>
      <c r="ZG9" s="17"/>
      <c r="ZH9" s="17"/>
      <c r="ZI9" s="17"/>
      <c r="ZJ9" s="17"/>
      <c r="ZK9" s="17"/>
    </row>
    <row r="10" spans="1:687" s="18" customFormat="1" ht="57" customHeight="1" x14ac:dyDescent="0.25">
      <c r="A10" s="39"/>
      <c r="B10" s="39"/>
      <c r="C10" s="39"/>
      <c r="D10" s="39"/>
      <c r="E10" s="39"/>
      <c r="F10" s="39"/>
      <c r="G10" s="39"/>
      <c r="H10" s="39"/>
      <c r="I10" s="39"/>
      <c r="J10" s="676"/>
      <c r="K10" s="676"/>
      <c r="L10" s="676"/>
      <c r="M10" s="676"/>
      <c r="N10" s="676"/>
      <c r="O10" s="676"/>
      <c r="P10" s="93"/>
      <c r="Q10" s="676"/>
      <c r="R10" s="676"/>
      <c r="S10" s="93"/>
      <c r="T10" s="676"/>
      <c r="U10" s="676"/>
      <c r="V10" s="676"/>
      <c r="W10" s="671"/>
      <c r="X10" s="676"/>
      <c r="Y10" s="459" t="s">
        <v>102</v>
      </c>
      <c r="Z10" s="459"/>
      <c r="AA10" s="46">
        <f>AVERAGE(AA7:AA9)</f>
        <v>0.22347266881028938</v>
      </c>
      <c r="AB10" s="74"/>
      <c r="AC10" s="460" t="s">
        <v>103</v>
      </c>
      <c r="AD10" s="460"/>
      <c r="AE10" s="48">
        <f>AVERAGE(AE7,AE8,AE9)</f>
        <v>0.22152584733781824</v>
      </c>
      <c r="AF10" s="45"/>
      <c r="AG10" s="459" t="s">
        <v>102</v>
      </c>
      <c r="AH10" s="459"/>
      <c r="AI10" s="46">
        <f>AVERAGE(AI7:AI9)</f>
        <v>0.317524115755627</v>
      </c>
      <c r="AJ10" s="74"/>
      <c r="AK10" s="460" t="s">
        <v>103</v>
      </c>
      <c r="AL10" s="460"/>
      <c r="AM10" s="48">
        <f>AVERAGE(AM7,AM8,AM9)</f>
        <v>0.27388610394778296</v>
      </c>
      <c r="AN10" s="45"/>
      <c r="AO10" s="459" t="s">
        <v>102</v>
      </c>
      <c r="AP10" s="459"/>
      <c r="AQ10" s="46">
        <f>AVERAGE(AQ7:AQ9)</f>
        <v>0.45418006430868169</v>
      </c>
      <c r="AR10" s="74"/>
      <c r="AS10" s="460" t="s">
        <v>103</v>
      </c>
      <c r="AT10" s="460"/>
      <c r="AU10" s="48">
        <f>AVERAGE(AU7,AU8,AU9)</f>
        <v>0.37935662674476278</v>
      </c>
      <c r="AV10" s="45"/>
      <c r="AW10" s="459" t="s">
        <v>102</v>
      </c>
      <c r="AX10" s="459"/>
      <c r="AY10" s="46">
        <f>AVERAGE(AY7:AY9)</f>
        <v>0.579983922829582</v>
      </c>
      <c r="AZ10" s="74"/>
      <c r="BA10" s="460" t="s">
        <v>103</v>
      </c>
      <c r="BB10" s="460"/>
      <c r="BC10" s="48">
        <f>AVERAGE(BC7,BC8,BC9)</f>
        <v>0.43603147884748256</v>
      </c>
      <c r="BD10" s="45"/>
      <c r="BE10" s="459" t="s">
        <v>102</v>
      </c>
      <c r="BF10" s="459"/>
      <c r="BG10" s="46">
        <v>0.68729903536977488</v>
      </c>
      <c r="BH10" s="74"/>
      <c r="BI10" s="460" t="s">
        <v>103</v>
      </c>
      <c r="BJ10" s="460"/>
      <c r="BK10" s="48">
        <v>0.50414704468694094</v>
      </c>
      <c r="BL10" s="45"/>
      <c r="BM10" s="459" t="s">
        <v>102</v>
      </c>
      <c r="BN10" s="459"/>
      <c r="BO10" s="46">
        <v>0.79823151125401925</v>
      </c>
      <c r="BP10" s="74"/>
      <c r="BQ10" s="460" t="s">
        <v>103</v>
      </c>
      <c r="BR10" s="460"/>
      <c r="BS10" s="48">
        <v>0.56862537624635912</v>
      </c>
      <c r="BT10" s="45"/>
      <c r="BU10" s="17"/>
      <c r="BV10" s="17"/>
      <c r="BW10" s="17"/>
      <c r="BX10" s="17"/>
      <c r="BY10" s="17"/>
      <c r="BZ10" s="17"/>
      <c r="CA10" s="17"/>
      <c r="CB10" s="17"/>
      <c r="CC10" s="17"/>
      <c r="CD10" s="17"/>
      <c r="CE10" s="17"/>
      <c r="CF10" s="17"/>
      <c r="CG10" s="17"/>
      <c r="CH10" s="17"/>
      <c r="CI10" s="17"/>
      <c r="CJ10" s="17"/>
      <c r="CK10" s="17"/>
      <c r="CL10" s="17"/>
      <c r="CM10" s="17"/>
      <c r="CN10" s="17"/>
      <c r="CO10" s="17"/>
      <c r="CP10" s="17"/>
      <c r="CQ10" s="17"/>
      <c r="CR10" s="17"/>
      <c r="CS10" s="17"/>
      <c r="CT10" s="17"/>
      <c r="CU10" s="17"/>
      <c r="CV10" s="17"/>
      <c r="CW10" s="17"/>
      <c r="CX10" s="17"/>
      <c r="CY10" s="17"/>
      <c r="CZ10" s="17"/>
      <c r="DA10" s="17"/>
      <c r="DB10" s="17"/>
      <c r="DC10" s="17"/>
      <c r="DD10" s="17"/>
      <c r="DE10" s="17"/>
      <c r="DF10" s="17"/>
      <c r="DG10" s="17"/>
      <c r="DH10" s="17"/>
      <c r="DI10" s="17"/>
      <c r="DJ10" s="17"/>
      <c r="DK10" s="17"/>
      <c r="DL10" s="17"/>
      <c r="DM10" s="17"/>
      <c r="DN10" s="17"/>
      <c r="DO10" s="17"/>
      <c r="DP10" s="17"/>
      <c r="DQ10" s="17"/>
      <c r="DR10" s="17"/>
      <c r="DS10" s="17"/>
      <c r="DT10" s="17"/>
      <c r="DU10" s="17"/>
      <c r="DV10" s="17"/>
      <c r="DW10" s="17"/>
      <c r="DX10" s="17"/>
      <c r="DY10" s="17"/>
      <c r="DZ10" s="17"/>
      <c r="EA10" s="17"/>
      <c r="EB10" s="17"/>
      <c r="EC10" s="17"/>
      <c r="ED10" s="17"/>
      <c r="EE10" s="17"/>
      <c r="EF10" s="17"/>
      <c r="EG10" s="17"/>
      <c r="EH10" s="17"/>
      <c r="EI10" s="17"/>
      <c r="EJ10" s="17"/>
      <c r="EK10" s="17"/>
      <c r="EL10" s="17"/>
      <c r="EM10" s="17"/>
      <c r="EN10" s="17"/>
      <c r="EO10" s="17"/>
      <c r="EP10" s="17"/>
      <c r="EQ10" s="17"/>
      <c r="ER10" s="17"/>
      <c r="ES10" s="17"/>
      <c r="ET10" s="17"/>
      <c r="EU10" s="17"/>
      <c r="EV10" s="17"/>
      <c r="EW10" s="17"/>
      <c r="EX10" s="17"/>
      <c r="EY10" s="17"/>
      <c r="EZ10" s="17"/>
      <c r="FA10" s="17"/>
      <c r="FB10" s="17"/>
      <c r="FC10" s="17"/>
      <c r="FD10" s="17"/>
      <c r="FE10" s="17"/>
      <c r="FF10" s="17"/>
      <c r="FG10" s="17"/>
      <c r="FH10" s="17"/>
      <c r="FI10" s="17"/>
      <c r="FJ10" s="17"/>
      <c r="FK10" s="17"/>
      <c r="FL10" s="17"/>
      <c r="FM10" s="17"/>
      <c r="FN10" s="17"/>
      <c r="FO10" s="17"/>
      <c r="FP10" s="17"/>
      <c r="FQ10" s="17"/>
      <c r="FR10" s="17"/>
      <c r="FS10" s="17"/>
      <c r="FT10" s="17"/>
      <c r="FU10" s="17"/>
      <c r="FV10" s="17"/>
      <c r="FW10" s="17"/>
      <c r="FX10" s="17"/>
      <c r="FY10" s="17"/>
      <c r="FZ10" s="17"/>
      <c r="GA10" s="17"/>
      <c r="GB10" s="17"/>
      <c r="GC10" s="17"/>
      <c r="GD10" s="17"/>
      <c r="GE10" s="17"/>
      <c r="GF10" s="17"/>
      <c r="GG10" s="17"/>
      <c r="GH10" s="17"/>
      <c r="GI10" s="17"/>
      <c r="GJ10" s="17"/>
      <c r="GK10" s="17"/>
      <c r="GL10" s="17"/>
      <c r="GM10" s="17"/>
      <c r="GN10" s="17"/>
      <c r="GO10" s="17"/>
      <c r="GP10" s="17"/>
      <c r="GQ10" s="17"/>
      <c r="GR10" s="17"/>
      <c r="GS10" s="17"/>
      <c r="GT10" s="17"/>
      <c r="GU10" s="17"/>
      <c r="GV10" s="17"/>
      <c r="GW10" s="17"/>
      <c r="GX10" s="17"/>
      <c r="GY10" s="17"/>
      <c r="GZ10" s="17"/>
      <c r="HA10" s="17"/>
      <c r="HB10" s="17"/>
      <c r="HC10" s="17"/>
      <c r="HD10" s="17"/>
      <c r="HE10" s="17"/>
      <c r="HF10" s="17"/>
      <c r="HG10" s="17"/>
      <c r="HH10" s="17"/>
      <c r="HI10" s="17"/>
      <c r="HJ10" s="17"/>
      <c r="HK10" s="17"/>
      <c r="HL10" s="17"/>
      <c r="HM10" s="17"/>
      <c r="HN10" s="17"/>
      <c r="HO10" s="17"/>
      <c r="HP10" s="17"/>
      <c r="HQ10" s="17"/>
      <c r="HR10" s="17"/>
      <c r="HS10" s="17"/>
      <c r="HT10" s="17"/>
      <c r="HU10" s="17"/>
      <c r="HV10" s="17"/>
      <c r="HW10" s="17"/>
      <c r="HX10" s="17"/>
      <c r="HY10" s="17"/>
      <c r="HZ10" s="17"/>
      <c r="IA10" s="17"/>
      <c r="IB10" s="17"/>
      <c r="IC10" s="17"/>
      <c r="ID10" s="17"/>
      <c r="IE10" s="17"/>
      <c r="IF10" s="17"/>
      <c r="IG10" s="17"/>
      <c r="IH10" s="17"/>
      <c r="II10" s="17"/>
      <c r="IJ10" s="17"/>
      <c r="IK10" s="17"/>
      <c r="IL10" s="17"/>
      <c r="IM10" s="17"/>
      <c r="IN10" s="17"/>
      <c r="IO10" s="17"/>
      <c r="IP10" s="17"/>
      <c r="IQ10" s="17"/>
      <c r="IR10" s="17"/>
      <c r="IS10" s="17"/>
      <c r="IT10" s="17"/>
      <c r="IU10" s="17"/>
      <c r="IV10" s="17"/>
      <c r="IW10" s="17"/>
      <c r="IX10" s="17"/>
      <c r="IY10" s="17"/>
      <c r="IZ10" s="17"/>
      <c r="JA10" s="17"/>
      <c r="JB10" s="17"/>
      <c r="JC10" s="17"/>
      <c r="JD10" s="17"/>
      <c r="JE10" s="17"/>
      <c r="JF10" s="17"/>
      <c r="JG10" s="17"/>
      <c r="JH10" s="17"/>
      <c r="JI10" s="17"/>
      <c r="JJ10" s="17"/>
      <c r="JK10" s="17"/>
      <c r="JL10" s="17"/>
      <c r="JM10" s="17"/>
      <c r="JN10" s="17"/>
      <c r="JO10" s="17"/>
      <c r="JP10" s="17"/>
      <c r="JQ10" s="17"/>
      <c r="JR10" s="17"/>
      <c r="JS10" s="17"/>
      <c r="JT10" s="17"/>
      <c r="JU10" s="17"/>
      <c r="JV10" s="17"/>
      <c r="JW10" s="17"/>
      <c r="JX10" s="17"/>
      <c r="JY10" s="17"/>
      <c r="JZ10" s="17"/>
      <c r="KA10" s="17"/>
      <c r="KB10" s="17"/>
      <c r="KC10" s="17"/>
      <c r="KD10" s="17"/>
      <c r="KE10" s="17"/>
      <c r="KF10" s="17"/>
      <c r="KG10" s="17"/>
      <c r="KH10" s="17"/>
      <c r="KI10" s="17"/>
      <c r="KJ10" s="17"/>
      <c r="KK10" s="17"/>
      <c r="KL10" s="17"/>
      <c r="KM10" s="17"/>
      <c r="KN10" s="17"/>
      <c r="KO10" s="17"/>
      <c r="KP10" s="17"/>
      <c r="KQ10" s="17"/>
      <c r="KR10" s="17"/>
      <c r="KS10" s="17"/>
      <c r="KT10" s="17"/>
      <c r="KU10" s="17"/>
      <c r="KV10" s="17"/>
      <c r="KW10" s="17"/>
      <c r="KX10" s="17"/>
      <c r="KY10" s="17"/>
      <c r="KZ10" s="17"/>
      <c r="LA10" s="17"/>
      <c r="LB10" s="17"/>
      <c r="LC10" s="17"/>
      <c r="LD10" s="17"/>
      <c r="LE10" s="17"/>
      <c r="LF10" s="17"/>
      <c r="LG10" s="17"/>
      <c r="LH10" s="17"/>
      <c r="LI10" s="17"/>
      <c r="LJ10" s="17"/>
      <c r="LK10" s="17"/>
      <c r="LL10" s="17"/>
      <c r="LM10" s="17"/>
      <c r="LN10" s="17"/>
      <c r="LO10" s="17"/>
      <c r="LP10" s="17"/>
      <c r="LQ10" s="17"/>
      <c r="LR10" s="17"/>
      <c r="LS10" s="17"/>
      <c r="LT10" s="17"/>
      <c r="LU10" s="17"/>
      <c r="LV10" s="17"/>
      <c r="LW10" s="17"/>
      <c r="LX10" s="17"/>
      <c r="LY10" s="17"/>
      <c r="LZ10" s="17"/>
      <c r="MA10" s="17"/>
      <c r="MB10" s="17"/>
      <c r="MC10" s="17"/>
      <c r="MD10" s="17"/>
      <c r="ME10" s="17"/>
      <c r="MF10" s="17"/>
      <c r="MG10" s="17"/>
      <c r="MH10" s="17"/>
      <c r="MI10" s="17"/>
      <c r="MJ10" s="17"/>
      <c r="MK10" s="17"/>
      <c r="ML10" s="17"/>
      <c r="MM10" s="17"/>
      <c r="MN10" s="17"/>
      <c r="MO10" s="17"/>
      <c r="MP10" s="17"/>
      <c r="MQ10" s="17"/>
      <c r="MR10" s="17"/>
      <c r="MS10" s="17"/>
      <c r="MT10" s="17"/>
      <c r="MU10" s="17"/>
      <c r="MV10" s="17"/>
      <c r="MW10" s="17"/>
      <c r="MX10" s="17"/>
      <c r="MY10" s="17"/>
      <c r="MZ10" s="17"/>
      <c r="NA10" s="17"/>
      <c r="NB10" s="17"/>
      <c r="NC10" s="17"/>
      <c r="ND10" s="17"/>
      <c r="NE10" s="17"/>
      <c r="NF10" s="17"/>
      <c r="NG10" s="17"/>
      <c r="NH10" s="17"/>
      <c r="NI10" s="17"/>
      <c r="NJ10" s="17"/>
      <c r="NK10" s="17"/>
      <c r="NL10" s="17"/>
      <c r="NM10" s="17"/>
      <c r="NN10" s="17"/>
      <c r="NO10" s="17"/>
      <c r="NP10" s="17"/>
      <c r="NQ10" s="17"/>
      <c r="NR10" s="17"/>
      <c r="NS10" s="17"/>
      <c r="NT10" s="17"/>
      <c r="NU10" s="17"/>
      <c r="NV10" s="17"/>
      <c r="NW10" s="17"/>
      <c r="NX10" s="17"/>
      <c r="NY10" s="17"/>
      <c r="NZ10" s="17"/>
      <c r="OA10" s="17"/>
      <c r="OB10" s="17"/>
      <c r="OC10" s="17"/>
      <c r="OD10" s="17"/>
      <c r="OE10" s="17"/>
      <c r="OF10" s="17"/>
      <c r="OG10" s="17"/>
      <c r="OH10" s="17"/>
      <c r="OI10" s="17"/>
      <c r="OJ10" s="17"/>
      <c r="OK10" s="17"/>
      <c r="OL10" s="17"/>
      <c r="OM10" s="17"/>
      <c r="ON10" s="17"/>
      <c r="OO10" s="17"/>
      <c r="OP10" s="17"/>
      <c r="OQ10" s="17"/>
      <c r="OR10" s="17"/>
      <c r="OS10" s="17"/>
      <c r="OT10" s="17"/>
      <c r="OU10" s="17"/>
      <c r="OV10" s="17"/>
      <c r="OW10" s="17"/>
      <c r="OX10" s="17"/>
      <c r="OY10" s="17"/>
      <c r="OZ10" s="17"/>
      <c r="PA10" s="17"/>
      <c r="PB10" s="17"/>
      <c r="PC10" s="17"/>
      <c r="PD10" s="17"/>
      <c r="PE10" s="17"/>
      <c r="PF10" s="17"/>
      <c r="PG10" s="17"/>
      <c r="PH10" s="17"/>
      <c r="PI10" s="17"/>
      <c r="PJ10" s="17"/>
      <c r="PK10" s="17"/>
      <c r="PL10" s="17"/>
      <c r="PM10" s="17"/>
      <c r="PN10" s="17"/>
      <c r="PO10" s="17"/>
      <c r="PP10" s="17"/>
      <c r="PQ10" s="17"/>
      <c r="PR10" s="17"/>
      <c r="PS10" s="17"/>
      <c r="PT10" s="17"/>
      <c r="PU10" s="17"/>
      <c r="PV10" s="17"/>
      <c r="PW10" s="17"/>
      <c r="PX10" s="17"/>
      <c r="PY10" s="17"/>
      <c r="PZ10" s="17"/>
      <c r="QA10" s="17"/>
      <c r="QB10" s="17"/>
      <c r="QC10" s="17"/>
      <c r="QD10" s="17"/>
      <c r="QE10" s="17"/>
      <c r="QF10" s="17"/>
      <c r="QG10" s="17"/>
      <c r="QH10" s="17"/>
      <c r="QI10" s="17"/>
      <c r="QJ10" s="17"/>
      <c r="QK10" s="17"/>
      <c r="QL10" s="17"/>
      <c r="QM10" s="17"/>
      <c r="QN10" s="17"/>
      <c r="QO10" s="17"/>
      <c r="QP10" s="17"/>
      <c r="QQ10" s="17"/>
      <c r="QR10" s="17"/>
      <c r="QS10" s="17"/>
      <c r="QT10" s="17"/>
      <c r="QU10" s="17"/>
      <c r="QV10" s="17"/>
      <c r="QW10" s="17"/>
      <c r="QX10" s="17"/>
      <c r="QY10" s="17"/>
      <c r="QZ10" s="17"/>
      <c r="RA10" s="17"/>
      <c r="RB10" s="17"/>
      <c r="RC10" s="17"/>
      <c r="RD10" s="17"/>
      <c r="RE10" s="17"/>
      <c r="RF10" s="17"/>
      <c r="RG10" s="17"/>
      <c r="RH10" s="17"/>
      <c r="RI10" s="17"/>
      <c r="RJ10" s="17"/>
      <c r="RK10" s="17"/>
      <c r="RL10" s="17"/>
      <c r="RM10" s="17"/>
      <c r="RN10" s="17"/>
      <c r="RO10" s="17"/>
      <c r="RP10" s="17"/>
      <c r="RQ10" s="17"/>
      <c r="RR10" s="17"/>
      <c r="RS10" s="17"/>
      <c r="RT10" s="17"/>
      <c r="RU10" s="17"/>
      <c r="RV10" s="17"/>
      <c r="RW10" s="17"/>
      <c r="RX10" s="17"/>
      <c r="RY10" s="17"/>
      <c r="RZ10" s="17"/>
      <c r="SA10" s="17"/>
      <c r="SB10" s="17"/>
      <c r="SC10" s="17"/>
      <c r="SD10" s="17"/>
      <c r="SE10" s="17"/>
      <c r="SF10" s="17"/>
      <c r="SG10" s="17"/>
      <c r="SH10" s="17"/>
      <c r="SI10" s="17"/>
      <c r="SJ10" s="17"/>
      <c r="SK10" s="17"/>
      <c r="SL10" s="17"/>
      <c r="SM10" s="17"/>
      <c r="SN10" s="17"/>
      <c r="SO10" s="17"/>
      <c r="SP10" s="17"/>
      <c r="SQ10" s="17"/>
      <c r="SR10" s="17"/>
      <c r="SS10" s="17"/>
      <c r="ST10" s="17"/>
      <c r="SU10" s="17"/>
      <c r="SV10" s="17"/>
      <c r="SW10" s="17"/>
      <c r="SX10" s="17"/>
      <c r="SY10" s="17"/>
      <c r="SZ10" s="17"/>
      <c r="TA10" s="17"/>
      <c r="TB10" s="17"/>
      <c r="TC10" s="17"/>
      <c r="TD10" s="17"/>
      <c r="TE10" s="17"/>
      <c r="TF10" s="17"/>
      <c r="TG10" s="17"/>
      <c r="TH10" s="17"/>
      <c r="TI10" s="17"/>
      <c r="TJ10" s="17"/>
      <c r="TK10" s="17"/>
      <c r="TL10" s="17"/>
      <c r="TM10" s="17"/>
      <c r="TN10" s="17"/>
      <c r="TO10" s="17"/>
      <c r="TP10" s="17"/>
      <c r="TQ10" s="17"/>
      <c r="TR10" s="17"/>
      <c r="TS10" s="17"/>
      <c r="TT10" s="17"/>
      <c r="TU10" s="17"/>
      <c r="TV10" s="17"/>
      <c r="TW10" s="17"/>
      <c r="TX10" s="17"/>
      <c r="TY10" s="17"/>
      <c r="TZ10" s="17"/>
      <c r="UA10" s="17"/>
      <c r="UB10" s="17"/>
      <c r="UC10" s="17"/>
      <c r="UD10" s="17"/>
      <c r="UE10" s="17"/>
      <c r="UF10" s="17"/>
      <c r="UG10" s="17"/>
      <c r="UH10" s="17"/>
      <c r="UI10" s="17"/>
      <c r="UJ10" s="17"/>
      <c r="UK10" s="17"/>
      <c r="UL10" s="17"/>
      <c r="UM10" s="17"/>
      <c r="UN10" s="17"/>
      <c r="UO10" s="17"/>
      <c r="UP10" s="17"/>
      <c r="UQ10" s="17"/>
      <c r="UR10" s="17"/>
      <c r="US10" s="17"/>
      <c r="UT10" s="17"/>
      <c r="UU10" s="17"/>
      <c r="UV10" s="17"/>
      <c r="UW10" s="17"/>
      <c r="UX10" s="17"/>
      <c r="UY10" s="17"/>
      <c r="UZ10" s="17"/>
      <c r="VA10" s="17"/>
      <c r="VB10" s="17"/>
      <c r="VC10" s="17"/>
      <c r="VD10" s="17"/>
      <c r="VE10" s="17"/>
      <c r="VF10" s="17"/>
      <c r="VG10" s="17"/>
      <c r="VH10" s="17"/>
      <c r="VI10" s="17"/>
      <c r="VJ10" s="17"/>
      <c r="VK10" s="17"/>
      <c r="VL10" s="17"/>
      <c r="VM10" s="17"/>
      <c r="VN10" s="17"/>
      <c r="VO10" s="17"/>
      <c r="VP10" s="17"/>
      <c r="VQ10" s="17"/>
      <c r="VR10" s="17"/>
      <c r="VS10" s="17"/>
      <c r="VT10" s="17"/>
      <c r="VU10" s="17"/>
      <c r="VV10" s="17"/>
      <c r="VW10" s="17"/>
      <c r="VX10" s="17"/>
      <c r="VY10" s="17"/>
      <c r="VZ10" s="17"/>
      <c r="WA10" s="17"/>
      <c r="WB10" s="17"/>
      <c r="WC10" s="17"/>
      <c r="WD10" s="17"/>
      <c r="WE10" s="17"/>
      <c r="WF10" s="17"/>
      <c r="WG10" s="17"/>
      <c r="WH10" s="17"/>
      <c r="WI10" s="17"/>
      <c r="WJ10" s="17"/>
      <c r="WK10" s="17"/>
      <c r="WL10" s="17"/>
      <c r="WM10" s="17"/>
      <c r="WN10" s="17"/>
      <c r="WO10" s="17"/>
      <c r="WP10" s="17"/>
      <c r="WQ10" s="17"/>
      <c r="WR10" s="17"/>
      <c r="WS10" s="17"/>
      <c r="WT10" s="17"/>
      <c r="WU10" s="17"/>
      <c r="WV10" s="17"/>
      <c r="WW10" s="17"/>
      <c r="WX10" s="17"/>
      <c r="WY10" s="17"/>
      <c r="WZ10" s="17"/>
      <c r="XA10" s="17"/>
      <c r="XB10" s="17"/>
      <c r="XC10" s="17"/>
      <c r="XD10" s="17"/>
      <c r="XE10" s="17"/>
      <c r="XF10" s="17"/>
      <c r="XG10" s="17"/>
      <c r="XH10" s="17"/>
      <c r="XI10" s="17"/>
      <c r="XJ10" s="17"/>
      <c r="XK10" s="17"/>
      <c r="XL10" s="17"/>
      <c r="XM10" s="17"/>
      <c r="XN10" s="17"/>
      <c r="XO10" s="17"/>
      <c r="XP10" s="17"/>
      <c r="XQ10" s="17"/>
      <c r="XR10" s="17"/>
      <c r="XS10" s="17"/>
      <c r="XT10" s="17"/>
      <c r="XU10" s="17"/>
      <c r="XV10" s="17"/>
      <c r="XW10" s="17"/>
      <c r="XX10" s="17"/>
      <c r="XY10" s="17"/>
      <c r="XZ10" s="17"/>
      <c r="YA10" s="17"/>
      <c r="YB10" s="17"/>
      <c r="YC10" s="17"/>
      <c r="YD10" s="17"/>
      <c r="YE10" s="17"/>
      <c r="YF10" s="17"/>
      <c r="YG10" s="17"/>
      <c r="YH10" s="17"/>
      <c r="YI10" s="17"/>
      <c r="YJ10" s="17"/>
      <c r="YK10" s="17"/>
      <c r="YL10" s="17"/>
      <c r="YM10" s="17"/>
      <c r="YN10" s="17"/>
      <c r="YO10" s="17"/>
      <c r="YP10" s="17"/>
      <c r="YQ10" s="17"/>
      <c r="YR10" s="17"/>
      <c r="YS10" s="17"/>
      <c r="YT10" s="17"/>
      <c r="YU10" s="17"/>
      <c r="YV10" s="17"/>
      <c r="YW10" s="17"/>
      <c r="YX10" s="17"/>
      <c r="YY10" s="17"/>
      <c r="YZ10" s="17"/>
      <c r="ZA10" s="17"/>
      <c r="ZB10" s="17"/>
      <c r="ZC10" s="17"/>
      <c r="ZD10" s="17"/>
      <c r="ZE10" s="17"/>
      <c r="ZF10" s="17"/>
      <c r="ZG10" s="17"/>
      <c r="ZH10" s="17"/>
      <c r="ZI10" s="17"/>
      <c r="ZJ10" s="17"/>
      <c r="ZK10" s="17"/>
    </row>
    <row r="11" spans="1:687" s="29" customFormat="1" ht="54" customHeight="1" x14ac:dyDescent="0.25">
      <c r="A11" s="510" t="s">
        <v>47</v>
      </c>
      <c r="B11" s="512" t="s">
        <v>48</v>
      </c>
      <c r="C11" s="461" t="s">
        <v>49</v>
      </c>
      <c r="D11" s="461" t="s">
        <v>50</v>
      </c>
      <c r="E11" s="461" t="s">
        <v>51</v>
      </c>
      <c r="F11" s="461" t="s">
        <v>52</v>
      </c>
      <c r="G11" s="461" t="s">
        <v>53</v>
      </c>
      <c r="H11" s="461" t="s">
        <v>54</v>
      </c>
      <c r="I11" s="514" t="s">
        <v>384</v>
      </c>
      <c r="J11" s="663" t="s">
        <v>385</v>
      </c>
      <c r="K11" s="465" t="s">
        <v>416</v>
      </c>
      <c r="L11" s="465" t="s">
        <v>387</v>
      </c>
      <c r="M11" s="465" t="s">
        <v>388</v>
      </c>
      <c r="N11" s="465" t="s">
        <v>60</v>
      </c>
      <c r="O11" s="465"/>
      <c r="P11" s="465">
        <v>215</v>
      </c>
      <c r="Q11" s="116" t="s">
        <v>389</v>
      </c>
      <c r="R11" s="116" t="s">
        <v>390</v>
      </c>
      <c r="S11" s="374" t="s">
        <v>60</v>
      </c>
      <c r="T11" s="677"/>
      <c r="U11" s="374">
        <v>176</v>
      </c>
      <c r="V11" s="666">
        <v>935599331</v>
      </c>
      <c r="W11" s="671"/>
      <c r="X11" s="126" t="s">
        <v>417</v>
      </c>
      <c r="Y11" s="492">
        <v>45</v>
      </c>
      <c r="Z11" s="492">
        <f>+P11</f>
        <v>215</v>
      </c>
      <c r="AA11" s="493">
        <f>Y11/Z11</f>
        <v>0.20930232558139536</v>
      </c>
      <c r="AB11" s="492" t="s">
        <v>418</v>
      </c>
      <c r="AC11" s="374">
        <v>47</v>
      </c>
      <c r="AD11" s="374">
        <f>+U11</f>
        <v>176</v>
      </c>
      <c r="AE11" s="373">
        <f>+AC11/AD11</f>
        <v>0.26704545454545453</v>
      </c>
      <c r="AF11" s="369" t="s">
        <v>419</v>
      </c>
      <c r="AG11" s="492">
        <v>71</v>
      </c>
      <c r="AH11" s="492">
        <f>+'[12]PAI SSLA'!P11</f>
        <v>215</v>
      </c>
      <c r="AI11" s="493">
        <f>AG11/AH11</f>
        <v>0.33023255813953489</v>
      </c>
      <c r="AJ11" s="492" t="s">
        <v>420</v>
      </c>
      <c r="AK11" s="374">
        <v>48</v>
      </c>
      <c r="AL11" s="374">
        <f>+'[12]PAI SSLA'!U11</f>
        <v>176</v>
      </c>
      <c r="AM11" s="373">
        <f>+AK11/AL11</f>
        <v>0.27272727272727271</v>
      </c>
      <c r="AN11" s="369" t="s">
        <v>421</v>
      </c>
      <c r="AO11" s="492">
        <v>110</v>
      </c>
      <c r="AP11" s="492">
        <f>+'[13]PAI SSLA'!P11</f>
        <v>215</v>
      </c>
      <c r="AQ11" s="493">
        <f>AO11/AP11</f>
        <v>0.51162790697674421</v>
      </c>
      <c r="AR11" s="492" t="s">
        <v>422</v>
      </c>
      <c r="AS11" s="374">
        <v>50</v>
      </c>
      <c r="AT11" s="374">
        <f>+'[13]PAI SSLA'!U11</f>
        <v>176</v>
      </c>
      <c r="AU11" s="373">
        <f>+AS11/AT11</f>
        <v>0.28409090909090912</v>
      </c>
      <c r="AV11" s="369" t="s">
        <v>423</v>
      </c>
      <c r="AW11" s="492">
        <v>141</v>
      </c>
      <c r="AX11" s="492">
        <v>215</v>
      </c>
      <c r="AY11" s="493">
        <v>0.65581395348837213</v>
      </c>
      <c r="AZ11" s="492" t="s">
        <v>424</v>
      </c>
      <c r="BA11" s="374">
        <v>56</v>
      </c>
      <c r="BB11" s="374">
        <v>176</v>
      </c>
      <c r="BC11" s="373">
        <v>0.31818181818181818</v>
      </c>
      <c r="BD11" s="369" t="s">
        <v>425</v>
      </c>
      <c r="BE11" s="492">
        <v>158</v>
      </c>
      <c r="BF11" s="492">
        <v>215</v>
      </c>
      <c r="BG11" s="493">
        <v>0.73488372093023258</v>
      </c>
      <c r="BH11" s="492" t="s">
        <v>426</v>
      </c>
      <c r="BI11" s="374">
        <v>65</v>
      </c>
      <c r="BJ11" s="374">
        <v>176</v>
      </c>
      <c r="BK11" s="373">
        <v>0.36931818181818182</v>
      </c>
      <c r="BL11" s="369" t="s">
        <v>427</v>
      </c>
      <c r="BM11" s="492">
        <v>181</v>
      </c>
      <c r="BN11" s="492">
        <v>215</v>
      </c>
      <c r="BO11" s="493">
        <v>0.8418604651162791</v>
      </c>
      <c r="BP11" s="492" t="s">
        <v>630</v>
      </c>
      <c r="BQ11" s="374">
        <v>78</v>
      </c>
      <c r="BR11" s="374">
        <v>176</v>
      </c>
      <c r="BS11" s="373">
        <v>0.44318181818181818</v>
      </c>
      <c r="BT11" s="132" t="s">
        <v>631</v>
      </c>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c r="IW11" s="17"/>
      <c r="IX11" s="17"/>
      <c r="IY11" s="17"/>
      <c r="IZ11" s="17"/>
      <c r="JA11" s="17"/>
      <c r="JB11" s="17"/>
      <c r="JC11" s="17"/>
      <c r="JD11" s="17"/>
      <c r="JE11" s="17"/>
      <c r="JF11" s="17"/>
      <c r="JG11" s="17"/>
      <c r="JH11" s="17"/>
      <c r="JI11" s="17"/>
      <c r="JJ11" s="17"/>
      <c r="JK11" s="17"/>
      <c r="JL11" s="17"/>
      <c r="JM11" s="17"/>
      <c r="JN11" s="17"/>
      <c r="JO11" s="17"/>
      <c r="JP11" s="17"/>
      <c r="JQ11" s="17"/>
      <c r="JR11" s="17"/>
      <c r="JS11" s="17"/>
      <c r="JT11" s="17"/>
      <c r="JU11" s="17"/>
      <c r="JV11" s="17"/>
      <c r="JW11" s="17"/>
      <c r="JX11" s="17"/>
      <c r="JY11" s="17"/>
      <c r="JZ11" s="17"/>
      <c r="KA11" s="17"/>
      <c r="KB11" s="17"/>
      <c r="KC11" s="17"/>
      <c r="KD11" s="17"/>
      <c r="KE11" s="17"/>
      <c r="KF11" s="17"/>
      <c r="KG11" s="17"/>
      <c r="KH11" s="17"/>
      <c r="KI11" s="17"/>
      <c r="KJ11" s="17"/>
      <c r="KK11" s="17"/>
      <c r="KL11" s="17"/>
      <c r="KM11" s="17"/>
      <c r="KN11" s="17"/>
      <c r="KO11" s="17"/>
      <c r="KP11" s="17"/>
      <c r="KQ11" s="17"/>
      <c r="KR11" s="17"/>
      <c r="KS11" s="17"/>
      <c r="KT11" s="17"/>
      <c r="KU11" s="17"/>
      <c r="KV11" s="17"/>
      <c r="KW11" s="17"/>
      <c r="KX11" s="17"/>
      <c r="KY11" s="17"/>
      <c r="KZ11" s="17"/>
      <c r="LA11" s="17"/>
      <c r="LB11" s="17"/>
      <c r="LC11" s="17"/>
      <c r="LD11" s="17"/>
      <c r="LE11" s="17"/>
      <c r="LF11" s="17"/>
      <c r="LG11" s="17"/>
      <c r="LH11" s="17"/>
      <c r="LI11" s="17"/>
      <c r="LJ11" s="17"/>
      <c r="LK11" s="17"/>
      <c r="LL11" s="17"/>
      <c r="LM11" s="17"/>
      <c r="LN11" s="17"/>
      <c r="LO11" s="17"/>
      <c r="LP11" s="17"/>
      <c r="LQ11" s="17"/>
      <c r="LR11" s="17"/>
      <c r="LS11" s="17"/>
      <c r="LT11" s="17"/>
      <c r="LU11" s="17"/>
      <c r="LV11" s="17"/>
      <c r="LW11" s="17"/>
      <c r="LX11" s="17"/>
      <c r="LY11" s="17"/>
      <c r="LZ11" s="17"/>
      <c r="MA11" s="17"/>
      <c r="MB11" s="17"/>
      <c r="MC11" s="17"/>
      <c r="MD11" s="17"/>
      <c r="ME11" s="17"/>
      <c r="MF11" s="17"/>
      <c r="MG11" s="17"/>
      <c r="MH11" s="17"/>
      <c r="MI11" s="17"/>
      <c r="MJ11" s="17"/>
      <c r="MK11" s="17"/>
      <c r="ML11" s="17"/>
      <c r="MM11" s="17"/>
      <c r="MN11" s="17"/>
      <c r="MO11" s="17"/>
      <c r="MP11" s="17"/>
      <c r="MQ11" s="17"/>
      <c r="MR11" s="17"/>
      <c r="MS11" s="17"/>
      <c r="MT11" s="17"/>
      <c r="MU11" s="17"/>
      <c r="MV11" s="17"/>
      <c r="MW11" s="17"/>
      <c r="MX11" s="17"/>
      <c r="MY11" s="17"/>
      <c r="MZ11" s="17"/>
      <c r="NA11" s="17"/>
      <c r="NB11" s="17"/>
      <c r="NC11" s="17"/>
      <c r="ND11" s="17"/>
      <c r="NE11" s="17"/>
      <c r="NF11" s="17"/>
      <c r="NG11" s="17"/>
      <c r="NH11" s="17"/>
      <c r="NI11" s="17"/>
      <c r="NJ11" s="17"/>
      <c r="NK11" s="17"/>
      <c r="NL11" s="17"/>
      <c r="NM11" s="17"/>
      <c r="NN11" s="17"/>
      <c r="NO11" s="17"/>
      <c r="NP11" s="17"/>
      <c r="NQ11" s="17"/>
      <c r="NR11" s="17"/>
      <c r="NS11" s="17"/>
      <c r="NT11" s="17"/>
      <c r="NU11" s="17"/>
      <c r="NV11" s="17"/>
      <c r="NW11" s="17"/>
      <c r="NX11" s="17"/>
      <c r="NY11" s="17"/>
      <c r="NZ11" s="17"/>
      <c r="OA11" s="17"/>
      <c r="OB11" s="17"/>
      <c r="OC11" s="17"/>
      <c r="OD11" s="17"/>
      <c r="OE11" s="17"/>
      <c r="OF11" s="17"/>
      <c r="OG11" s="17"/>
      <c r="OH11" s="17"/>
      <c r="OI11" s="17"/>
      <c r="OJ11" s="17"/>
      <c r="OK11" s="17"/>
      <c r="OL11" s="17"/>
      <c r="OM11" s="17"/>
      <c r="ON11" s="17"/>
      <c r="OO11" s="17"/>
      <c r="OP11" s="17"/>
      <c r="OQ11" s="17"/>
      <c r="OR11" s="17"/>
      <c r="OS11" s="17"/>
      <c r="OT11" s="17"/>
      <c r="OU11" s="17"/>
      <c r="OV11" s="17"/>
      <c r="OW11" s="17"/>
      <c r="OX11" s="17"/>
      <c r="OY11" s="17"/>
      <c r="OZ11" s="17"/>
      <c r="PA11" s="17"/>
      <c r="PB11" s="17"/>
      <c r="PC11" s="17"/>
      <c r="PD11" s="17"/>
      <c r="PE11" s="17"/>
      <c r="PF11" s="17"/>
      <c r="PG11" s="17"/>
      <c r="PH11" s="17"/>
      <c r="PI11" s="17"/>
      <c r="PJ11" s="17"/>
      <c r="PK11" s="17"/>
      <c r="PL11" s="17"/>
      <c r="PM11" s="17"/>
      <c r="PN11" s="17"/>
      <c r="PO11" s="17"/>
      <c r="PP11" s="17"/>
      <c r="PQ11" s="17"/>
      <c r="PR11" s="17"/>
      <c r="PS11" s="17"/>
      <c r="PT11" s="17"/>
      <c r="PU11" s="17"/>
      <c r="PV11" s="17"/>
      <c r="PW11" s="17"/>
      <c r="PX11" s="17"/>
      <c r="PY11" s="17"/>
      <c r="PZ11" s="17"/>
      <c r="QA11" s="17"/>
      <c r="QB11" s="17"/>
      <c r="QC11" s="17"/>
      <c r="QD11" s="17"/>
      <c r="QE11" s="17"/>
      <c r="QF11" s="17"/>
      <c r="QG11" s="17"/>
      <c r="QH11" s="17"/>
      <c r="QI11" s="17"/>
      <c r="QJ11" s="17"/>
      <c r="QK11" s="17"/>
      <c r="QL11" s="17"/>
      <c r="QM11" s="17"/>
      <c r="QN11" s="17"/>
      <c r="QO11" s="17"/>
      <c r="QP11" s="17"/>
      <c r="QQ11" s="17"/>
      <c r="QR11" s="17"/>
      <c r="QS11" s="17"/>
      <c r="QT11" s="17"/>
      <c r="QU11" s="17"/>
      <c r="QV11" s="17"/>
      <c r="QW11" s="17"/>
      <c r="QX11" s="17"/>
      <c r="QY11" s="17"/>
      <c r="QZ11" s="17"/>
      <c r="RA11" s="17"/>
      <c r="RB11" s="17"/>
      <c r="RC11" s="17"/>
      <c r="RD11" s="17"/>
      <c r="RE11" s="17"/>
      <c r="RF11" s="17"/>
      <c r="RG11" s="17"/>
      <c r="RH11" s="17"/>
      <c r="RI11" s="17"/>
      <c r="RJ11" s="17"/>
      <c r="RK11" s="17"/>
      <c r="RL11" s="17"/>
      <c r="RM11" s="17"/>
      <c r="RN11" s="17"/>
      <c r="RO11" s="17"/>
      <c r="RP11" s="17"/>
      <c r="RQ11" s="17"/>
      <c r="RR11" s="17"/>
      <c r="RS11" s="17"/>
      <c r="RT11" s="17"/>
      <c r="RU11" s="17"/>
      <c r="RV11" s="17"/>
      <c r="RW11" s="17"/>
      <c r="RX11" s="17"/>
      <c r="RY11" s="17"/>
      <c r="RZ11" s="17"/>
      <c r="SA11" s="17"/>
      <c r="SB11" s="17"/>
      <c r="SC11" s="17"/>
      <c r="SD11" s="17"/>
      <c r="SE11" s="17"/>
      <c r="SF11" s="17"/>
      <c r="SG11" s="17"/>
      <c r="SH11" s="17"/>
      <c r="SI11" s="17"/>
      <c r="SJ11" s="17"/>
      <c r="SK11" s="17"/>
      <c r="SL11" s="17"/>
      <c r="SM11" s="17"/>
      <c r="SN11" s="17"/>
      <c r="SO11" s="17"/>
      <c r="SP11" s="17"/>
      <c r="SQ11" s="17"/>
      <c r="SR11" s="17"/>
      <c r="SS11" s="17"/>
      <c r="ST11" s="17"/>
      <c r="SU11" s="17"/>
      <c r="SV11" s="17"/>
      <c r="SW11" s="17"/>
      <c r="SX11" s="17"/>
      <c r="SY11" s="17"/>
      <c r="SZ11" s="17"/>
      <c r="TA11" s="17"/>
      <c r="TB11" s="17"/>
      <c r="TC11" s="17"/>
      <c r="TD11" s="17"/>
      <c r="TE11" s="17"/>
      <c r="TF11" s="17"/>
      <c r="TG11" s="17"/>
      <c r="TH11" s="17"/>
      <c r="TI11" s="17"/>
      <c r="TJ11" s="17"/>
      <c r="TK11" s="17"/>
      <c r="TL11" s="17"/>
      <c r="TM11" s="17"/>
      <c r="TN11" s="17"/>
      <c r="TO11" s="17"/>
      <c r="TP11" s="17"/>
      <c r="TQ11" s="17"/>
      <c r="TR11" s="17"/>
      <c r="TS11" s="17"/>
      <c r="TT11" s="17"/>
      <c r="TU11" s="17"/>
      <c r="TV11" s="17"/>
      <c r="TW11" s="17"/>
      <c r="TX11" s="17"/>
      <c r="TY11" s="17"/>
      <c r="TZ11" s="17"/>
      <c r="UA11" s="17"/>
      <c r="UB11" s="17"/>
      <c r="UC11" s="17"/>
      <c r="UD11" s="17"/>
      <c r="UE11" s="17"/>
      <c r="UF11" s="17"/>
      <c r="UG11" s="17"/>
      <c r="UH11" s="17"/>
      <c r="UI11" s="17"/>
      <c r="UJ11" s="17"/>
      <c r="UK11" s="17"/>
      <c r="UL11" s="17"/>
      <c r="UM11" s="17"/>
      <c r="UN11" s="17"/>
      <c r="UO11" s="17"/>
      <c r="UP11" s="17"/>
      <c r="UQ11" s="17"/>
      <c r="UR11" s="17"/>
      <c r="US11" s="17"/>
      <c r="UT11" s="17"/>
      <c r="UU11" s="17"/>
      <c r="UV11" s="17"/>
      <c r="UW11" s="17"/>
      <c r="UX11" s="17"/>
      <c r="UY11" s="17"/>
      <c r="UZ11" s="17"/>
      <c r="VA11" s="17"/>
      <c r="VB11" s="17"/>
      <c r="VC11" s="17"/>
      <c r="VD11" s="17"/>
      <c r="VE11" s="17"/>
      <c r="VF11" s="17"/>
      <c r="VG11" s="17"/>
      <c r="VH11" s="17"/>
      <c r="VI11" s="17"/>
      <c r="VJ11" s="17"/>
      <c r="VK11" s="17"/>
      <c r="VL11" s="17"/>
      <c r="VM11" s="17"/>
      <c r="VN11" s="17"/>
      <c r="VO11" s="17"/>
      <c r="VP11" s="17"/>
      <c r="VQ11" s="17"/>
      <c r="VR11" s="17"/>
      <c r="VS11" s="17"/>
      <c r="VT11" s="17"/>
      <c r="VU11" s="17"/>
      <c r="VV11" s="17"/>
      <c r="VW11" s="17"/>
      <c r="VX11" s="17"/>
      <c r="VY11" s="17"/>
      <c r="VZ11" s="17"/>
      <c r="WA11" s="17"/>
      <c r="WB11" s="17"/>
      <c r="WC11" s="17"/>
      <c r="WD11" s="17"/>
      <c r="WE11" s="17"/>
      <c r="WF11" s="17"/>
      <c r="WG11" s="17"/>
      <c r="WH11" s="17"/>
      <c r="WI11" s="17"/>
      <c r="WJ11" s="17"/>
      <c r="WK11" s="17"/>
      <c r="WL11" s="17"/>
      <c r="WM11" s="17"/>
      <c r="WN11" s="17"/>
      <c r="WO11" s="17"/>
      <c r="WP11" s="17"/>
      <c r="WQ11" s="17"/>
      <c r="WR11" s="17"/>
      <c r="WS11" s="17"/>
      <c r="WT11" s="17"/>
      <c r="WU11" s="17"/>
      <c r="WV11" s="17"/>
      <c r="WW11" s="17"/>
      <c r="WX11" s="17"/>
      <c r="WY11" s="17"/>
      <c r="WZ11" s="17"/>
      <c r="XA11" s="17"/>
      <c r="XB11" s="17"/>
      <c r="XC11" s="17"/>
      <c r="XD11" s="17"/>
      <c r="XE11" s="17"/>
      <c r="XF11" s="17"/>
      <c r="XG11" s="17"/>
      <c r="XH11" s="17"/>
      <c r="XI11" s="17"/>
      <c r="XJ11" s="17"/>
      <c r="XK11" s="17"/>
      <c r="XL11" s="17"/>
      <c r="XM11" s="17"/>
      <c r="XN11" s="17"/>
      <c r="XO11" s="17"/>
      <c r="XP11" s="17"/>
      <c r="XQ11" s="17"/>
      <c r="XR11" s="17"/>
      <c r="XS11" s="17"/>
      <c r="XT11" s="17"/>
      <c r="XU11" s="17"/>
      <c r="XV11" s="17"/>
      <c r="XW11" s="17"/>
      <c r="XX11" s="17"/>
      <c r="XY11" s="17"/>
      <c r="XZ11" s="17"/>
      <c r="YA11" s="17"/>
      <c r="YB11" s="17"/>
      <c r="YC11" s="17"/>
      <c r="YD11" s="17"/>
      <c r="YE11" s="17"/>
      <c r="YF11" s="17"/>
      <c r="YG11" s="17"/>
      <c r="YH11" s="17"/>
      <c r="YI11" s="17"/>
      <c r="YJ11" s="17"/>
      <c r="YK11" s="17"/>
      <c r="YL11" s="17"/>
      <c r="YM11" s="17"/>
      <c r="YN11" s="17"/>
      <c r="YO11" s="17"/>
      <c r="YP11" s="17"/>
      <c r="YQ11" s="17"/>
      <c r="YR11" s="17"/>
      <c r="YS11" s="17"/>
      <c r="YT11" s="17"/>
      <c r="YU11" s="17"/>
      <c r="YV11" s="17"/>
      <c r="YW11" s="17"/>
      <c r="YX11" s="17"/>
      <c r="YY11" s="17"/>
      <c r="YZ11" s="17"/>
      <c r="ZA11" s="17"/>
      <c r="ZB11" s="17"/>
      <c r="ZC11" s="17"/>
      <c r="ZD11" s="17"/>
      <c r="ZE11" s="17"/>
      <c r="ZF11" s="17"/>
      <c r="ZG11" s="17"/>
      <c r="ZH11" s="17"/>
      <c r="ZI11" s="17"/>
      <c r="ZJ11" s="17"/>
      <c r="ZK11" s="17"/>
    </row>
    <row r="12" spans="1:687" s="18" customFormat="1" ht="72.75" customHeight="1" x14ac:dyDescent="0.25">
      <c r="A12" s="510"/>
      <c r="B12" s="511"/>
      <c r="C12" s="513"/>
      <c r="D12" s="513"/>
      <c r="E12" s="513"/>
      <c r="F12" s="513"/>
      <c r="G12" s="513"/>
      <c r="H12" s="513"/>
      <c r="I12" s="515"/>
      <c r="J12" s="668"/>
      <c r="K12" s="465"/>
      <c r="L12" s="465"/>
      <c r="M12" s="465"/>
      <c r="N12" s="465"/>
      <c r="O12" s="465"/>
      <c r="P12" s="465"/>
      <c r="Q12" s="119" t="s">
        <v>428</v>
      </c>
      <c r="R12" s="119" t="s">
        <v>429</v>
      </c>
      <c r="S12" s="377" t="s">
        <v>60</v>
      </c>
      <c r="T12" s="119"/>
      <c r="U12" s="377">
        <v>176</v>
      </c>
      <c r="V12" s="666"/>
      <c r="W12" s="671"/>
      <c r="X12" s="678" t="s">
        <v>417</v>
      </c>
      <c r="Y12" s="492"/>
      <c r="Z12" s="492"/>
      <c r="AA12" s="493"/>
      <c r="AB12" s="492"/>
      <c r="AC12" s="377">
        <v>41</v>
      </c>
      <c r="AD12" s="377">
        <f>+U12</f>
        <v>176</v>
      </c>
      <c r="AE12" s="376">
        <f>AC12/AD12</f>
        <v>0.23295454545454544</v>
      </c>
      <c r="AF12" s="377" t="s">
        <v>430</v>
      </c>
      <c r="AG12" s="492"/>
      <c r="AH12" s="492"/>
      <c r="AI12" s="493"/>
      <c r="AJ12" s="492"/>
      <c r="AK12" s="377">
        <v>49</v>
      </c>
      <c r="AL12" s="377">
        <f>+'[12]PAI SSLA'!U12</f>
        <v>176</v>
      </c>
      <c r="AM12" s="376">
        <f>AK12/AL12</f>
        <v>0.27840909090909088</v>
      </c>
      <c r="AN12" s="377" t="s">
        <v>431</v>
      </c>
      <c r="AO12" s="492"/>
      <c r="AP12" s="492"/>
      <c r="AQ12" s="493"/>
      <c r="AR12" s="492"/>
      <c r="AS12" s="377">
        <v>50</v>
      </c>
      <c r="AT12" s="377">
        <f>+'[13]PAI SSLA'!U12</f>
        <v>176</v>
      </c>
      <c r="AU12" s="376">
        <f>AS12/AT12</f>
        <v>0.28409090909090912</v>
      </c>
      <c r="AV12" s="377" t="s">
        <v>432</v>
      </c>
      <c r="AW12" s="492"/>
      <c r="AX12" s="492"/>
      <c r="AY12" s="493"/>
      <c r="AZ12" s="492"/>
      <c r="BA12" s="377">
        <v>55</v>
      </c>
      <c r="BB12" s="377">
        <v>176</v>
      </c>
      <c r="BC12" s="376">
        <v>0.3125</v>
      </c>
      <c r="BD12" s="377" t="s">
        <v>433</v>
      </c>
      <c r="BE12" s="492"/>
      <c r="BF12" s="492"/>
      <c r="BG12" s="493"/>
      <c r="BH12" s="492"/>
      <c r="BI12" s="377">
        <v>60</v>
      </c>
      <c r="BJ12" s="377">
        <v>176</v>
      </c>
      <c r="BK12" s="376">
        <v>0.34090909090909088</v>
      </c>
      <c r="BL12" s="377" t="s">
        <v>434</v>
      </c>
      <c r="BM12" s="492"/>
      <c r="BN12" s="492"/>
      <c r="BO12" s="493"/>
      <c r="BP12" s="492"/>
      <c r="BQ12" s="377">
        <v>69</v>
      </c>
      <c r="BR12" s="377">
        <v>176</v>
      </c>
      <c r="BS12" s="376">
        <v>0.39204545454545453</v>
      </c>
      <c r="BT12" s="377" t="s">
        <v>632</v>
      </c>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c r="IX12" s="17"/>
      <c r="IY12" s="17"/>
      <c r="IZ12" s="17"/>
      <c r="JA12" s="17"/>
      <c r="JB12" s="17"/>
      <c r="JC12" s="17"/>
      <c r="JD12" s="17"/>
      <c r="JE12" s="17"/>
      <c r="JF12" s="17"/>
      <c r="JG12" s="17"/>
      <c r="JH12" s="17"/>
      <c r="JI12" s="17"/>
      <c r="JJ12" s="17"/>
      <c r="JK12" s="17"/>
      <c r="JL12" s="17"/>
      <c r="JM12" s="17"/>
      <c r="JN12" s="17"/>
      <c r="JO12" s="17"/>
      <c r="JP12" s="17"/>
      <c r="JQ12" s="17"/>
      <c r="JR12" s="17"/>
      <c r="JS12" s="17"/>
      <c r="JT12" s="17"/>
      <c r="JU12" s="17"/>
      <c r="JV12" s="17"/>
      <c r="JW12" s="17"/>
      <c r="JX12" s="17"/>
      <c r="JY12" s="17"/>
      <c r="JZ12" s="17"/>
      <c r="KA12" s="17"/>
      <c r="KB12" s="17"/>
      <c r="KC12" s="17"/>
      <c r="KD12" s="17"/>
      <c r="KE12" s="17"/>
      <c r="KF12" s="17"/>
      <c r="KG12" s="17"/>
      <c r="KH12" s="17"/>
      <c r="KI12" s="17"/>
      <c r="KJ12" s="17"/>
      <c r="KK12" s="17"/>
      <c r="KL12" s="17"/>
      <c r="KM12" s="17"/>
      <c r="KN12" s="17"/>
      <c r="KO12" s="17"/>
      <c r="KP12" s="17"/>
      <c r="KQ12" s="17"/>
      <c r="KR12" s="17"/>
      <c r="KS12" s="17"/>
      <c r="KT12" s="17"/>
      <c r="KU12" s="17"/>
      <c r="KV12" s="17"/>
      <c r="KW12" s="17"/>
      <c r="KX12" s="17"/>
      <c r="KY12" s="17"/>
      <c r="KZ12" s="17"/>
      <c r="LA12" s="17"/>
      <c r="LB12" s="17"/>
      <c r="LC12" s="17"/>
      <c r="LD12" s="17"/>
      <c r="LE12" s="17"/>
      <c r="LF12" s="17"/>
      <c r="LG12" s="17"/>
      <c r="LH12" s="17"/>
      <c r="LI12" s="17"/>
      <c r="LJ12" s="17"/>
      <c r="LK12" s="17"/>
      <c r="LL12" s="17"/>
      <c r="LM12" s="17"/>
      <c r="LN12" s="17"/>
      <c r="LO12" s="17"/>
      <c r="LP12" s="17"/>
      <c r="LQ12" s="17"/>
      <c r="LR12" s="17"/>
      <c r="LS12" s="17"/>
      <c r="LT12" s="17"/>
      <c r="LU12" s="17"/>
      <c r="LV12" s="17"/>
      <c r="LW12" s="17"/>
      <c r="LX12" s="17"/>
      <c r="LY12" s="17"/>
      <c r="LZ12" s="17"/>
      <c r="MA12" s="17"/>
      <c r="MB12" s="17"/>
      <c r="MC12" s="17"/>
      <c r="MD12" s="17"/>
      <c r="ME12" s="17"/>
      <c r="MF12" s="17"/>
      <c r="MG12" s="17"/>
      <c r="MH12" s="17"/>
      <c r="MI12" s="17"/>
      <c r="MJ12" s="17"/>
      <c r="MK12" s="17"/>
      <c r="ML12" s="17"/>
      <c r="MM12" s="17"/>
      <c r="MN12" s="17"/>
      <c r="MO12" s="17"/>
      <c r="MP12" s="17"/>
      <c r="MQ12" s="17"/>
      <c r="MR12" s="17"/>
      <c r="MS12" s="17"/>
      <c r="MT12" s="17"/>
      <c r="MU12" s="17"/>
      <c r="MV12" s="17"/>
      <c r="MW12" s="17"/>
      <c r="MX12" s="17"/>
      <c r="MY12" s="17"/>
      <c r="MZ12" s="17"/>
      <c r="NA12" s="17"/>
      <c r="NB12" s="17"/>
      <c r="NC12" s="17"/>
      <c r="ND12" s="17"/>
      <c r="NE12" s="17"/>
      <c r="NF12" s="17"/>
      <c r="NG12" s="17"/>
      <c r="NH12" s="17"/>
      <c r="NI12" s="17"/>
      <c r="NJ12" s="17"/>
      <c r="NK12" s="17"/>
      <c r="NL12" s="17"/>
      <c r="NM12" s="17"/>
      <c r="NN12" s="17"/>
      <c r="NO12" s="17"/>
      <c r="NP12" s="17"/>
      <c r="NQ12" s="17"/>
      <c r="NR12" s="17"/>
      <c r="NS12" s="17"/>
      <c r="NT12" s="17"/>
      <c r="NU12" s="17"/>
      <c r="NV12" s="17"/>
      <c r="NW12" s="17"/>
      <c r="NX12" s="17"/>
      <c r="NY12" s="17"/>
      <c r="NZ12" s="17"/>
      <c r="OA12" s="17"/>
      <c r="OB12" s="17"/>
      <c r="OC12" s="17"/>
      <c r="OD12" s="17"/>
      <c r="OE12" s="17"/>
      <c r="OF12" s="17"/>
      <c r="OG12" s="17"/>
      <c r="OH12" s="17"/>
      <c r="OI12" s="17"/>
      <c r="OJ12" s="17"/>
      <c r="OK12" s="17"/>
      <c r="OL12" s="17"/>
      <c r="OM12" s="17"/>
      <c r="ON12" s="17"/>
      <c r="OO12" s="17"/>
      <c r="OP12" s="17"/>
      <c r="OQ12" s="17"/>
      <c r="OR12" s="17"/>
      <c r="OS12" s="17"/>
      <c r="OT12" s="17"/>
      <c r="OU12" s="17"/>
      <c r="OV12" s="17"/>
      <c r="OW12" s="17"/>
      <c r="OX12" s="17"/>
      <c r="OY12" s="17"/>
      <c r="OZ12" s="17"/>
      <c r="PA12" s="17"/>
      <c r="PB12" s="17"/>
      <c r="PC12" s="17"/>
      <c r="PD12" s="17"/>
      <c r="PE12" s="17"/>
      <c r="PF12" s="17"/>
      <c r="PG12" s="17"/>
      <c r="PH12" s="17"/>
      <c r="PI12" s="17"/>
      <c r="PJ12" s="17"/>
      <c r="PK12" s="17"/>
      <c r="PL12" s="17"/>
      <c r="PM12" s="17"/>
      <c r="PN12" s="17"/>
      <c r="PO12" s="17"/>
      <c r="PP12" s="17"/>
      <c r="PQ12" s="17"/>
      <c r="PR12" s="17"/>
      <c r="PS12" s="17"/>
      <c r="PT12" s="17"/>
      <c r="PU12" s="17"/>
      <c r="PV12" s="17"/>
      <c r="PW12" s="17"/>
      <c r="PX12" s="17"/>
      <c r="PY12" s="17"/>
      <c r="PZ12" s="17"/>
      <c r="QA12" s="17"/>
      <c r="QB12" s="17"/>
      <c r="QC12" s="17"/>
      <c r="QD12" s="17"/>
      <c r="QE12" s="17"/>
      <c r="QF12" s="17"/>
      <c r="QG12" s="17"/>
      <c r="QH12" s="17"/>
      <c r="QI12" s="17"/>
      <c r="QJ12" s="17"/>
      <c r="QK12" s="17"/>
      <c r="QL12" s="17"/>
      <c r="QM12" s="17"/>
      <c r="QN12" s="17"/>
      <c r="QO12" s="17"/>
      <c r="QP12" s="17"/>
      <c r="QQ12" s="17"/>
      <c r="QR12" s="17"/>
      <c r="QS12" s="17"/>
      <c r="QT12" s="17"/>
      <c r="QU12" s="17"/>
      <c r="QV12" s="17"/>
      <c r="QW12" s="17"/>
      <c r="QX12" s="17"/>
      <c r="QY12" s="17"/>
      <c r="QZ12" s="17"/>
      <c r="RA12" s="17"/>
      <c r="RB12" s="17"/>
      <c r="RC12" s="17"/>
      <c r="RD12" s="17"/>
      <c r="RE12" s="17"/>
      <c r="RF12" s="17"/>
      <c r="RG12" s="17"/>
      <c r="RH12" s="17"/>
      <c r="RI12" s="17"/>
      <c r="RJ12" s="17"/>
      <c r="RK12" s="17"/>
      <c r="RL12" s="17"/>
      <c r="RM12" s="17"/>
      <c r="RN12" s="17"/>
      <c r="RO12" s="17"/>
      <c r="RP12" s="17"/>
      <c r="RQ12" s="17"/>
      <c r="RR12" s="17"/>
      <c r="RS12" s="17"/>
      <c r="RT12" s="17"/>
      <c r="RU12" s="17"/>
      <c r="RV12" s="17"/>
      <c r="RW12" s="17"/>
      <c r="RX12" s="17"/>
      <c r="RY12" s="17"/>
      <c r="RZ12" s="17"/>
      <c r="SA12" s="17"/>
      <c r="SB12" s="17"/>
      <c r="SC12" s="17"/>
      <c r="SD12" s="17"/>
      <c r="SE12" s="17"/>
      <c r="SF12" s="17"/>
      <c r="SG12" s="17"/>
      <c r="SH12" s="17"/>
      <c r="SI12" s="17"/>
      <c r="SJ12" s="17"/>
      <c r="SK12" s="17"/>
      <c r="SL12" s="17"/>
      <c r="SM12" s="17"/>
      <c r="SN12" s="17"/>
      <c r="SO12" s="17"/>
      <c r="SP12" s="17"/>
      <c r="SQ12" s="17"/>
      <c r="SR12" s="17"/>
      <c r="SS12" s="17"/>
      <c r="ST12" s="17"/>
      <c r="SU12" s="17"/>
      <c r="SV12" s="17"/>
      <c r="SW12" s="17"/>
      <c r="SX12" s="17"/>
      <c r="SY12" s="17"/>
      <c r="SZ12" s="17"/>
      <c r="TA12" s="17"/>
      <c r="TB12" s="17"/>
      <c r="TC12" s="17"/>
      <c r="TD12" s="17"/>
      <c r="TE12" s="17"/>
      <c r="TF12" s="17"/>
      <c r="TG12" s="17"/>
      <c r="TH12" s="17"/>
      <c r="TI12" s="17"/>
      <c r="TJ12" s="17"/>
      <c r="TK12" s="17"/>
      <c r="TL12" s="17"/>
      <c r="TM12" s="17"/>
      <c r="TN12" s="17"/>
      <c r="TO12" s="17"/>
      <c r="TP12" s="17"/>
      <c r="TQ12" s="17"/>
      <c r="TR12" s="17"/>
      <c r="TS12" s="17"/>
      <c r="TT12" s="17"/>
      <c r="TU12" s="17"/>
      <c r="TV12" s="17"/>
      <c r="TW12" s="17"/>
      <c r="TX12" s="17"/>
      <c r="TY12" s="17"/>
      <c r="TZ12" s="17"/>
      <c r="UA12" s="17"/>
      <c r="UB12" s="17"/>
      <c r="UC12" s="17"/>
      <c r="UD12" s="17"/>
      <c r="UE12" s="17"/>
      <c r="UF12" s="17"/>
      <c r="UG12" s="17"/>
      <c r="UH12" s="17"/>
      <c r="UI12" s="17"/>
      <c r="UJ12" s="17"/>
      <c r="UK12" s="17"/>
      <c r="UL12" s="17"/>
      <c r="UM12" s="17"/>
      <c r="UN12" s="17"/>
      <c r="UO12" s="17"/>
      <c r="UP12" s="17"/>
      <c r="UQ12" s="17"/>
      <c r="UR12" s="17"/>
      <c r="US12" s="17"/>
      <c r="UT12" s="17"/>
      <c r="UU12" s="17"/>
      <c r="UV12" s="17"/>
      <c r="UW12" s="17"/>
      <c r="UX12" s="17"/>
      <c r="UY12" s="17"/>
      <c r="UZ12" s="17"/>
      <c r="VA12" s="17"/>
      <c r="VB12" s="17"/>
      <c r="VC12" s="17"/>
      <c r="VD12" s="17"/>
      <c r="VE12" s="17"/>
      <c r="VF12" s="17"/>
      <c r="VG12" s="17"/>
      <c r="VH12" s="17"/>
      <c r="VI12" s="17"/>
      <c r="VJ12" s="17"/>
      <c r="VK12" s="17"/>
      <c r="VL12" s="17"/>
      <c r="VM12" s="17"/>
      <c r="VN12" s="17"/>
      <c r="VO12" s="17"/>
      <c r="VP12" s="17"/>
      <c r="VQ12" s="17"/>
      <c r="VR12" s="17"/>
      <c r="VS12" s="17"/>
      <c r="VT12" s="17"/>
      <c r="VU12" s="17"/>
      <c r="VV12" s="17"/>
      <c r="VW12" s="17"/>
      <c r="VX12" s="17"/>
      <c r="VY12" s="17"/>
      <c r="VZ12" s="17"/>
      <c r="WA12" s="17"/>
      <c r="WB12" s="17"/>
      <c r="WC12" s="17"/>
      <c r="WD12" s="17"/>
      <c r="WE12" s="17"/>
      <c r="WF12" s="17"/>
      <c r="WG12" s="17"/>
      <c r="WH12" s="17"/>
      <c r="WI12" s="17"/>
      <c r="WJ12" s="17"/>
      <c r="WK12" s="17"/>
      <c r="WL12" s="17"/>
      <c r="WM12" s="17"/>
      <c r="WN12" s="17"/>
      <c r="WO12" s="17"/>
      <c r="WP12" s="17"/>
      <c r="WQ12" s="17"/>
      <c r="WR12" s="17"/>
      <c r="WS12" s="17"/>
      <c r="WT12" s="17"/>
      <c r="WU12" s="17"/>
      <c r="WV12" s="17"/>
      <c r="WW12" s="17"/>
      <c r="WX12" s="17"/>
      <c r="WY12" s="17"/>
      <c r="WZ12" s="17"/>
      <c r="XA12" s="17"/>
      <c r="XB12" s="17"/>
      <c r="XC12" s="17"/>
      <c r="XD12" s="17"/>
      <c r="XE12" s="17"/>
      <c r="XF12" s="17"/>
      <c r="XG12" s="17"/>
      <c r="XH12" s="17"/>
      <c r="XI12" s="17"/>
      <c r="XJ12" s="17"/>
      <c r="XK12" s="17"/>
      <c r="XL12" s="17"/>
      <c r="XM12" s="17"/>
      <c r="XN12" s="17"/>
      <c r="XO12" s="17"/>
      <c r="XP12" s="17"/>
      <c r="XQ12" s="17"/>
      <c r="XR12" s="17"/>
      <c r="XS12" s="17"/>
      <c r="XT12" s="17"/>
      <c r="XU12" s="17"/>
      <c r="XV12" s="17"/>
      <c r="XW12" s="17"/>
      <c r="XX12" s="17"/>
      <c r="XY12" s="17"/>
      <c r="XZ12" s="17"/>
      <c r="YA12" s="17"/>
      <c r="YB12" s="17"/>
      <c r="YC12" s="17"/>
      <c r="YD12" s="17"/>
      <c r="YE12" s="17"/>
      <c r="YF12" s="17"/>
      <c r="YG12" s="17"/>
      <c r="YH12" s="17"/>
      <c r="YI12" s="17"/>
      <c r="YJ12" s="17"/>
      <c r="YK12" s="17"/>
      <c r="YL12" s="17"/>
      <c r="YM12" s="17"/>
      <c r="YN12" s="17"/>
      <c r="YO12" s="17"/>
      <c r="YP12" s="17"/>
      <c r="YQ12" s="17"/>
      <c r="YR12" s="17"/>
      <c r="YS12" s="17"/>
      <c r="YT12" s="17"/>
      <c r="YU12" s="17"/>
      <c r="YV12" s="17"/>
      <c r="YW12" s="17"/>
      <c r="YX12" s="17"/>
      <c r="YY12" s="17"/>
      <c r="YZ12" s="17"/>
      <c r="ZA12" s="17"/>
      <c r="ZB12" s="17"/>
      <c r="ZC12" s="17"/>
      <c r="ZD12" s="17"/>
      <c r="ZE12" s="17"/>
      <c r="ZF12" s="17"/>
      <c r="ZG12" s="17"/>
      <c r="ZH12" s="17"/>
      <c r="ZI12" s="17"/>
      <c r="ZJ12" s="17"/>
      <c r="ZK12" s="17"/>
    </row>
    <row r="13" spans="1:687" s="29" customFormat="1" ht="53.25" customHeight="1" x14ac:dyDescent="0.25">
      <c r="A13" s="510"/>
      <c r="B13" s="511"/>
      <c r="C13" s="513"/>
      <c r="D13" s="513"/>
      <c r="E13" s="513"/>
      <c r="F13" s="513"/>
      <c r="G13" s="513"/>
      <c r="H13" s="513"/>
      <c r="I13" s="515"/>
      <c r="J13" s="668"/>
      <c r="K13" s="465"/>
      <c r="L13" s="465"/>
      <c r="M13" s="465"/>
      <c r="N13" s="465"/>
      <c r="O13" s="465"/>
      <c r="P13" s="465"/>
      <c r="Q13" s="116" t="s">
        <v>435</v>
      </c>
      <c r="R13" s="116" t="s">
        <v>436</v>
      </c>
      <c r="S13" s="374" t="s">
        <v>60</v>
      </c>
      <c r="T13" s="677"/>
      <c r="U13" s="374">
        <v>26</v>
      </c>
      <c r="V13" s="666"/>
      <c r="W13" s="671"/>
      <c r="X13" s="126" t="s">
        <v>417</v>
      </c>
      <c r="Y13" s="492"/>
      <c r="Z13" s="492"/>
      <c r="AA13" s="493"/>
      <c r="AB13" s="492"/>
      <c r="AC13" s="374">
        <v>15</v>
      </c>
      <c r="AD13" s="374">
        <f>+U13</f>
        <v>26</v>
      </c>
      <c r="AE13" s="373">
        <f>AC13/AD13</f>
        <v>0.57692307692307687</v>
      </c>
      <c r="AF13" s="369" t="s">
        <v>437</v>
      </c>
      <c r="AG13" s="492"/>
      <c r="AH13" s="492"/>
      <c r="AI13" s="493"/>
      <c r="AJ13" s="492"/>
      <c r="AK13" s="374">
        <v>37</v>
      </c>
      <c r="AL13" s="374">
        <f>+'[12]PAI SSLA'!U13</f>
        <v>26</v>
      </c>
      <c r="AM13" s="679">
        <f>AK13/AL13</f>
        <v>1.4230769230769231</v>
      </c>
      <c r="AN13" s="369" t="s">
        <v>438</v>
      </c>
      <c r="AO13" s="492"/>
      <c r="AP13" s="492"/>
      <c r="AQ13" s="493"/>
      <c r="AR13" s="492"/>
      <c r="AS13" s="374">
        <v>67</v>
      </c>
      <c r="AT13" s="374">
        <f>+'[13]PAI SSLA'!U13</f>
        <v>26</v>
      </c>
      <c r="AU13" s="680">
        <f>AS13/AT13</f>
        <v>2.5769230769230771</v>
      </c>
      <c r="AV13" s="369" t="s">
        <v>439</v>
      </c>
      <c r="AW13" s="492"/>
      <c r="AX13" s="492"/>
      <c r="AY13" s="493"/>
      <c r="AZ13" s="492"/>
      <c r="BA13" s="374">
        <v>84</v>
      </c>
      <c r="BB13" s="374">
        <v>26</v>
      </c>
      <c r="BC13" s="373">
        <v>3.2307692307692308</v>
      </c>
      <c r="BD13" s="369" t="s">
        <v>440</v>
      </c>
      <c r="BE13" s="492"/>
      <c r="BF13" s="492"/>
      <c r="BG13" s="493"/>
      <c r="BH13" s="492"/>
      <c r="BI13" s="374">
        <v>99</v>
      </c>
      <c r="BJ13" s="374">
        <v>26</v>
      </c>
      <c r="BK13" s="110">
        <v>3.8076923076923075</v>
      </c>
      <c r="BL13" s="369" t="s">
        <v>441</v>
      </c>
      <c r="BM13" s="492"/>
      <c r="BN13" s="492"/>
      <c r="BO13" s="493"/>
      <c r="BP13" s="492"/>
      <c r="BQ13" s="374">
        <v>115</v>
      </c>
      <c r="BR13" s="374">
        <v>26</v>
      </c>
      <c r="BS13" s="373">
        <v>4.4230769230769234</v>
      </c>
      <c r="BT13" s="369" t="s">
        <v>633</v>
      </c>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c r="IX13" s="17"/>
      <c r="IY13" s="17"/>
      <c r="IZ13" s="17"/>
      <c r="JA13" s="17"/>
      <c r="JB13" s="17"/>
      <c r="JC13" s="17"/>
      <c r="JD13" s="17"/>
      <c r="JE13" s="17"/>
      <c r="JF13" s="17"/>
      <c r="JG13" s="17"/>
      <c r="JH13" s="17"/>
      <c r="JI13" s="17"/>
      <c r="JJ13" s="17"/>
      <c r="JK13" s="17"/>
      <c r="JL13" s="17"/>
      <c r="JM13" s="17"/>
      <c r="JN13" s="17"/>
      <c r="JO13" s="17"/>
      <c r="JP13" s="17"/>
      <c r="JQ13" s="17"/>
      <c r="JR13" s="17"/>
      <c r="JS13" s="17"/>
      <c r="JT13" s="17"/>
      <c r="JU13" s="17"/>
      <c r="JV13" s="17"/>
      <c r="JW13" s="17"/>
      <c r="JX13" s="17"/>
      <c r="JY13" s="17"/>
      <c r="JZ13" s="17"/>
      <c r="KA13" s="17"/>
      <c r="KB13" s="17"/>
      <c r="KC13" s="17"/>
      <c r="KD13" s="17"/>
      <c r="KE13" s="17"/>
      <c r="KF13" s="17"/>
      <c r="KG13" s="17"/>
      <c r="KH13" s="17"/>
      <c r="KI13" s="17"/>
      <c r="KJ13" s="17"/>
      <c r="KK13" s="17"/>
      <c r="KL13" s="17"/>
      <c r="KM13" s="17"/>
      <c r="KN13" s="17"/>
      <c r="KO13" s="17"/>
      <c r="KP13" s="17"/>
      <c r="KQ13" s="17"/>
      <c r="KR13" s="17"/>
      <c r="KS13" s="17"/>
      <c r="KT13" s="17"/>
      <c r="KU13" s="17"/>
      <c r="KV13" s="17"/>
      <c r="KW13" s="17"/>
      <c r="KX13" s="17"/>
      <c r="KY13" s="17"/>
      <c r="KZ13" s="17"/>
      <c r="LA13" s="17"/>
      <c r="LB13" s="17"/>
      <c r="LC13" s="17"/>
      <c r="LD13" s="17"/>
      <c r="LE13" s="17"/>
      <c r="LF13" s="17"/>
      <c r="LG13" s="17"/>
      <c r="LH13" s="17"/>
      <c r="LI13" s="17"/>
      <c r="LJ13" s="17"/>
      <c r="LK13" s="17"/>
      <c r="LL13" s="17"/>
      <c r="LM13" s="17"/>
      <c r="LN13" s="17"/>
      <c r="LO13" s="17"/>
      <c r="LP13" s="17"/>
      <c r="LQ13" s="17"/>
      <c r="LR13" s="17"/>
      <c r="LS13" s="17"/>
      <c r="LT13" s="17"/>
      <c r="LU13" s="17"/>
      <c r="LV13" s="17"/>
      <c r="LW13" s="17"/>
      <c r="LX13" s="17"/>
      <c r="LY13" s="17"/>
      <c r="LZ13" s="17"/>
      <c r="MA13" s="17"/>
      <c r="MB13" s="17"/>
      <c r="MC13" s="17"/>
      <c r="MD13" s="17"/>
      <c r="ME13" s="17"/>
      <c r="MF13" s="17"/>
      <c r="MG13" s="17"/>
      <c r="MH13" s="17"/>
      <c r="MI13" s="17"/>
      <c r="MJ13" s="17"/>
      <c r="MK13" s="17"/>
      <c r="ML13" s="17"/>
      <c r="MM13" s="17"/>
      <c r="MN13" s="17"/>
      <c r="MO13" s="17"/>
      <c r="MP13" s="17"/>
      <c r="MQ13" s="17"/>
      <c r="MR13" s="17"/>
      <c r="MS13" s="17"/>
      <c r="MT13" s="17"/>
      <c r="MU13" s="17"/>
      <c r="MV13" s="17"/>
      <c r="MW13" s="17"/>
      <c r="MX13" s="17"/>
      <c r="MY13" s="17"/>
      <c r="MZ13" s="17"/>
      <c r="NA13" s="17"/>
      <c r="NB13" s="17"/>
      <c r="NC13" s="17"/>
      <c r="ND13" s="17"/>
      <c r="NE13" s="17"/>
      <c r="NF13" s="17"/>
      <c r="NG13" s="17"/>
      <c r="NH13" s="17"/>
      <c r="NI13" s="17"/>
      <c r="NJ13" s="17"/>
      <c r="NK13" s="17"/>
      <c r="NL13" s="17"/>
      <c r="NM13" s="17"/>
      <c r="NN13" s="17"/>
      <c r="NO13" s="17"/>
      <c r="NP13" s="17"/>
      <c r="NQ13" s="17"/>
      <c r="NR13" s="17"/>
      <c r="NS13" s="17"/>
      <c r="NT13" s="17"/>
      <c r="NU13" s="17"/>
      <c r="NV13" s="17"/>
      <c r="NW13" s="17"/>
      <c r="NX13" s="17"/>
      <c r="NY13" s="17"/>
      <c r="NZ13" s="17"/>
      <c r="OA13" s="17"/>
      <c r="OB13" s="17"/>
      <c r="OC13" s="17"/>
      <c r="OD13" s="17"/>
      <c r="OE13" s="17"/>
      <c r="OF13" s="17"/>
      <c r="OG13" s="17"/>
      <c r="OH13" s="17"/>
      <c r="OI13" s="17"/>
      <c r="OJ13" s="17"/>
      <c r="OK13" s="17"/>
      <c r="OL13" s="17"/>
      <c r="OM13" s="17"/>
      <c r="ON13" s="17"/>
      <c r="OO13" s="17"/>
      <c r="OP13" s="17"/>
      <c r="OQ13" s="17"/>
      <c r="OR13" s="17"/>
      <c r="OS13" s="17"/>
      <c r="OT13" s="17"/>
      <c r="OU13" s="17"/>
      <c r="OV13" s="17"/>
      <c r="OW13" s="17"/>
      <c r="OX13" s="17"/>
      <c r="OY13" s="17"/>
      <c r="OZ13" s="17"/>
      <c r="PA13" s="17"/>
      <c r="PB13" s="17"/>
      <c r="PC13" s="17"/>
      <c r="PD13" s="17"/>
      <c r="PE13" s="17"/>
      <c r="PF13" s="17"/>
      <c r="PG13" s="17"/>
      <c r="PH13" s="17"/>
      <c r="PI13" s="17"/>
      <c r="PJ13" s="17"/>
      <c r="PK13" s="17"/>
      <c r="PL13" s="17"/>
      <c r="PM13" s="17"/>
      <c r="PN13" s="17"/>
      <c r="PO13" s="17"/>
      <c r="PP13" s="17"/>
      <c r="PQ13" s="17"/>
      <c r="PR13" s="17"/>
      <c r="PS13" s="17"/>
      <c r="PT13" s="17"/>
      <c r="PU13" s="17"/>
      <c r="PV13" s="17"/>
      <c r="PW13" s="17"/>
      <c r="PX13" s="17"/>
      <c r="PY13" s="17"/>
      <c r="PZ13" s="17"/>
      <c r="QA13" s="17"/>
      <c r="QB13" s="17"/>
      <c r="QC13" s="17"/>
      <c r="QD13" s="17"/>
      <c r="QE13" s="17"/>
      <c r="QF13" s="17"/>
      <c r="QG13" s="17"/>
      <c r="QH13" s="17"/>
      <c r="QI13" s="17"/>
      <c r="QJ13" s="17"/>
      <c r="QK13" s="17"/>
      <c r="QL13" s="17"/>
      <c r="QM13" s="17"/>
      <c r="QN13" s="17"/>
      <c r="QO13" s="17"/>
      <c r="QP13" s="17"/>
      <c r="QQ13" s="17"/>
      <c r="QR13" s="17"/>
      <c r="QS13" s="17"/>
      <c r="QT13" s="17"/>
      <c r="QU13" s="17"/>
      <c r="QV13" s="17"/>
      <c r="QW13" s="17"/>
      <c r="QX13" s="17"/>
      <c r="QY13" s="17"/>
      <c r="QZ13" s="17"/>
      <c r="RA13" s="17"/>
      <c r="RB13" s="17"/>
      <c r="RC13" s="17"/>
      <c r="RD13" s="17"/>
      <c r="RE13" s="17"/>
      <c r="RF13" s="17"/>
      <c r="RG13" s="17"/>
      <c r="RH13" s="17"/>
      <c r="RI13" s="17"/>
      <c r="RJ13" s="17"/>
      <c r="RK13" s="17"/>
      <c r="RL13" s="17"/>
      <c r="RM13" s="17"/>
      <c r="RN13" s="17"/>
      <c r="RO13" s="17"/>
      <c r="RP13" s="17"/>
      <c r="RQ13" s="17"/>
      <c r="RR13" s="17"/>
      <c r="RS13" s="17"/>
      <c r="RT13" s="17"/>
      <c r="RU13" s="17"/>
      <c r="RV13" s="17"/>
      <c r="RW13" s="17"/>
      <c r="RX13" s="17"/>
      <c r="RY13" s="17"/>
      <c r="RZ13" s="17"/>
      <c r="SA13" s="17"/>
      <c r="SB13" s="17"/>
      <c r="SC13" s="17"/>
      <c r="SD13" s="17"/>
      <c r="SE13" s="17"/>
      <c r="SF13" s="17"/>
      <c r="SG13" s="17"/>
      <c r="SH13" s="17"/>
      <c r="SI13" s="17"/>
      <c r="SJ13" s="17"/>
      <c r="SK13" s="17"/>
      <c r="SL13" s="17"/>
      <c r="SM13" s="17"/>
      <c r="SN13" s="17"/>
      <c r="SO13" s="17"/>
      <c r="SP13" s="17"/>
      <c r="SQ13" s="17"/>
      <c r="SR13" s="17"/>
      <c r="SS13" s="17"/>
      <c r="ST13" s="17"/>
      <c r="SU13" s="17"/>
      <c r="SV13" s="17"/>
      <c r="SW13" s="17"/>
      <c r="SX13" s="17"/>
      <c r="SY13" s="17"/>
      <c r="SZ13" s="17"/>
      <c r="TA13" s="17"/>
      <c r="TB13" s="17"/>
      <c r="TC13" s="17"/>
      <c r="TD13" s="17"/>
      <c r="TE13" s="17"/>
      <c r="TF13" s="17"/>
      <c r="TG13" s="17"/>
      <c r="TH13" s="17"/>
      <c r="TI13" s="17"/>
      <c r="TJ13" s="17"/>
      <c r="TK13" s="17"/>
      <c r="TL13" s="17"/>
      <c r="TM13" s="17"/>
      <c r="TN13" s="17"/>
      <c r="TO13" s="17"/>
      <c r="TP13" s="17"/>
      <c r="TQ13" s="17"/>
      <c r="TR13" s="17"/>
      <c r="TS13" s="17"/>
      <c r="TT13" s="17"/>
      <c r="TU13" s="17"/>
      <c r="TV13" s="17"/>
      <c r="TW13" s="17"/>
      <c r="TX13" s="17"/>
      <c r="TY13" s="17"/>
      <c r="TZ13" s="17"/>
      <c r="UA13" s="17"/>
      <c r="UB13" s="17"/>
      <c r="UC13" s="17"/>
      <c r="UD13" s="17"/>
      <c r="UE13" s="17"/>
      <c r="UF13" s="17"/>
      <c r="UG13" s="17"/>
      <c r="UH13" s="17"/>
      <c r="UI13" s="17"/>
      <c r="UJ13" s="17"/>
      <c r="UK13" s="17"/>
      <c r="UL13" s="17"/>
      <c r="UM13" s="17"/>
      <c r="UN13" s="17"/>
      <c r="UO13" s="17"/>
      <c r="UP13" s="17"/>
      <c r="UQ13" s="17"/>
      <c r="UR13" s="17"/>
      <c r="US13" s="17"/>
      <c r="UT13" s="17"/>
      <c r="UU13" s="17"/>
      <c r="UV13" s="17"/>
      <c r="UW13" s="17"/>
      <c r="UX13" s="17"/>
      <c r="UY13" s="17"/>
      <c r="UZ13" s="17"/>
      <c r="VA13" s="17"/>
      <c r="VB13" s="17"/>
      <c r="VC13" s="17"/>
      <c r="VD13" s="17"/>
      <c r="VE13" s="17"/>
      <c r="VF13" s="17"/>
      <c r="VG13" s="17"/>
      <c r="VH13" s="17"/>
      <c r="VI13" s="17"/>
      <c r="VJ13" s="17"/>
      <c r="VK13" s="17"/>
      <c r="VL13" s="17"/>
      <c r="VM13" s="17"/>
      <c r="VN13" s="17"/>
      <c r="VO13" s="17"/>
      <c r="VP13" s="17"/>
      <c r="VQ13" s="17"/>
      <c r="VR13" s="17"/>
      <c r="VS13" s="17"/>
      <c r="VT13" s="17"/>
      <c r="VU13" s="17"/>
      <c r="VV13" s="17"/>
      <c r="VW13" s="17"/>
      <c r="VX13" s="17"/>
      <c r="VY13" s="17"/>
      <c r="VZ13" s="17"/>
      <c r="WA13" s="17"/>
      <c r="WB13" s="17"/>
      <c r="WC13" s="17"/>
      <c r="WD13" s="17"/>
      <c r="WE13" s="17"/>
      <c r="WF13" s="17"/>
      <c r="WG13" s="17"/>
      <c r="WH13" s="17"/>
      <c r="WI13" s="17"/>
      <c r="WJ13" s="17"/>
      <c r="WK13" s="17"/>
      <c r="WL13" s="17"/>
      <c r="WM13" s="17"/>
      <c r="WN13" s="17"/>
      <c r="WO13" s="17"/>
      <c r="WP13" s="17"/>
      <c r="WQ13" s="17"/>
      <c r="WR13" s="17"/>
      <c r="WS13" s="17"/>
      <c r="WT13" s="17"/>
      <c r="WU13" s="17"/>
      <c r="WV13" s="17"/>
      <c r="WW13" s="17"/>
      <c r="WX13" s="17"/>
      <c r="WY13" s="17"/>
      <c r="WZ13" s="17"/>
      <c r="XA13" s="17"/>
      <c r="XB13" s="17"/>
      <c r="XC13" s="17"/>
      <c r="XD13" s="17"/>
      <c r="XE13" s="17"/>
      <c r="XF13" s="17"/>
      <c r="XG13" s="17"/>
      <c r="XH13" s="17"/>
      <c r="XI13" s="17"/>
      <c r="XJ13" s="17"/>
      <c r="XK13" s="17"/>
      <c r="XL13" s="17"/>
      <c r="XM13" s="17"/>
      <c r="XN13" s="17"/>
      <c r="XO13" s="17"/>
      <c r="XP13" s="17"/>
      <c r="XQ13" s="17"/>
      <c r="XR13" s="17"/>
      <c r="XS13" s="17"/>
      <c r="XT13" s="17"/>
      <c r="XU13" s="17"/>
      <c r="XV13" s="17"/>
      <c r="XW13" s="17"/>
      <c r="XX13" s="17"/>
      <c r="XY13" s="17"/>
      <c r="XZ13" s="17"/>
      <c r="YA13" s="17"/>
      <c r="YB13" s="17"/>
      <c r="YC13" s="17"/>
      <c r="YD13" s="17"/>
      <c r="YE13" s="17"/>
      <c r="YF13" s="17"/>
      <c r="YG13" s="17"/>
      <c r="YH13" s="17"/>
      <c r="YI13" s="17"/>
      <c r="YJ13" s="17"/>
      <c r="YK13" s="17"/>
      <c r="YL13" s="17"/>
      <c r="YM13" s="17"/>
      <c r="YN13" s="17"/>
      <c r="YO13" s="17"/>
      <c r="YP13" s="17"/>
      <c r="YQ13" s="17"/>
      <c r="YR13" s="17"/>
      <c r="YS13" s="17"/>
      <c r="YT13" s="17"/>
      <c r="YU13" s="17"/>
      <c r="YV13" s="17"/>
      <c r="YW13" s="17"/>
      <c r="YX13" s="17"/>
      <c r="YY13" s="17"/>
      <c r="YZ13" s="17"/>
      <c r="ZA13" s="17"/>
      <c r="ZB13" s="17"/>
      <c r="ZC13" s="17"/>
      <c r="ZD13" s="17"/>
      <c r="ZE13" s="17"/>
      <c r="ZF13" s="17"/>
      <c r="ZG13" s="17"/>
      <c r="ZH13" s="17"/>
      <c r="ZI13" s="17"/>
      <c r="ZJ13" s="17"/>
      <c r="ZK13" s="17"/>
    </row>
    <row r="14" spans="1:687" s="18" customFormat="1" ht="70.5" customHeight="1" x14ac:dyDescent="0.25">
      <c r="A14" s="39"/>
      <c r="B14" s="39"/>
      <c r="C14" s="39"/>
      <c r="D14" s="39"/>
      <c r="E14" s="39"/>
      <c r="F14" s="39"/>
      <c r="G14" s="39"/>
      <c r="H14" s="39"/>
      <c r="I14" s="39"/>
      <c r="J14" s="676"/>
      <c r="K14" s="676"/>
      <c r="L14" s="676"/>
      <c r="M14" s="676"/>
      <c r="N14" s="676"/>
      <c r="O14" s="676"/>
      <c r="P14" s="93"/>
      <c r="Q14" s="676"/>
      <c r="R14" s="676"/>
      <c r="S14" s="93"/>
      <c r="T14" s="676"/>
      <c r="U14" s="676"/>
      <c r="V14" s="681"/>
      <c r="W14" s="671"/>
      <c r="X14" s="676"/>
      <c r="Y14" s="459" t="s">
        <v>102</v>
      </c>
      <c r="Z14" s="459"/>
      <c r="AA14" s="46">
        <f>AVERAGE(AA11:AA13)</f>
        <v>0.20930232558139536</v>
      </c>
      <c r="AB14" s="74"/>
      <c r="AC14" s="459" t="s">
        <v>103</v>
      </c>
      <c r="AD14" s="459"/>
      <c r="AE14" s="46">
        <f>AVERAGE(AE11:AE13)</f>
        <v>0.35897435897435898</v>
      </c>
      <c r="AF14" s="45"/>
      <c r="AG14" s="459" t="s">
        <v>102</v>
      </c>
      <c r="AH14" s="459"/>
      <c r="AI14" s="46">
        <f>AVERAGE(AI11:AI13)</f>
        <v>0.33023255813953489</v>
      </c>
      <c r="AJ14" s="74"/>
      <c r="AK14" s="459" t="s">
        <v>103</v>
      </c>
      <c r="AL14" s="459"/>
      <c r="AM14" s="46">
        <f>AVERAGE(AM11:AM13)</f>
        <v>0.65807109557109555</v>
      </c>
      <c r="AN14" s="45"/>
      <c r="AO14" s="459" t="s">
        <v>102</v>
      </c>
      <c r="AP14" s="459"/>
      <c r="AQ14" s="46">
        <f>AVERAGE(AQ11:AQ13)</f>
        <v>0.51162790697674421</v>
      </c>
      <c r="AR14" s="74"/>
      <c r="AS14" s="459" t="s">
        <v>103</v>
      </c>
      <c r="AT14" s="459"/>
      <c r="AU14" s="46">
        <f>AVERAGE(AU11:AU13)</f>
        <v>1.0483682983682985</v>
      </c>
      <c r="AV14" s="45"/>
      <c r="AW14" s="459" t="s">
        <v>102</v>
      </c>
      <c r="AX14" s="459"/>
      <c r="AY14" s="46">
        <f>AVERAGE(AY11:AY13)</f>
        <v>0.65581395348837213</v>
      </c>
      <c r="AZ14" s="74"/>
      <c r="BA14" s="459" t="s">
        <v>103</v>
      </c>
      <c r="BB14" s="459"/>
      <c r="BC14" s="46">
        <f>AVERAGE(BC11:BC13)</f>
        <v>1.2871503496503498</v>
      </c>
      <c r="BD14" s="45"/>
      <c r="BE14" s="459" t="s">
        <v>102</v>
      </c>
      <c r="BF14" s="459"/>
      <c r="BG14" s="46">
        <v>0.73488372093023258</v>
      </c>
      <c r="BH14" s="74"/>
      <c r="BI14" s="459" t="s">
        <v>103</v>
      </c>
      <c r="BJ14" s="459"/>
      <c r="BK14" s="46">
        <v>1.5059731934731933</v>
      </c>
      <c r="BL14" s="45"/>
      <c r="BM14" s="459" t="s">
        <v>102</v>
      </c>
      <c r="BN14" s="459"/>
      <c r="BO14" s="46">
        <v>0.8418604651162791</v>
      </c>
      <c r="BP14" s="74"/>
      <c r="BQ14" s="459" t="s">
        <v>103</v>
      </c>
      <c r="BR14" s="459"/>
      <c r="BS14" s="46">
        <v>1.7527680652680653</v>
      </c>
      <c r="BT14" s="45"/>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c r="IX14" s="17"/>
      <c r="IY14" s="17"/>
      <c r="IZ14" s="17"/>
      <c r="JA14" s="17"/>
      <c r="JB14" s="17"/>
      <c r="JC14" s="17"/>
      <c r="JD14" s="17"/>
      <c r="JE14" s="17"/>
      <c r="JF14" s="17"/>
      <c r="JG14" s="17"/>
      <c r="JH14" s="17"/>
      <c r="JI14" s="17"/>
      <c r="JJ14" s="17"/>
      <c r="JK14" s="17"/>
      <c r="JL14" s="17"/>
      <c r="JM14" s="17"/>
      <c r="JN14" s="17"/>
      <c r="JO14" s="17"/>
      <c r="JP14" s="17"/>
      <c r="JQ14" s="17"/>
      <c r="JR14" s="17"/>
      <c r="JS14" s="17"/>
      <c r="JT14" s="17"/>
      <c r="JU14" s="17"/>
      <c r="JV14" s="17"/>
      <c r="JW14" s="17"/>
      <c r="JX14" s="17"/>
      <c r="JY14" s="17"/>
      <c r="JZ14" s="17"/>
      <c r="KA14" s="17"/>
      <c r="KB14" s="17"/>
      <c r="KC14" s="17"/>
      <c r="KD14" s="17"/>
      <c r="KE14" s="17"/>
      <c r="KF14" s="17"/>
      <c r="KG14" s="17"/>
      <c r="KH14" s="17"/>
      <c r="KI14" s="17"/>
      <c r="KJ14" s="17"/>
      <c r="KK14" s="17"/>
      <c r="KL14" s="17"/>
      <c r="KM14" s="17"/>
      <c r="KN14" s="17"/>
      <c r="KO14" s="17"/>
      <c r="KP14" s="17"/>
      <c r="KQ14" s="17"/>
      <c r="KR14" s="17"/>
      <c r="KS14" s="17"/>
      <c r="KT14" s="17"/>
      <c r="KU14" s="17"/>
      <c r="KV14" s="17"/>
      <c r="KW14" s="17"/>
      <c r="KX14" s="17"/>
      <c r="KY14" s="17"/>
      <c r="KZ14" s="17"/>
      <c r="LA14" s="17"/>
      <c r="LB14" s="17"/>
      <c r="LC14" s="17"/>
      <c r="LD14" s="17"/>
      <c r="LE14" s="17"/>
      <c r="LF14" s="17"/>
      <c r="LG14" s="17"/>
      <c r="LH14" s="17"/>
      <c r="LI14" s="17"/>
      <c r="LJ14" s="17"/>
      <c r="LK14" s="17"/>
      <c r="LL14" s="17"/>
      <c r="LM14" s="17"/>
      <c r="LN14" s="17"/>
      <c r="LO14" s="17"/>
      <c r="LP14" s="17"/>
      <c r="LQ14" s="17"/>
      <c r="LR14" s="17"/>
      <c r="LS14" s="17"/>
      <c r="LT14" s="17"/>
      <c r="LU14" s="17"/>
      <c r="LV14" s="17"/>
      <c r="LW14" s="17"/>
      <c r="LX14" s="17"/>
      <c r="LY14" s="17"/>
      <c r="LZ14" s="17"/>
      <c r="MA14" s="17"/>
      <c r="MB14" s="17"/>
      <c r="MC14" s="17"/>
      <c r="MD14" s="17"/>
      <c r="ME14" s="17"/>
      <c r="MF14" s="17"/>
      <c r="MG14" s="17"/>
      <c r="MH14" s="17"/>
      <c r="MI14" s="17"/>
      <c r="MJ14" s="17"/>
      <c r="MK14" s="17"/>
      <c r="ML14" s="17"/>
      <c r="MM14" s="17"/>
      <c r="MN14" s="17"/>
      <c r="MO14" s="17"/>
      <c r="MP14" s="17"/>
      <c r="MQ14" s="17"/>
      <c r="MR14" s="17"/>
      <c r="MS14" s="17"/>
      <c r="MT14" s="17"/>
      <c r="MU14" s="17"/>
      <c r="MV14" s="17"/>
      <c r="MW14" s="17"/>
      <c r="MX14" s="17"/>
      <c r="MY14" s="17"/>
      <c r="MZ14" s="17"/>
      <c r="NA14" s="17"/>
      <c r="NB14" s="17"/>
      <c r="NC14" s="17"/>
      <c r="ND14" s="17"/>
      <c r="NE14" s="17"/>
      <c r="NF14" s="17"/>
      <c r="NG14" s="17"/>
      <c r="NH14" s="17"/>
      <c r="NI14" s="17"/>
      <c r="NJ14" s="17"/>
      <c r="NK14" s="17"/>
      <c r="NL14" s="17"/>
      <c r="NM14" s="17"/>
      <c r="NN14" s="17"/>
      <c r="NO14" s="17"/>
      <c r="NP14" s="17"/>
      <c r="NQ14" s="17"/>
      <c r="NR14" s="17"/>
      <c r="NS14" s="17"/>
      <c r="NT14" s="17"/>
      <c r="NU14" s="17"/>
      <c r="NV14" s="17"/>
      <c r="NW14" s="17"/>
      <c r="NX14" s="17"/>
      <c r="NY14" s="17"/>
      <c r="NZ14" s="17"/>
      <c r="OA14" s="17"/>
      <c r="OB14" s="17"/>
      <c r="OC14" s="17"/>
      <c r="OD14" s="17"/>
      <c r="OE14" s="17"/>
      <c r="OF14" s="17"/>
      <c r="OG14" s="17"/>
      <c r="OH14" s="17"/>
      <c r="OI14" s="17"/>
      <c r="OJ14" s="17"/>
      <c r="OK14" s="17"/>
      <c r="OL14" s="17"/>
      <c r="OM14" s="17"/>
      <c r="ON14" s="17"/>
      <c r="OO14" s="17"/>
      <c r="OP14" s="17"/>
      <c r="OQ14" s="17"/>
      <c r="OR14" s="17"/>
      <c r="OS14" s="17"/>
      <c r="OT14" s="17"/>
      <c r="OU14" s="17"/>
      <c r="OV14" s="17"/>
      <c r="OW14" s="17"/>
      <c r="OX14" s="17"/>
      <c r="OY14" s="17"/>
      <c r="OZ14" s="17"/>
      <c r="PA14" s="17"/>
      <c r="PB14" s="17"/>
      <c r="PC14" s="17"/>
      <c r="PD14" s="17"/>
      <c r="PE14" s="17"/>
      <c r="PF14" s="17"/>
      <c r="PG14" s="17"/>
      <c r="PH14" s="17"/>
      <c r="PI14" s="17"/>
      <c r="PJ14" s="17"/>
      <c r="PK14" s="17"/>
      <c r="PL14" s="17"/>
      <c r="PM14" s="17"/>
      <c r="PN14" s="17"/>
      <c r="PO14" s="17"/>
      <c r="PP14" s="17"/>
      <c r="PQ14" s="17"/>
      <c r="PR14" s="17"/>
      <c r="PS14" s="17"/>
      <c r="PT14" s="17"/>
      <c r="PU14" s="17"/>
      <c r="PV14" s="17"/>
      <c r="PW14" s="17"/>
      <c r="PX14" s="17"/>
      <c r="PY14" s="17"/>
      <c r="PZ14" s="17"/>
      <c r="QA14" s="17"/>
      <c r="QB14" s="17"/>
      <c r="QC14" s="17"/>
      <c r="QD14" s="17"/>
      <c r="QE14" s="17"/>
      <c r="QF14" s="17"/>
      <c r="QG14" s="17"/>
      <c r="QH14" s="17"/>
      <c r="QI14" s="17"/>
      <c r="QJ14" s="17"/>
      <c r="QK14" s="17"/>
      <c r="QL14" s="17"/>
      <c r="QM14" s="17"/>
      <c r="QN14" s="17"/>
      <c r="QO14" s="17"/>
      <c r="QP14" s="17"/>
      <c r="QQ14" s="17"/>
      <c r="QR14" s="17"/>
      <c r="QS14" s="17"/>
      <c r="QT14" s="17"/>
      <c r="QU14" s="17"/>
      <c r="QV14" s="17"/>
      <c r="QW14" s="17"/>
      <c r="QX14" s="17"/>
      <c r="QY14" s="17"/>
      <c r="QZ14" s="17"/>
      <c r="RA14" s="17"/>
      <c r="RB14" s="17"/>
      <c r="RC14" s="17"/>
      <c r="RD14" s="17"/>
      <c r="RE14" s="17"/>
      <c r="RF14" s="17"/>
      <c r="RG14" s="17"/>
      <c r="RH14" s="17"/>
      <c r="RI14" s="17"/>
      <c r="RJ14" s="17"/>
      <c r="RK14" s="17"/>
      <c r="RL14" s="17"/>
      <c r="RM14" s="17"/>
      <c r="RN14" s="17"/>
      <c r="RO14" s="17"/>
      <c r="RP14" s="17"/>
      <c r="RQ14" s="17"/>
      <c r="RR14" s="17"/>
      <c r="RS14" s="17"/>
      <c r="RT14" s="17"/>
      <c r="RU14" s="17"/>
      <c r="RV14" s="17"/>
      <c r="RW14" s="17"/>
      <c r="RX14" s="17"/>
      <c r="RY14" s="17"/>
      <c r="RZ14" s="17"/>
      <c r="SA14" s="17"/>
      <c r="SB14" s="17"/>
      <c r="SC14" s="17"/>
      <c r="SD14" s="17"/>
      <c r="SE14" s="17"/>
      <c r="SF14" s="17"/>
      <c r="SG14" s="17"/>
      <c r="SH14" s="17"/>
      <c r="SI14" s="17"/>
      <c r="SJ14" s="17"/>
      <c r="SK14" s="17"/>
      <c r="SL14" s="17"/>
      <c r="SM14" s="17"/>
      <c r="SN14" s="17"/>
      <c r="SO14" s="17"/>
      <c r="SP14" s="17"/>
      <c r="SQ14" s="17"/>
      <c r="SR14" s="17"/>
      <c r="SS14" s="17"/>
      <c r="ST14" s="17"/>
      <c r="SU14" s="17"/>
      <c r="SV14" s="17"/>
      <c r="SW14" s="17"/>
      <c r="SX14" s="17"/>
      <c r="SY14" s="17"/>
      <c r="SZ14" s="17"/>
      <c r="TA14" s="17"/>
      <c r="TB14" s="17"/>
      <c r="TC14" s="17"/>
      <c r="TD14" s="17"/>
      <c r="TE14" s="17"/>
      <c r="TF14" s="17"/>
      <c r="TG14" s="17"/>
      <c r="TH14" s="17"/>
      <c r="TI14" s="17"/>
      <c r="TJ14" s="17"/>
      <c r="TK14" s="17"/>
      <c r="TL14" s="17"/>
      <c r="TM14" s="17"/>
      <c r="TN14" s="17"/>
      <c r="TO14" s="17"/>
      <c r="TP14" s="17"/>
      <c r="TQ14" s="17"/>
      <c r="TR14" s="17"/>
      <c r="TS14" s="17"/>
      <c r="TT14" s="17"/>
      <c r="TU14" s="17"/>
      <c r="TV14" s="17"/>
      <c r="TW14" s="17"/>
      <c r="TX14" s="17"/>
      <c r="TY14" s="17"/>
      <c r="TZ14" s="17"/>
      <c r="UA14" s="17"/>
      <c r="UB14" s="17"/>
      <c r="UC14" s="17"/>
      <c r="UD14" s="17"/>
      <c r="UE14" s="17"/>
      <c r="UF14" s="17"/>
      <c r="UG14" s="17"/>
      <c r="UH14" s="17"/>
      <c r="UI14" s="17"/>
      <c r="UJ14" s="17"/>
      <c r="UK14" s="17"/>
      <c r="UL14" s="17"/>
      <c r="UM14" s="17"/>
      <c r="UN14" s="17"/>
      <c r="UO14" s="17"/>
      <c r="UP14" s="17"/>
      <c r="UQ14" s="17"/>
      <c r="UR14" s="17"/>
      <c r="US14" s="17"/>
      <c r="UT14" s="17"/>
      <c r="UU14" s="17"/>
      <c r="UV14" s="17"/>
      <c r="UW14" s="17"/>
      <c r="UX14" s="17"/>
      <c r="UY14" s="17"/>
      <c r="UZ14" s="17"/>
      <c r="VA14" s="17"/>
      <c r="VB14" s="17"/>
      <c r="VC14" s="17"/>
      <c r="VD14" s="17"/>
      <c r="VE14" s="17"/>
      <c r="VF14" s="17"/>
      <c r="VG14" s="17"/>
      <c r="VH14" s="17"/>
      <c r="VI14" s="17"/>
      <c r="VJ14" s="17"/>
      <c r="VK14" s="17"/>
      <c r="VL14" s="17"/>
      <c r="VM14" s="17"/>
      <c r="VN14" s="17"/>
      <c r="VO14" s="17"/>
      <c r="VP14" s="17"/>
      <c r="VQ14" s="17"/>
      <c r="VR14" s="17"/>
      <c r="VS14" s="17"/>
      <c r="VT14" s="17"/>
      <c r="VU14" s="17"/>
      <c r="VV14" s="17"/>
      <c r="VW14" s="17"/>
      <c r="VX14" s="17"/>
      <c r="VY14" s="17"/>
      <c r="VZ14" s="17"/>
      <c r="WA14" s="17"/>
      <c r="WB14" s="17"/>
      <c r="WC14" s="17"/>
      <c r="WD14" s="17"/>
      <c r="WE14" s="17"/>
      <c r="WF14" s="17"/>
      <c r="WG14" s="17"/>
      <c r="WH14" s="17"/>
      <c r="WI14" s="17"/>
      <c r="WJ14" s="17"/>
      <c r="WK14" s="17"/>
      <c r="WL14" s="17"/>
      <c r="WM14" s="17"/>
      <c r="WN14" s="17"/>
      <c r="WO14" s="17"/>
      <c r="WP14" s="17"/>
      <c r="WQ14" s="17"/>
      <c r="WR14" s="17"/>
      <c r="WS14" s="17"/>
      <c r="WT14" s="17"/>
      <c r="WU14" s="17"/>
      <c r="WV14" s="17"/>
      <c r="WW14" s="17"/>
      <c r="WX14" s="17"/>
      <c r="WY14" s="17"/>
      <c r="WZ14" s="17"/>
      <c r="XA14" s="17"/>
      <c r="XB14" s="17"/>
      <c r="XC14" s="17"/>
      <c r="XD14" s="17"/>
      <c r="XE14" s="17"/>
      <c r="XF14" s="17"/>
      <c r="XG14" s="17"/>
      <c r="XH14" s="17"/>
      <c r="XI14" s="17"/>
      <c r="XJ14" s="17"/>
      <c r="XK14" s="17"/>
      <c r="XL14" s="17"/>
      <c r="XM14" s="17"/>
      <c r="XN14" s="17"/>
      <c r="XO14" s="17"/>
      <c r="XP14" s="17"/>
      <c r="XQ14" s="17"/>
      <c r="XR14" s="17"/>
      <c r="XS14" s="17"/>
      <c r="XT14" s="17"/>
      <c r="XU14" s="17"/>
      <c r="XV14" s="17"/>
      <c r="XW14" s="17"/>
      <c r="XX14" s="17"/>
      <c r="XY14" s="17"/>
      <c r="XZ14" s="17"/>
      <c r="YA14" s="17"/>
      <c r="YB14" s="17"/>
      <c r="YC14" s="17"/>
      <c r="YD14" s="17"/>
      <c r="YE14" s="17"/>
      <c r="YF14" s="17"/>
      <c r="YG14" s="17"/>
      <c r="YH14" s="17"/>
      <c r="YI14" s="17"/>
      <c r="YJ14" s="17"/>
      <c r="YK14" s="17"/>
      <c r="YL14" s="17"/>
      <c r="YM14" s="17"/>
      <c r="YN14" s="17"/>
      <c r="YO14" s="17"/>
      <c r="YP14" s="17"/>
      <c r="YQ14" s="17"/>
      <c r="YR14" s="17"/>
      <c r="YS14" s="17"/>
      <c r="YT14" s="17"/>
      <c r="YU14" s="17"/>
      <c r="YV14" s="17"/>
      <c r="YW14" s="17"/>
      <c r="YX14" s="17"/>
      <c r="YY14" s="17"/>
      <c r="YZ14" s="17"/>
      <c r="ZA14" s="17"/>
      <c r="ZB14" s="17"/>
      <c r="ZC14" s="17"/>
      <c r="ZD14" s="17"/>
      <c r="ZE14" s="17"/>
      <c r="ZF14" s="17"/>
      <c r="ZG14" s="17"/>
      <c r="ZH14" s="17"/>
      <c r="ZI14" s="17"/>
      <c r="ZJ14" s="17"/>
      <c r="ZK14" s="17"/>
    </row>
    <row r="15" spans="1:687" ht="70.5" customHeight="1" x14ac:dyDescent="0.25">
      <c r="A15" s="510" t="s">
        <v>47</v>
      </c>
      <c r="B15" s="512" t="s">
        <v>48</v>
      </c>
      <c r="C15" s="461" t="s">
        <v>49</v>
      </c>
      <c r="D15" s="461" t="s">
        <v>50</v>
      </c>
      <c r="E15" s="461" t="s">
        <v>51</v>
      </c>
      <c r="F15" s="461" t="s">
        <v>52</v>
      </c>
      <c r="G15" s="461" t="s">
        <v>53</v>
      </c>
      <c r="H15" s="461" t="s">
        <v>54</v>
      </c>
      <c r="I15" s="514" t="s">
        <v>384</v>
      </c>
      <c r="J15" s="663" t="s">
        <v>385</v>
      </c>
      <c r="K15" s="465" t="s">
        <v>442</v>
      </c>
      <c r="L15" s="465" t="s">
        <v>387</v>
      </c>
      <c r="M15" s="465" t="s">
        <v>388</v>
      </c>
      <c r="N15" s="465" t="s">
        <v>60</v>
      </c>
      <c r="O15" s="465"/>
      <c r="P15" s="465">
        <v>434</v>
      </c>
      <c r="Q15" s="677" t="s">
        <v>389</v>
      </c>
      <c r="R15" s="116" t="s">
        <v>390</v>
      </c>
      <c r="S15" s="374" t="s">
        <v>60</v>
      </c>
      <c r="T15" s="677"/>
      <c r="U15" s="374">
        <v>324</v>
      </c>
      <c r="V15" s="666">
        <v>1572892789</v>
      </c>
      <c r="W15" s="671"/>
      <c r="X15" s="369" t="s">
        <v>443</v>
      </c>
      <c r="Y15" s="490">
        <v>39</v>
      </c>
      <c r="Z15" s="490">
        <f>+P15</f>
        <v>434</v>
      </c>
      <c r="AA15" s="491">
        <f>Y15/Z15</f>
        <v>8.9861751152073732E-2</v>
      </c>
      <c r="AB15" s="465" t="s">
        <v>444</v>
      </c>
      <c r="AC15" s="374">
        <v>77</v>
      </c>
      <c r="AD15" s="374">
        <f>+U15</f>
        <v>324</v>
      </c>
      <c r="AE15" s="373">
        <f>AC15/AD15</f>
        <v>0.23765432098765432</v>
      </c>
      <c r="AF15" s="369" t="s">
        <v>445</v>
      </c>
      <c r="AG15" s="490">
        <v>68</v>
      </c>
      <c r="AH15" s="490">
        <f>+'[12]PAI SSLA'!P15</f>
        <v>434</v>
      </c>
      <c r="AI15" s="491">
        <f>AG15/AH15</f>
        <v>0.15668202764976957</v>
      </c>
      <c r="AJ15" s="465" t="s">
        <v>446</v>
      </c>
      <c r="AK15" s="374">
        <v>77</v>
      </c>
      <c r="AL15" s="374">
        <f>+'[12]PAI SSLA'!U15</f>
        <v>324</v>
      </c>
      <c r="AM15" s="373">
        <f>AK15/AL15</f>
        <v>0.23765432098765432</v>
      </c>
      <c r="AN15" s="369" t="s">
        <v>447</v>
      </c>
      <c r="AO15" s="490">
        <v>157</v>
      </c>
      <c r="AP15" s="490">
        <f>+'[13]PAI SSLA'!P15</f>
        <v>434</v>
      </c>
      <c r="AQ15" s="491">
        <f>AO15/AP15</f>
        <v>0.36175115207373271</v>
      </c>
      <c r="AR15" s="465" t="s">
        <v>448</v>
      </c>
      <c r="AS15" s="374">
        <v>78</v>
      </c>
      <c r="AT15" s="374">
        <f>+'[13]PAI SSLA'!U15</f>
        <v>324</v>
      </c>
      <c r="AU15" s="373">
        <f>AS15/AT15</f>
        <v>0.24074074074074073</v>
      </c>
      <c r="AV15" s="369" t="s">
        <v>449</v>
      </c>
      <c r="AW15" s="490">
        <v>227</v>
      </c>
      <c r="AX15" s="490">
        <v>434</v>
      </c>
      <c r="AY15" s="491">
        <v>0.52304147465437789</v>
      </c>
      <c r="AZ15" s="465" t="s">
        <v>450</v>
      </c>
      <c r="BA15" s="374">
        <v>84</v>
      </c>
      <c r="BB15" s="374">
        <v>324</v>
      </c>
      <c r="BC15" s="373">
        <v>0.25925925925925924</v>
      </c>
      <c r="BD15" s="369" t="s">
        <v>451</v>
      </c>
      <c r="BE15" s="490">
        <v>281</v>
      </c>
      <c r="BF15" s="490">
        <v>434</v>
      </c>
      <c r="BG15" s="491">
        <v>0.64746543778801846</v>
      </c>
      <c r="BH15" s="465" t="s">
        <v>452</v>
      </c>
      <c r="BI15" s="374">
        <v>104</v>
      </c>
      <c r="BJ15" s="374">
        <v>324</v>
      </c>
      <c r="BK15" s="373">
        <v>0.32098765432098764</v>
      </c>
      <c r="BL15" s="369" t="s">
        <v>453</v>
      </c>
      <c r="BM15" s="490">
        <v>329</v>
      </c>
      <c r="BN15" s="490">
        <v>434</v>
      </c>
      <c r="BO15" s="491">
        <v>0.75806451612903225</v>
      </c>
      <c r="BP15" s="465" t="s">
        <v>1422</v>
      </c>
      <c r="BQ15" s="374">
        <v>125</v>
      </c>
      <c r="BR15" s="374">
        <v>324</v>
      </c>
      <c r="BS15" s="373">
        <v>0.38580246913580246</v>
      </c>
      <c r="BT15" s="369" t="s">
        <v>634</v>
      </c>
    </row>
    <row r="16" spans="1:687" ht="70.5" customHeight="1" x14ac:dyDescent="0.25">
      <c r="A16" s="510"/>
      <c r="B16" s="511"/>
      <c r="C16" s="513"/>
      <c r="D16" s="513"/>
      <c r="E16" s="513"/>
      <c r="F16" s="513"/>
      <c r="G16" s="513"/>
      <c r="H16" s="513"/>
      <c r="I16" s="515"/>
      <c r="J16" s="668"/>
      <c r="K16" s="465"/>
      <c r="L16" s="465"/>
      <c r="M16" s="465"/>
      <c r="N16" s="465"/>
      <c r="O16" s="465"/>
      <c r="P16" s="465"/>
      <c r="Q16" s="119" t="s">
        <v>428</v>
      </c>
      <c r="R16" s="119" t="s">
        <v>429</v>
      </c>
      <c r="S16" s="377" t="s">
        <v>60</v>
      </c>
      <c r="T16" s="119"/>
      <c r="U16" s="377">
        <v>324</v>
      </c>
      <c r="V16" s="666"/>
      <c r="W16" s="671"/>
      <c r="X16" s="377" t="s">
        <v>443</v>
      </c>
      <c r="Y16" s="490"/>
      <c r="Z16" s="490"/>
      <c r="AA16" s="491"/>
      <c r="AB16" s="465"/>
      <c r="AC16" s="377">
        <v>62</v>
      </c>
      <c r="AD16" s="377">
        <f>+U16</f>
        <v>324</v>
      </c>
      <c r="AE16" s="376">
        <f>AC16/AD16</f>
        <v>0.19135802469135801</v>
      </c>
      <c r="AF16" s="377" t="s">
        <v>454</v>
      </c>
      <c r="AG16" s="490"/>
      <c r="AH16" s="490"/>
      <c r="AI16" s="491"/>
      <c r="AJ16" s="465"/>
      <c r="AK16" s="377">
        <v>70</v>
      </c>
      <c r="AL16" s="377">
        <f>+'[12]PAI SSLA'!U16</f>
        <v>324</v>
      </c>
      <c r="AM16" s="376">
        <f>AK16/AL16</f>
        <v>0.21604938271604937</v>
      </c>
      <c r="AN16" s="377" t="s">
        <v>455</v>
      </c>
      <c r="AO16" s="490"/>
      <c r="AP16" s="490"/>
      <c r="AQ16" s="491"/>
      <c r="AR16" s="465"/>
      <c r="AS16" s="377">
        <v>77</v>
      </c>
      <c r="AT16" s="377">
        <f>+'[13]PAI SSLA'!U16</f>
        <v>324</v>
      </c>
      <c r="AU16" s="376">
        <f>AS16/AT16</f>
        <v>0.23765432098765432</v>
      </c>
      <c r="AV16" s="377" t="s">
        <v>456</v>
      </c>
      <c r="AW16" s="490"/>
      <c r="AX16" s="490"/>
      <c r="AY16" s="491"/>
      <c r="AZ16" s="465"/>
      <c r="BA16" s="377">
        <v>80</v>
      </c>
      <c r="BB16" s="377">
        <v>324</v>
      </c>
      <c r="BC16" s="376">
        <v>0.24691358024691357</v>
      </c>
      <c r="BD16" s="377" t="s">
        <v>457</v>
      </c>
      <c r="BE16" s="490"/>
      <c r="BF16" s="490"/>
      <c r="BG16" s="491"/>
      <c r="BH16" s="465"/>
      <c r="BI16" s="377">
        <v>88</v>
      </c>
      <c r="BJ16" s="377">
        <v>324</v>
      </c>
      <c r="BK16" s="376">
        <v>0.27160493827160492</v>
      </c>
      <c r="BL16" s="377" t="s">
        <v>458</v>
      </c>
      <c r="BM16" s="490"/>
      <c r="BN16" s="490"/>
      <c r="BO16" s="491"/>
      <c r="BP16" s="465"/>
      <c r="BQ16" s="377">
        <v>105</v>
      </c>
      <c r="BR16" s="377">
        <v>324</v>
      </c>
      <c r="BS16" s="376">
        <v>0.32407407407407407</v>
      </c>
      <c r="BT16" s="377" t="s">
        <v>635</v>
      </c>
    </row>
    <row r="17" spans="1:687" ht="70.5" customHeight="1" x14ac:dyDescent="0.25">
      <c r="A17" s="510"/>
      <c r="B17" s="511"/>
      <c r="C17" s="513"/>
      <c r="D17" s="513"/>
      <c r="E17" s="513"/>
      <c r="F17" s="513"/>
      <c r="G17" s="513"/>
      <c r="H17" s="513"/>
      <c r="I17" s="515"/>
      <c r="J17" s="668"/>
      <c r="K17" s="465"/>
      <c r="L17" s="465"/>
      <c r="M17" s="465"/>
      <c r="N17" s="465"/>
      <c r="O17" s="465"/>
      <c r="P17" s="465"/>
      <c r="Q17" s="677" t="s">
        <v>435</v>
      </c>
      <c r="R17" s="116" t="s">
        <v>436</v>
      </c>
      <c r="S17" s="374" t="s">
        <v>60</v>
      </c>
      <c r="T17" s="677"/>
      <c r="U17" s="374">
        <v>74</v>
      </c>
      <c r="V17" s="666"/>
      <c r="W17" s="671"/>
      <c r="X17" s="369" t="s">
        <v>459</v>
      </c>
      <c r="Y17" s="490"/>
      <c r="Z17" s="490"/>
      <c r="AA17" s="491"/>
      <c r="AB17" s="465"/>
      <c r="AC17" s="374">
        <v>36</v>
      </c>
      <c r="AD17" s="374">
        <f>+U17</f>
        <v>74</v>
      </c>
      <c r="AE17" s="373">
        <f>AC17/AD17</f>
        <v>0.48648648648648651</v>
      </c>
      <c r="AF17" s="369" t="s">
        <v>460</v>
      </c>
      <c r="AG17" s="490"/>
      <c r="AH17" s="490"/>
      <c r="AI17" s="491"/>
      <c r="AJ17" s="465"/>
      <c r="AK17" s="374">
        <v>72</v>
      </c>
      <c r="AL17" s="374">
        <f>+'[12]PAI SSLA'!U17</f>
        <v>74</v>
      </c>
      <c r="AM17" s="373">
        <f>AK17/AL17</f>
        <v>0.97297297297297303</v>
      </c>
      <c r="AN17" s="369" t="s">
        <v>461</v>
      </c>
      <c r="AO17" s="490"/>
      <c r="AP17" s="490"/>
      <c r="AQ17" s="491"/>
      <c r="AR17" s="465"/>
      <c r="AS17" s="374">
        <v>113</v>
      </c>
      <c r="AT17" s="374">
        <f>+'[13]PAI SSLA'!U17</f>
        <v>74</v>
      </c>
      <c r="AU17" s="680">
        <f>AS17/AT17</f>
        <v>1.527027027027027</v>
      </c>
      <c r="AV17" s="369" t="s">
        <v>462</v>
      </c>
      <c r="AW17" s="490"/>
      <c r="AX17" s="490"/>
      <c r="AY17" s="491"/>
      <c r="AZ17" s="465"/>
      <c r="BA17" s="374">
        <v>164</v>
      </c>
      <c r="BB17" s="374">
        <v>74</v>
      </c>
      <c r="BC17" s="373">
        <v>2.2162162162162162</v>
      </c>
      <c r="BD17" s="369" t="s">
        <v>463</v>
      </c>
      <c r="BE17" s="490"/>
      <c r="BF17" s="490"/>
      <c r="BG17" s="491"/>
      <c r="BH17" s="465"/>
      <c r="BI17" s="374">
        <v>197</v>
      </c>
      <c r="BJ17" s="374">
        <v>74</v>
      </c>
      <c r="BK17" s="110">
        <v>2.6621621621621623</v>
      </c>
      <c r="BL17" s="369" t="s">
        <v>464</v>
      </c>
      <c r="BM17" s="490"/>
      <c r="BN17" s="490"/>
      <c r="BO17" s="491"/>
      <c r="BP17" s="465"/>
      <c r="BQ17" s="374">
        <v>222</v>
      </c>
      <c r="BR17" s="374">
        <v>74</v>
      </c>
      <c r="BS17" s="373">
        <v>3</v>
      </c>
      <c r="BT17" s="369" t="s">
        <v>636</v>
      </c>
    </row>
    <row r="18" spans="1:687" s="18" customFormat="1" ht="70.5" customHeight="1" x14ac:dyDescent="0.25">
      <c r="A18" s="39"/>
      <c r="B18" s="39"/>
      <c r="C18" s="39"/>
      <c r="D18" s="39"/>
      <c r="E18" s="39"/>
      <c r="F18" s="39"/>
      <c r="G18" s="39"/>
      <c r="H18" s="39"/>
      <c r="I18" s="39"/>
      <c r="J18" s="676"/>
      <c r="K18" s="676"/>
      <c r="L18" s="676"/>
      <c r="M18" s="676"/>
      <c r="N18" s="676"/>
      <c r="O18" s="676"/>
      <c r="P18" s="93"/>
      <c r="Q18" s="676"/>
      <c r="R18" s="676"/>
      <c r="S18" s="93"/>
      <c r="T18" s="676"/>
      <c r="U18" s="676"/>
      <c r="V18" s="681"/>
      <c r="W18" s="671"/>
      <c r="X18" s="676"/>
      <c r="Y18" s="459" t="s">
        <v>102</v>
      </c>
      <c r="Z18" s="459"/>
      <c r="AA18" s="46">
        <f>AVERAGE(AA15:AA17)</f>
        <v>8.9861751152073732E-2</v>
      </c>
      <c r="AB18" s="74"/>
      <c r="AC18" s="459" t="s">
        <v>103</v>
      </c>
      <c r="AD18" s="459"/>
      <c r="AE18" s="46">
        <f>AVERAGE(AE15:AE17)</f>
        <v>0.30516627738849961</v>
      </c>
      <c r="AF18" s="45"/>
      <c r="AG18" s="459" t="s">
        <v>102</v>
      </c>
      <c r="AH18" s="459"/>
      <c r="AI18" s="46">
        <f>AVERAGE(AI15:AI17)</f>
        <v>0.15668202764976957</v>
      </c>
      <c r="AJ18" s="74"/>
      <c r="AK18" s="459" t="s">
        <v>103</v>
      </c>
      <c r="AL18" s="459"/>
      <c r="AM18" s="46">
        <f>AVERAGE(AM15:AM17)</f>
        <v>0.47555889222555892</v>
      </c>
      <c r="AN18" s="45"/>
      <c r="AO18" s="459" t="s">
        <v>102</v>
      </c>
      <c r="AP18" s="459"/>
      <c r="AQ18" s="46">
        <f>AVERAGE(AQ15:AQ17)</f>
        <v>0.36175115207373271</v>
      </c>
      <c r="AR18" s="74"/>
      <c r="AS18" s="459" t="s">
        <v>103</v>
      </c>
      <c r="AT18" s="459"/>
      <c r="AU18" s="46">
        <f>AVERAGE(AU15:AU17)</f>
        <v>0.66847402958514068</v>
      </c>
      <c r="AV18" s="45"/>
      <c r="AW18" s="459" t="s">
        <v>102</v>
      </c>
      <c r="AX18" s="459"/>
      <c r="AY18" s="46">
        <f>AVERAGE(AY15:AY17)</f>
        <v>0.52304147465437789</v>
      </c>
      <c r="AZ18" s="74"/>
      <c r="BA18" s="459" t="s">
        <v>103</v>
      </c>
      <c r="BB18" s="459"/>
      <c r="BC18" s="46">
        <f>AVERAGE(BC15:BC17)</f>
        <v>0.9074630185741297</v>
      </c>
      <c r="BD18" s="45"/>
      <c r="BE18" s="459" t="s">
        <v>102</v>
      </c>
      <c r="BF18" s="459"/>
      <c r="BG18" s="46">
        <v>0.64746543778801846</v>
      </c>
      <c r="BH18" s="74"/>
      <c r="BI18" s="459" t="s">
        <v>103</v>
      </c>
      <c r="BJ18" s="459"/>
      <c r="BK18" s="46">
        <v>1.0849182515849183</v>
      </c>
      <c r="BL18" s="45"/>
      <c r="BM18" s="459" t="s">
        <v>102</v>
      </c>
      <c r="BN18" s="459"/>
      <c r="BO18" s="46">
        <v>0.75806451612903225</v>
      </c>
      <c r="BP18" s="74"/>
      <c r="BQ18" s="459" t="s">
        <v>103</v>
      </c>
      <c r="BR18" s="459"/>
      <c r="BS18" s="46">
        <v>1.2366255144032923</v>
      </c>
      <c r="BT18" s="45"/>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c r="IV18" s="17"/>
      <c r="IW18" s="17"/>
      <c r="IX18" s="17"/>
      <c r="IY18" s="17"/>
      <c r="IZ18" s="17"/>
      <c r="JA18" s="17"/>
      <c r="JB18" s="17"/>
      <c r="JC18" s="17"/>
      <c r="JD18" s="17"/>
      <c r="JE18" s="17"/>
      <c r="JF18" s="17"/>
      <c r="JG18" s="17"/>
      <c r="JH18" s="17"/>
      <c r="JI18" s="17"/>
      <c r="JJ18" s="17"/>
      <c r="JK18" s="17"/>
      <c r="JL18" s="17"/>
      <c r="JM18" s="17"/>
      <c r="JN18" s="17"/>
      <c r="JO18" s="17"/>
      <c r="JP18" s="17"/>
      <c r="JQ18" s="17"/>
      <c r="JR18" s="17"/>
      <c r="JS18" s="17"/>
      <c r="JT18" s="17"/>
      <c r="JU18" s="17"/>
      <c r="JV18" s="17"/>
      <c r="JW18" s="17"/>
      <c r="JX18" s="17"/>
      <c r="JY18" s="17"/>
      <c r="JZ18" s="17"/>
      <c r="KA18" s="17"/>
      <c r="KB18" s="17"/>
      <c r="KC18" s="17"/>
      <c r="KD18" s="17"/>
      <c r="KE18" s="17"/>
      <c r="KF18" s="17"/>
      <c r="KG18" s="17"/>
      <c r="KH18" s="17"/>
      <c r="KI18" s="17"/>
      <c r="KJ18" s="17"/>
      <c r="KK18" s="17"/>
      <c r="KL18" s="17"/>
      <c r="KM18" s="17"/>
      <c r="KN18" s="17"/>
      <c r="KO18" s="17"/>
      <c r="KP18" s="17"/>
      <c r="KQ18" s="17"/>
      <c r="KR18" s="17"/>
      <c r="KS18" s="17"/>
      <c r="KT18" s="17"/>
      <c r="KU18" s="17"/>
      <c r="KV18" s="17"/>
      <c r="KW18" s="17"/>
      <c r="KX18" s="17"/>
      <c r="KY18" s="17"/>
      <c r="KZ18" s="17"/>
      <c r="LA18" s="17"/>
      <c r="LB18" s="17"/>
      <c r="LC18" s="17"/>
      <c r="LD18" s="17"/>
      <c r="LE18" s="17"/>
      <c r="LF18" s="17"/>
      <c r="LG18" s="17"/>
      <c r="LH18" s="17"/>
      <c r="LI18" s="17"/>
      <c r="LJ18" s="17"/>
      <c r="LK18" s="17"/>
      <c r="LL18" s="17"/>
      <c r="LM18" s="17"/>
      <c r="LN18" s="17"/>
      <c r="LO18" s="17"/>
      <c r="LP18" s="17"/>
      <c r="LQ18" s="17"/>
      <c r="LR18" s="17"/>
      <c r="LS18" s="17"/>
      <c r="LT18" s="17"/>
      <c r="LU18" s="17"/>
      <c r="LV18" s="17"/>
      <c r="LW18" s="17"/>
      <c r="LX18" s="17"/>
      <c r="LY18" s="17"/>
      <c r="LZ18" s="17"/>
      <c r="MA18" s="17"/>
      <c r="MB18" s="17"/>
      <c r="MC18" s="17"/>
      <c r="MD18" s="17"/>
      <c r="ME18" s="17"/>
      <c r="MF18" s="17"/>
      <c r="MG18" s="17"/>
      <c r="MH18" s="17"/>
      <c r="MI18" s="17"/>
      <c r="MJ18" s="17"/>
      <c r="MK18" s="17"/>
      <c r="ML18" s="17"/>
      <c r="MM18" s="17"/>
      <c r="MN18" s="17"/>
      <c r="MO18" s="17"/>
      <c r="MP18" s="17"/>
      <c r="MQ18" s="17"/>
      <c r="MR18" s="17"/>
      <c r="MS18" s="17"/>
      <c r="MT18" s="17"/>
      <c r="MU18" s="17"/>
      <c r="MV18" s="17"/>
      <c r="MW18" s="17"/>
      <c r="MX18" s="17"/>
      <c r="MY18" s="17"/>
      <c r="MZ18" s="17"/>
      <c r="NA18" s="17"/>
      <c r="NB18" s="17"/>
      <c r="NC18" s="17"/>
      <c r="ND18" s="17"/>
      <c r="NE18" s="17"/>
      <c r="NF18" s="17"/>
      <c r="NG18" s="17"/>
      <c r="NH18" s="17"/>
      <c r="NI18" s="17"/>
      <c r="NJ18" s="17"/>
      <c r="NK18" s="17"/>
      <c r="NL18" s="17"/>
      <c r="NM18" s="17"/>
      <c r="NN18" s="17"/>
      <c r="NO18" s="17"/>
      <c r="NP18" s="17"/>
      <c r="NQ18" s="17"/>
      <c r="NR18" s="17"/>
      <c r="NS18" s="17"/>
      <c r="NT18" s="17"/>
      <c r="NU18" s="17"/>
      <c r="NV18" s="17"/>
      <c r="NW18" s="17"/>
      <c r="NX18" s="17"/>
      <c r="NY18" s="17"/>
      <c r="NZ18" s="17"/>
      <c r="OA18" s="17"/>
      <c r="OB18" s="17"/>
      <c r="OC18" s="17"/>
      <c r="OD18" s="17"/>
      <c r="OE18" s="17"/>
      <c r="OF18" s="17"/>
      <c r="OG18" s="17"/>
      <c r="OH18" s="17"/>
      <c r="OI18" s="17"/>
      <c r="OJ18" s="17"/>
      <c r="OK18" s="17"/>
      <c r="OL18" s="17"/>
      <c r="OM18" s="17"/>
      <c r="ON18" s="17"/>
      <c r="OO18" s="17"/>
      <c r="OP18" s="17"/>
      <c r="OQ18" s="17"/>
      <c r="OR18" s="17"/>
      <c r="OS18" s="17"/>
      <c r="OT18" s="17"/>
      <c r="OU18" s="17"/>
      <c r="OV18" s="17"/>
      <c r="OW18" s="17"/>
      <c r="OX18" s="17"/>
      <c r="OY18" s="17"/>
      <c r="OZ18" s="17"/>
      <c r="PA18" s="17"/>
      <c r="PB18" s="17"/>
      <c r="PC18" s="17"/>
      <c r="PD18" s="17"/>
      <c r="PE18" s="17"/>
      <c r="PF18" s="17"/>
      <c r="PG18" s="17"/>
      <c r="PH18" s="17"/>
      <c r="PI18" s="17"/>
      <c r="PJ18" s="17"/>
      <c r="PK18" s="17"/>
      <c r="PL18" s="17"/>
      <c r="PM18" s="17"/>
      <c r="PN18" s="17"/>
      <c r="PO18" s="17"/>
      <c r="PP18" s="17"/>
      <c r="PQ18" s="17"/>
      <c r="PR18" s="17"/>
      <c r="PS18" s="17"/>
      <c r="PT18" s="17"/>
      <c r="PU18" s="17"/>
      <c r="PV18" s="17"/>
      <c r="PW18" s="17"/>
      <c r="PX18" s="17"/>
      <c r="PY18" s="17"/>
      <c r="PZ18" s="17"/>
      <c r="QA18" s="17"/>
      <c r="QB18" s="17"/>
      <c r="QC18" s="17"/>
      <c r="QD18" s="17"/>
      <c r="QE18" s="17"/>
      <c r="QF18" s="17"/>
      <c r="QG18" s="17"/>
      <c r="QH18" s="17"/>
      <c r="QI18" s="17"/>
      <c r="QJ18" s="17"/>
      <c r="QK18" s="17"/>
      <c r="QL18" s="17"/>
      <c r="QM18" s="17"/>
      <c r="QN18" s="17"/>
      <c r="QO18" s="17"/>
      <c r="QP18" s="17"/>
      <c r="QQ18" s="17"/>
      <c r="QR18" s="17"/>
      <c r="QS18" s="17"/>
      <c r="QT18" s="17"/>
      <c r="QU18" s="17"/>
      <c r="QV18" s="17"/>
      <c r="QW18" s="17"/>
      <c r="QX18" s="17"/>
      <c r="QY18" s="17"/>
      <c r="QZ18" s="17"/>
      <c r="RA18" s="17"/>
      <c r="RB18" s="17"/>
      <c r="RC18" s="17"/>
      <c r="RD18" s="17"/>
      <c r="RE18" s="17"/>
      <c r="RF18" s="17"/>
      <c r="RG18" s="17"/>
      <c r="RH18" s="17"/>
      <c r="RI18" s="17"/>
      <c r="RJ18" s="17"/>
      <c r="RK18" s="17"/>
      <c r="RL18" s="17"/>
      <c r="RM18" s="17"/>
      <c r="RN18" s="17"/>
      <c r="RO18" s="17"/>
      <c r="RP18" s="17"/>
      <c r="RQ18" s="17"/>
      <c r="RR18" s="17"/>
      <c r="RS18" s="17"/>
      <c r="RT18" s="17"/>
      <c r="RU18" s="17"/>
      <c r="RV18" s="17"/>
      <c r="RW18" s="17"/>
      <c r="RX18" s="17"/>
      <c r="RY18" s="17"/>
      <c r="RZ18" s="17"/>
      <c r="SA18" s="17"/>
      <c r="SB18" s="17"/>
      <c r="SC18" s="17"/>
      <c r="SD18" s="17"/>
      <c r="SE18" s="17"/>
      <c r="SF18" s="17"/>
      <c r="SG18" s="17"/>
      <c r="SH18" s="17"/>
      <c r="SI18" s="17"/>
      <c r="SJ18" s="17"/>
      <c r="SK18" s="17"/>
      <c r="SL18" s="17"/>
      <c r="SM18" s="17"/>
      <c r="SN18" s="17"/>
      <c r="SO18" s="17"/>
      <c r="SP18" s="17"/>
      <c r="SQ18" s="17"/>
      <c r="SR18" s="17"/>
      <c r="SS18" s="17"/>
      <c r="ST18" s="17"/>
      <c r="SU18" s="17"/>
      <c r="SV18" s="17"/>
      <c r="SW18" s="17"/>
      <c r="SX18" s="17"/>
      <c r="SY18" s="17"/>
      <c r="SZ18" s="17"/>
      <c r="TA18" s="17"/>
      <c r="TB18" s="17"/>
      <c r="TC18" s="17"/>
      <c r="TD18" s="17"/>
      <c r="TE18" s="17"/>
      <c r="TF18" s="17"/>
      <c r="TG18" s="17"/>
      <c r="TH18" s="17"/>
      <c r="TI18" s="17"/>
      <c r="TJ18" s="17"/>
      <c r="TK18" s="17"/>
      <c r="TL18" s="17"/>
      <c r="TM18" s="17"/>
      <c r="TN18" s="17"/>
      <c r="TO18" s="17"/>
      <c r="TP18" s="17"/>
      <c r="TQ18" s="17"/>
      <c r="TR18" s="17"/>
      <c r="TS18" s="17"/>
      <c r="TT18" s="17"/>
      <c r="TU18" s="17"/>
      <c r="TV18" s="17"/>
      <c r="TW18" s="17"/>
      <c r="TX18" s="17"/>
      <c r="TY18" s="17"/>
      <c r="TZ18" s="17"/>
      <c r="UA18" s="17"/>
      <c r="UB18" s="17"/>
      <c r="UC18" s="17"/>
      <c r="UD18" s="17"/>
      <c r="UE18" s="17"/>
      <c r="UF18" s="17"/>
      <c r="UG18" s="17"/>
      <c r="UH18" s="17"/>
      <c r="UI18" s="17"/>
      <c r="UJ18" s="17"/>
      <c r="UK18" s="17"/>
      <c r="UL18" s="17"/>
      <c r="UM18" s="17"/>
      <c r="UN18" s="17"/>
      <c r="UO18" s="17"/>
      <c r="UP18" s="17"/>
      <c r="UQ18" s="17"/>
      <c r="UR18" s="17"/>
      <c r="US18" s="17"/>
      <c r="UT18" s="17"/>
      <c r="UU18" s="17"/>
      <c r="UV18" s="17"/>
      <c r="UW18" s="17"/>
      <c r="UX18" s="17"/>
      <c r="UY18" s="17"/>
      <c r="UZ18" s="17"/>
      <c r="VA18" s="17"/>
      <c r="VB18" s="17"/>
      <c r="VC18" s="17"/>
      <c r="VD18" s="17"/>
      <c r="VE18" s="17"/>
      <c r="VF18" s="17"/>
      <c r="VG18" s="17"/>
      <c r="VH18" s="17"/>
      <c r="VI18" s="17"/>
      <c r="VJ18" s="17"/>
      <c r="VK18" s="17"/>
      <c r="VL18" s="17"/>
      <c r="VM18" s="17"/>
      <c r="VN18" s="17"/>
      <c r="VO18" s="17"/>
      <c r="VP18" s="17"/>
      <c r="VQ18" s="17"/>
      <c r="VR18" s="17"/>
      <c r="VS18" s="17"/>
      <c r="VT18" s="17"/>
      <c r="VU18" s="17"/>
      <c r="VV18" s="17"/>
      <c r="VW18" s="17"/>
      <c r="VX18" s="17"/>
      <c r="VY18" s="17"/>
      <c r="VZ18" s="17"/>
      <c r="WA18" s="17"/>
      <c r="WB18" s="17"/>
      <c r="WC18" s="17"/>
      <c r="WD18" s="17"/>
      <c r="WE18" s="17"/>
      <c r="WF18" s="17"/>
      <c r="WG18" s="17"/>
      <c r="WH18" s="17"/>
      <c r="WI18" s="17"/>
      <c r="WJ18" s="17"/>
      <c r="WK18" s="17"/>
      <c r="WL18" s="17"/>
      <c r="WM18" s="17"/>
      <c r="WN18" s="17"/>
      <c r="WO18" s="17"/>
      <c r="WP18" s="17"/>
      <c r="WQ18" s="17"/>
      <c r="WR18" s="17"/>
      <c r="WS18" s="17"/>
      <c r="WT18" s="17"/>
      <c r="WU18" s="17"/>
      <c r="WV18" s="17"/>
      <c r="WW18" s="17"/>
      <c r="WX18" s="17"/>
      <c r="WY18" s="17"/>
      <c r="WZ18" s="17"/>
      <c r="XA18" s="17"/>
      <c r="XB18" s="17"/>
      <c r="XC18" s="17"/>
      <c r="XD18" s="17"/>
      <c r="XE18" s="17"/>
      <c r="XF18" s="17"/>
      <c r="XG18" s="17"/>
      <c r="XH18" s="17"/>
      <c r="XI18" s="17"/>
      <c r="XJ18" s="17"/>
      <c r="XK18" s="17"/>
      <c r="XL18" s="17"/>
      <c r="XM18" s="17"/>
      <c r="XN18" s="17"/>
      <c r="XO18" s="17"/>
      <c r="XP18" s="17"/>
      <c r="XQ18" s="17"/>
      <c r="XR18" s="17"/>
      <c r="XS18" s="17"/>
      <c r="XT18" s="17"/>
      <c r="XU18" s="17"/>
      <c r="XV18" s="17"/>
      <c r="XW18" s="17"/>
      <c r="XX18" s="17"/>
      <c r="XY18" s="17"/>
      <c r="XZ18" s="17"/>
      <c r="YA18" s="17"/>
      <c r="YB18" s="17"/>
      <c r="YC18" s="17"/>
      <c r="YD18" s="17"/>
      <c r="YE18" s="17"/>
      <c r="YF18" s="17"/>
      <c r="YG18" s="17"/>
      <c r="YH18" s="17"/>
      <c r="YI18" s="17"/>
      <c r="YJ18" s="17"/>
      <c r="YK18" s="17"/>
      <c r="YL18" s="17"/>
      <c r="YM18" s="17"/>
      <c r="YN18" s="17"/>
      <c r="YO18" s="17"/>
      <c r="YP18" s="17"/>
      <c r="YQ18" s="17"/>
      <c r="YR18" s="17"/>
      <c r="YS18" s="17"/>
      <c r="YT18" s="17"/>
      <c r="YU18" s="17"/>
      <c r="YV18" s="17"/>
      <c r="YW18" s="17"/>
      <c r="YX18" s="17"/>
      <c r="YY18" s="17"/>
      <c r="YZ18" s="17"/>
      <c r="ZA18" s="17"/>
      <c r="ZB18" s="17"/>
      <c r="ZC18" s="17"/>
      <c r="ZD18" s="17"/>
      <c r="ZE18" s="17"/>
      <c r="ZF18" s="17"/>
      <c r="ZG18" s="17"/>
      <c r="ZH18" s="17"/>
      <c r="ZI18" s="17"/>
      <c r="ZJ18" s="17"/>
      <c r="ZK18" s="17"/>
    </row>
    <row r="19" spans="1:687" ht="57" customHeight="1" x14ac:dyDescent="0.25">
      <c r="A19" s="510" t="s">
        <v>47</v>
      </c>
      <c r="B19" s="512" t="s">
        <v>48</v>
      </c>
      <c r="C19" s="461" t="s">
        <v>49</v>
      </c>
      <c r="D19" s="461" t="s">
        <v>50</v>
      </c>
      <c r="E19" s="461" t="s">
        <v>51</v>
      </c>
      <c r="F19" s="461" t="s">
        <v>52</v>
      </c>
      <c r="G19" s="461" t="s">
        <v>53</v>
      </c>
      <c r="H19" s="461" t="s">
        <v>54</v>
      </c>
      <c r="I19" s="514" t="s">
        <v>384</v>
      </c>
      <c r="J19" s="663" t="s">
        <v>385</v>
      </c>
      <c r="K19" s="465" t="s">
        <v>465</v>
      </c>
      <c r="L19" s="465" t="s">
        <v>387</v>
      </c>
      <c r="M19" s="465" t="s">
        <v>388</v>
      </c>
      <c r="N19" s="465" t="s">
        <v>60</v>
      </c>
      <c r="O19" s="465"/>
      <c r="P19" s="465">
        <v>268</v>
      </c>
      <c r="Q19" s="677" t="s">
        <v>389</v>
      </c>
      <c r="R19" s="116" t="s">
        <v>390</v>
      </c>
      <c r="S19" s="374" t="s">
        <v>60</v>
      </c>
      <c r="T19" s="677"/>
      <c r="U19" s="374">
        <v>219</v>
      </c>
      <c r="V19" s="666">
        <v>1086262897</v>
      </c>
      <c r="W19" s="671"/>
      <c r="X19" s="369" t="s">
        <v>466</v>
      </c>
      <c r="Y19" s="516">
        <v>62</v>
      </c>
      <c r="Z19" s="490">
        <f>+P19</f>
        <v>268</v>
      </c>
      <c r="AA19" s="491">
        <f>+Y19/Z19</f>
        <v>0.23134328358208955</v>
      </c>
      <c r="AB19" s="465" t="s">
        <v>467</v>
      </c>
      <c r="AC19" s="375">
        <v>70</v>
      </c>
      <c r="AD19" s="374">
        <f>+U19</f>
        <v>219</v>
      </c>
      <c r="AE19" s="373">
        <f t="shared" ref="AE19:AE21" si="0">+AC19/AD19</f>
        <v>0.31963470319634701</v>
      </c>
      <c r="AF19" s="369" t="s">
        <v>468</v>
      </c>
      <c r="AG19" s="516">
        <v>83</v>
      </c>
      <c r="AH19" s="490">
        <f>+'[12]PAI SSLA'!P19</f>
        <v>268</v>
      </c>
      <c r="AI19" s="491">
        <f>+AG19/AH19</f>
        <v>0.30970149253731344</v>
      </c>
      <c r="AJ19" s="465" t="s">
        <v>469</v>
      </c>
      <c r="AK19" s="375">
        <v>71</v>
      </c>
      <c r="AL19" s="374">
        <f>+'[12]PAI SSLA'!U19</f>
        <v>219</v>
      </c>
      <c r="AM19" s="373">
        <f>+AK19/AL19</f>
        <v>0.32420091324200911</v>
      </c>
      <c r="AN19" s="369" t="s">
        <v>470</v>
      </c>
      <c r="AO19" s="516">
        <v>126</v>
      </c>
      <c r="AP19" s="490">
        <f>+'[13]PAI SSLA'!P19</f>
        <v>268</v>
      </c>
      <c r="AQ19" s="491">
        <f>+AO19/AP19</f>
        <v>0.47014925373134331</v>
      </c>
      <c r="AR19" s="465" t="s">
        <v>471</v>
      </c>
      <c r="AS19" s="375">
        <v>72</v>
      </c>
      <c r="AT19" s="374">
        <f>+'[13]PAI SSLA'!U19</f>
        <v>219</v>
      </c>
      <c r="AU19" s="373">
        <f>+AS19/AT19</f>
        <v>0.32876712328767121</v>
      </c>
      <c r="AV19" s="369" t="s">
        <v>472</v>
      </c>
      <c r="AW19" s="490">
        <v>161</v>
      </c>
      <c r="AX19" s="490">
        <v>268</v>
      </c>
      <c r="AY19" s="491">
        <v>0.60074626865671643</v>
      </c>
      <c r="AZ19" s="465" t="s">
        <v>473</v>
      </c>
      <c r="BA19" s="374">
        <v>85</v>
      </c>
      <c r="BB19" s="374">
        <v>219</v>
      </c>
      <c r="BC19" s="373">
        <v>0.38812785388127852</v>
      </c>
      <c r="BD19" s="369" t="s">
        <v>474</v>
      </c>
      <c r="BE19" s="490">
        <v>185</v>
      </c>
      <c r="BF19" s="490">
        <v>268</v>
      </c>
      <c r="BG19" s="491">
        <v>0.69029850746268662</v>
      </c>
      <c r="BH19" s="465" t="s">
        <v>475</v>
      </c>
      <c r="BI19" s="374">
        <v>95</v>
      </c>
      <c r="BJ19" s="374">
        <v>219</v>
      </c>
      <c r="BK19" s="373">
        <v>0.43378995433789952</v>
      </c>
      <c r="BL19" s="369" t="s">
        <v>476</v>
      </c>
      <c r="BM19" s="490">
        <v>220</v>
      </c>
      <c r="BN19" s="490">
        <v>268</v>
      </c>
      <c r="BO19" s="491">
        <v>0.82089552238805974</v>
      </c>
      <c r="BP19" s="465" t="s">
        <v>637</v>
      </c>
      <c r="BQ19" s="374">
        <v>119</v>
      </c>
      <c r="BR19" s="374">
        <v>219</v>
      </c>
      <c r="BS19" s="373">
        <v>0.54337899543378998</v>
      </c>
      <c r="BT19" s="369" t="s">
        <v>638</v>
      </c>
    </row>
    <row r="20" spans="1:687" ht="57" customHeight="1" x14ac:dyDescent="0.25">
      <c r="A20" s="510"/>
      <c r="B20" s="511"/>
      <c r="C20" s="513"/>
      <c r="D20" s="513"/>
      <c r="E20" s="513"/>
      <c r="F20" s="513"/>
      <c r="G20" s="513"/>
      <c r="H20" s="513"/>
      <c r="I20" s="515"/>
      <c r="J20" s="668"/>
      <c r="K20" s="465"/>
      <c r="L20" s="465"/>
      <c r="M20" s="465"/>
      <c r="N20" s="465"/>
      <c r="O20" s="465"/>
      <c r="P20" s="465"/>
      <c r="Q20" s="119" t="s">
        <v>428</v>
      </c>
      <c r="R20" s="119" t="s">
        <v>429</v>
      </c>
      <c r="S20" s="377" t="s">
        <v>60</v>
      </c>
      <c r="T20" s="119"/>
      <c r="U20" s="377">
        <v>219</v>
      </c>
      <c r="V20" s="666"/>
      <c r="W20" s="671"/>
      <c r="X20" s="377" t="s">
        <v>466</v>
      </c>
      <c r="Y20" s="516"/>
      <c r="Z20" s="490"/>
      <c r="AA20" s="491"/>
      <c r="AB20" s="465"/>
      <c r="AC20" s="111">
        <v>62</v>
      </c>
      <c r="AD20" s="377">
        <f>+U20</f>
        <v>219</v>
      </c>
      <c r="AE20" s="376">
        <f t="shared" si="0"/>
        <v>0.28310502283105021</v>
      </c>
      <c r="AF20" s="377" t="s">
        <v>477</v>
      </c>
      <c r="AG20" s="516"/>
      <c r="AH20" s="490"/>
      <c r="AI20" s="491"/>
      <c r="AJ20" s="465"/>
      <c r="AK20" s="111">
        <v>66</v>
      </c>
      <c r="AL20" s="377">
        <f>+'[12]PAI SSLA'!U20</f>
        <v>219</v>
      </c>
      <c r="AM20" s="376">
        <f>+AK20/AL20</f>
        <v>0.30136986301369861</v>
      </c>
      <c r="AN20" s="377" t="s">
        <v>478</v>
      </c>
      <c r="AO20" s="516"/>
      <c r="AP20" s="490"/>
      <c r="AQ20" s="491"/>
      <c r="AR20" s="465"/>
      <c r="AS20" s="111">
        <v>69</v>
      </c>
      <c r="AT20" s="377">
        <f>+'[13]PAI SSLA'!U20</f>
        <v>219</v>
      </c>
      <c r="AU20" s="376">
        <f>+AS20/AT20</f>
        <v>0.31506849315068491</v>
      </c>
      <c r="AV20" s="377" t="s">
        <v>479</v>
      </c>
      <c r="AW20" s="490"/>
      <c r="AX20" s="490"/>
      <c r="AY20" s="491"/>
      <c r="AZ20" s="465"/>
      <c r="BA20" s="377">
        <v>71</v>
      </c>
      <c r="BB20" s="377">
        <v>219</v>
      </c>
      <c r="BC20" s="376">
        <v>0.32420091324200911</v>
      </c>
      <c r="BD20" s="377" t="s">
        <v>480</v>
      </c>
      <c r="BE20" s="490"/>
      <c r="BF20" s="490"/>
      <c r="BG20" s="491"/>
      <c r="BH20" s="465"/>
      <c r="BI20" s="377">
        <v>80</v>
      </c>
      <c r="BJ20" s="377">
        <v>219</v>
      </c>
      <c r="BK20" s="376">
        <v>0.36529680365296802</v>
      </c>
      <c r="BL20" s="377" t="s">
        <v>481</v>
      </c>
      <c r="BM20" s="490"/>
      <c r="BN20" s="490"/>
      <c r="BO20" s="491"/>
      <c r="BP20" s="465"/>
      <c r="BQ20" s="377">
        <v>94</v>
      </c>
      <c r="BR20" s="377">
        <v>219</v>
      </c>
      <c r="BS20" s="376">
        <v>0.42922374429223742</v>
      </c>
      <c r="BT20" s="377" t="s">
        <v>639</v>
      </c>
    </row>
    <row r="21" spans="1:687" ht="57" customHeight="1" x14ac:dyDescent="0.25">
      <c r="A21" s="510"/>
      <c r="B21" s="511"/>
      <c r="C21" s="513"/>
      <c r="D21" s="513"/>
      <c r="E21" s="513"/>
      <c r="F21" s="513"/>
      <c r="G21" s="513"/>
      <c r="H21" s="513"/>
      <c r="I21" s="515"/>
      <c r="J21" s="668"/>
      <c r="K21" s="465"/>
      <c r="L21" s="465"/>
      <c r="M21" s="465"/>
      <c r="N21" s="465"/>
      <c r="O21" s="465"/>
      <c r="P21" s="465"/>
      <c r="Q21" s="677" t="s">
        <v>435</v>
      </c>
      <c r="R21" s="116" t="s">
        <v>436</v>
      </c>
      <c r="S21" s="374" t="s">
        <v>60</v>
      </c>
      <c r="T21" s="677"/>
      <c r="U21" s="374">
        <f>33-6</f>
        <v>27</v>
      </c>
      <c r="V21" s="666"/>
      <c r="W21" s="671"/>
      <c r="X21" s="369" t="s">
        <v>466</v>
      </c>
      <c r="Y21" s="516"/>
      <c r="Z21" s="490"/>
      <c r="AA21" s="491"/>
      <c r="AB21" s="465"/>
      <c r="AC21" s="375">
        <v>15</v>
      </c>
      <c r="AD21" s="374">
        <f>+U21</f>
        <v>27</v>
      </c>
      <c r="AE21" s="373">
        <f t="shared" si="0"/>
        <v>0.55555555555555558</v>
      </c>
      <c r="AF21" s="369" t="s">
        <v>482</v>
      </c>
      <c r="AG21" s="516"/>
      <c r="AH21" s="490"/>
      <c r="AI21" s="491"/>
      <c r="AJ21" s="465"/>
      <c r="AK21" s="375">
        <v>34</v>
      </c>
      <c r="AL21" s="374">
        <f>+'[12]PAI SSLA'!U21</f>
        <v>27</v>
      </c>
      <c r="AM21" s="679">
        <f>+AK21/AL21</f>
        <v>1.2592592592592593</v>
      </c>
      <c r="AN21" s="369" t="s">
        <v>483</v>
      </c>
      <c r="AO21" s="516"/>
      <c r="AP21" s="490"/>
      <c r="AQ21" s="491"/>
      <c r="AR21" s="465"/>
      <c r="AS21" s="375">
        <v>61</v>
      </c>
      <c r="AT21" s="374">
        <f>+'[13]PAI SSLA'!U21</f>
        <v>27</v>
      </c>
      <c r="AU21" s="680">
        <f>+AS21/AT21</f>
        <v>2.2592592592592591</v>
      </c>
      <c r="AV21" s="369" t="s">
        <v>484</v>
      </c>
      <c r="AW21" s="490"/>
      <c r="AX21" s="490"/>
      <c r="AY21" s="491"/>
      <c r="AZ21" s="465"/>
      <c r="BA21" s="374">
        <v>85</v>
      </c>
      <c r="BB21" s="374">
        <v>27</v>
      </c>
      <c r="BC21" s="373">
        <v>3.1481481481481484</v>
      </c>
      <c r="BD21" s="369" t="s">
        <v>485</v>
      </c>
      <c r="BE21" s="490"/>
      <c r="BF21" s="490"/>
      <c r="BG21" s="491"/>
      <c r="BH21" s="465"/>
      <c r="BI21" s="374">
        <v>105</v>
      </c>
      <c r="BJ21" s="374">
        <v>27</v>
      </c>
      <c r="BK21" s="110">
        <v>3.8888888888888888</v>
      </c>
      <c r="BL21" s="369" t="s">
        <v>486</v>
      </c>
      <c r="BM21" s="490"/>
      <c r="BN21" s="490"/>
      <c r="BO21" s="491"/>
      <c r="BP21" s="465"/>
      <c r="BQ21" s="374">
        <v>128</v>
      </c>
      <c r="BR21" s="374">
        <v>27</v>
      </c>
      <c r="BS21" s="373">
        <v>4.7407407407407405</v>
      </c>
      <c r="BT21" s="369" t="s">
        <v>640</v>
      </c>
    </row>
    <row r="22" spans="1:687" s="18" customFormat="1" ht="79.5" customHeight="1" x14ac:dyDescent="0.25">
      <c r="A22" s="39"/>
      <c r="B22" s="39"/>
      <c r="C22" s="39"/>
      <c r="D22" s="39"/>
      <c r="E22" s="39"/>
      <c r="F22" s="39"/>
      <c r="G22" s="39"/>
      <c r="H22" s="39"/>
      <c r="I22" s="39"/>
      <c r="J22" s="676"/>
      <c r="K22" s="676"/>
      <c r="L22" s="676"/>
      <c r="M22" s="676"/>
      <c r="N22" s="676"/>
      <c r="O22" s="676"/>
      <c r="P22" s="93"/>
      <c r="Q22" s="676"/>
      <c r="R22" s="676"/>
      <c r="S22" s="93"/>
      <c r="T22" s="676"/>
      <c r="U22" s="676"/>
      <c r="V22" s="681"/>
      <c r="W22" s="671"/>
      <c r="X22" s="676"/>
      <c r="Y22" s="459" t="s">
        <v>102</v>
      </c>
      <c r="Z22" s="459"/>
      <c r="AA22" s="46">
        <f>AVERAGE(AA19:AA21)</f>
        <v>0.23134328358208955</v>
      </c>
      <c r="AB22" s="74"/>
      <c r="AC22" s="459" t="s">
        <v>103</v>
      </c>
      <c r="AD22" s="459"/>
      <c r="AE22" s="46">
        <f>AVERAGE(AE19:AE21)</f>
        <v>0.38609842719431758</v>
      </c>
      <c r="AF22" s="45"/>
      <c r="AG22" s="459" t="s">
        <v>102</v>
      </c>
      <c r="AH22" s="459"/>
      <c r="AI22" s="46">
        <f>AVERAGE(AI19:AI21)</f>
        <v>0.30970149253731344</v>
      </c>
      <c r="AJ22" s="74"/>
      <c r="AK22" s="459" t="s">
        <v>103</v>
      </c>
      <c r="AL22" s="459"/>
      <c r="AM22" s="46">
        <f>AVERAGE(AM19:AM21)</f>
        <v>0.62827667850498903</v>
      </c>
      <c r="AN22" s="45"/>
      <c r="AO22" s="459" t="s">
        <v>102</v>
      </c>
      <c r="AP22" s="459"/>
      <c r="AQ22" s="46">
        <f>AVERAGE(AQ19:AQ21)</f>
        <v>0.47014925373134331</v>
      </c>
      <c r="AR22" s="74"/>
      <c r="AS22" s="459" t="s">
        <v>103</v>
      </c>
      <c r="AT22" s="459"/>
      <c r="AU22" s="46">
        <f>AVERAGE(AU19:AU21)</f>
        <v>0.96769829189920509</v>
      </c>
      <c r="AV22" s="45"/>
      <c r="AW22" s="459" t="s">
        <v>102</v>
      </c>
      <c r="AX22" s="459"/>
      <c r="AY22" s="46">
        <f>AVERAGE(AY19:AY21)</f>
        <v>0.60074626865671643</v>
      </c>
      <c r="AZ22" s="74"/>
      <c r="BA22" s="459" t="s">
        <v>103</v>
      </c>
      <c r="BB22" s="459"/>
      <c r="BC22" s="46">
        <f>AVERAGE(BC19:BC21)</f>
        <v>1.2868256384238119</v>
      </c>
      <c r="BD22" s="45"/>
      <c r="BE22" s="459" t="s">
        <v>102</v>
      </c>
      <c r="BF22" s="459"/>
      <c r="BG22" s="46">
        <v>0.69029850746268662</v>
      </c>
      <c r="BH22" s="74"/>
      <c r="BI22" s="459" t="s">
        <v>103</v>
      </c>
      <c r="BJ22" s="459"/>
      <c r="BK22" s="46">
        <v>1.562658548959919</v>
      </c>
      <c r="BL22" s="45"/>
      <c r="BM22" s="459" t="s">
        <v>102</v>
      </c>
      <c r="BN22" s="459"/>
      <c r="BO22" s="46">
        <v>0.82089552238805974</v>
      </c>
      <c r="BP22" s="74"/>
      <c r="BQ22" s="459" t="s">
        <v>103</v>
      </c>
      <c r="BR22" s="459"/>
      <c r="BS22" s="46">
        <v>1.904447826822256</v>
      </c>
      <c r="BT22" s="45"/>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c r="FS22" s="17"/>
      <c r="FT22" s="17"/>
      <c r="FU22" s="17"/>
      <c r="FV22" s="17"/>
      <c r="FW22" s="17"/>
      <c r="FX22" s="17"/>
      <c r="FY22" s="17"/>
      <c r="FZ22" s="17"/>
      <c r="GA22" s="17"/>
      <c r="GB22" s="17"/>
      <c r="GC22" s="17"/>
      <c r="GD22" s="17"/>
      <c r="GE22" s="17"/>
      <c r="GF22" s="17"/>
      <c r="GG22" s="17"/>
      <c r="GH22" s="17"/>
      <c r="GI22" s="17"/>
      <c r="GJ22" s="17"/>
      <c r="GK22" s="17"/>
      <c r="GL22" s="17"/>
      <c r="GM22" s="17"/>
      <c r="GN22" s="17"/>
      <c r="GO22" s="17"/>
      <c r="GP22" s="17"/>
      <c r="GQ22" s="17"/>
      <c r="GR22" s="17"/>
      <c r="GS22" s="17"/>
      <c r="GT22" s="17"/>
      <c r="GU22" s="17"/>
      <c r="GV22" s="17"/>
      <c r="GW22" s="17"/>
      <c r="GX22" s="17"/>
      <c r="GY22" s="17"/>
      <c r="GZ22" s="17"/>
      <c r="HA22" s="17"/>
      <c r="HB22" s="17"/>
      <c r="HC22" s="17"/>
      <c r="HD22" s="17"/>
      <c r="HE22" s="17"/>
      <c r="HF22" s="17"/>
      <c r="HG22" s="17"/>
      <c r="HH22" s="17"/>
      <c r="HI22" s="17"/>
      <c r="HJ22" s="17"/>
      <c r="HK22" s="17"/>
      <c r="HL22" s="17"/>
      <c r="HM22" s="17"/>
      <c r="HN22" s="17"/>
      <c r="HO22" s="17"/>
      <c r="HP22" s="17"/>
      <c r="HQ22" s="17"/>
      <c r="HR22" s="17"/>
      <c r="HS22" s="17"/>
      <c r="HT22" s="17"/>
      <c r="HU22" s="17"/>
      <c r="HV22" s="17"/>
      <c r="HW22" s="17"/>
      <c r="HX22" s="17"/>
      <c r="HY22" s="17"/>
      <c r="HZ22" s="17"/>
      <c r="IA22" s="17"/>
      <c r="IB22" s="17"/>
      <c r="IC22" s="17"/>
      <c r="ID22" s="17"/>
      <c r="IE22" s="17"/>
      <c r="IF22" s="17"/>
      <c r="IG22" s="17"/>
      <c r="IH22" s="17"/>
      <c r="II22" s="17"/>
      <c r="IJ22" s="17"/>
      <c r="IK22" s="17"/>
      <c r="IL22" s="17"/>
      <c r="IM22" s="17"/>
      <c r="IN22" s="17"/>
      <c r="IO22" s="17"/>
      <c r="IP22" s="17"/>
      <c r="IQ22" s="17"/>
      <c r="IR22" s="17"/>
      <c r="IS22" s="17"/>
      <c r="IT22" s="17"/>
      <c r="IU22" s="17"/>
      <c r="IV22" s="17"/>
      <c r="IW22" s="17"/>
      <c r="IX22" s="17"/>
      <c r="IY22" s="17"/>
      <c r="IZ22" s="17"/>
      <c r="JA22" s="17"/>
      <c r="JB22" s="17"/>
      <c r="JC22" s="17"/>
      <c r="JD22" s="17"/>
      <c r="JE22" s="17"/>
      <c r="JF22" s="17"/>
      <c r="JG22" s="17"/>
      <c r="JH22" s="17"/>
      <c r="JI22" s="17"/>
      <c r="JJ22" s="17"/>
      <c r="JK22" s="17"/>
      <c r="JL22" s="17"/>
      <c r="JM22" s="17"/>
      <c r="JN22" s="17"/>
      <c r="JO22" s="17"/>
      <c r="JP22" s="17"/>
      <c r="JQ22" s="17"/>
      <c r="JR22" s="17"/>
      <c r="JS22" s="17"/>
      <c r="JT22" s="17"/>
      <c r="JU22" s="17"/>
      <c r="JV22" s="17"/>
      <c r="JW22" s="17"/>
      <c r="JX22" s="17"/>
      <c r="JY22" s="17"/>
      <c r="JZ22" s="17"/>
      <c r="KA22" s="17"/>
      <c r="KB22" s="17"/>
      <c r="KC22" s="17"/>
      <c r="KD22" s="17"/>
      <c r="KE22" s="17"/>
      <c r="KF22" s="17"/>
      <c r="KG22" s="17"/>
      <c r="KH22" s="17"/>
      <c r="KI22" s="17"/>
      <c r="KJ22" s="17"/>
      <c r="KK22" s="17"/>
      <c r="KL22" s="17"/>
      <c r="KM22" s="17"/>
      <c r="KN22" s="17"/>
      <c r="KO22" s="17"/>
      <c r="KP22" s="17"/>
      <c r="KQ22" s="17"/>
      <c r="KR22" s="17"/>
      <c r="KS22" s="17"/>
      <c r="KT22" s="17"/>
      <c r="KU22" s="17"/>
      <c r="KV22" s="17"/>
      <c r="KW22" s="17"/>
      <c r="KX22" s="17"/>
      <c r="KY22" s="17"/>
      <c r="KZ22" s="17"/>
      <c r="LA22" s="17"/>
      <c r="LB22" s="17"/>
      <c r="LC22" s="17"/>
      <c r="LD22" s="17"/>
      <c r="LE22" s="17"/>
      <c r="LF22" s="17"/>
      <c r="LG22" s="17"/>
      <c r="LH22" s="17"/>
      <c r="LI22" s="17"/>
      <c r="LJ22" s="17"/>
      <c r="LK22" s="17"/>
      <c r="LL22" s="17"/>
      <c r="LM22" s="17"/>
      <c r="LN22" s="17"/>
      <c r="LO22" s="17"/>
      <c r="LP22" s="17"/>
      <c r="LQ22" s="17"/>
      <c r="LR22" s="17"/>
      <c r="LS22" s="17"/>
      <c r="LT22" s="17"/>
      <c r="LU22" s="17"/>
      <c r="LV22" s="17"/>
      <c r="LW22" s="17"/>
      <c r="LX22" s="17"/>
      <c r="LY22" s="17"/>
      <c r="LZ22" s="17"/>
      <c r="MA22" s="17"/>
      <c r="MB22" s="17"/>
      <c r="MC22" s="17"/>
      <c r="MD22" s="17"/>
      <c r="ME22" s="17"/>
      <c r="MF22" s="17"/>
      <c r="MG22" s="17"/>
      <c r="MH22" s="17"/>
      <c r="MI22" s="17"/>
      <c r="MJ22" s="17"/>
      <c r="MK22" s="17"/>
      <c r="ML22" s="17"/>
      <c r="MM22" s="17"/>
      <c r="MN22" s="17"/>
      <c r="MO22" s="17"/>
      <c r="MP22" s="17"/>
      <c r="MQ22" s="17"/>
      <c r="MR22" s="17"/>
      <c r="MS22" s="17"/>
      <c r="MT22" s="17"/>
      <c r="MU22" s="17"/>
      <c r="MV22" s="17"/>
      <c r="MW22" s="17"/>
      <c r="MX22" s="17"/>
      <c r="MY22" s="17"/>
      <c r="MZ22" s="17"/>
      <c r="NA22" s="17"/>
      <c r="NB22" s="17"/>
      <c r="NC22" s="17"/>
      <c r="ND22" s="17"/>
      <c r="NE22" s="17"/>
      <c r="NF22" s="17"/>
      <c r="NG22" s="17"/>
      <c r="NH22" s="17"/>
      <c r="NI22" s="17"/>
      <c r="NJ22" s="17"/>
      <c r="NK22" s="17"/>
      <c r="NL22" s="17"/>
      <c r="NM22" s="17"/>
      <c r="NN22" s="17"/>
      <c r="NO22" s="17"/>
      <c r="NP22" s="17"/>
      <c r="NQ22" s="17"/>
      <c r="NR22" s="17"/>
      <c r="NS22" s="17"/>
      <c r="NT22" s="17"/>
      <c r="NU22" s="17"/>
      <c r="NV22" s="17"/>
      <c r="NW22" s="17"/>
      <c r="NX22" s="17"/>
      <c r="NY22" s="17"/>
      <c r="NZ22" s="17"/>
      <c r="OA22" s="17"/>
      <c r="OB22" s="17"/>
      <c r="OC22" s="17"/>
      <c r="OD22" s="17"/>
      <c r="OE22" s="17"/>
      <c r="OF22" s="17"/>
      <c r="OG22" s="17"/>
      <c r="OH22" s="17"/>
      <c r="OI22" s="17"/>
      <c r="OJ22" s="17"/>
      <c r="OK22" s="17"/>
      <c r="OL22" s="17"/>
      <c r="OM22" s="17"/>
      <c r="ON22" s="17"/>
      <c r="OO22" s="17"/>
      <c r="OP22" s="17"/>
      <c r="OQ22" s="17"/>
      <c r="OR22" s="17"/>
      <c r="OS22" s="17"/>
      <c r="OT22" s="17"/>
      <c r="OU22" s="17"/>
      <c r="OV22" s="17"/>
      <c r="OW22" s="17"/>
      <c r="OX22" s="17"/>
      <c r="OY22" s="17"/>
      <c r="OZ22" s="17"/>
      <c r="PA22" s="17"/>
      <c r="PB22" s="17"/>
      <c r="PC22" s="17"/>
      <c r="PD22" s="17"/>
      <c r="PE22" s="17"/>
      <c r="PF22" s="17"/>
      <c r="PG22" s="17"/>
      <c r="PH22" s="17"/>
      <c r="PI22" s="17"/>
      <c r="PJ22" s="17"/>
      <c r="PK22" s="17"/>
      <c r="PL22" s="17"/>
      <c r="PM22" s="17"/>
      <c r="PN22" s="17"/>
      <c r="PO22" s="17"/>
      <c r="PP22" s="17"/>
      <c r="PQ22" s="17"/>
      <c r="PR22" s="17"/>
      <c r="PS22" s="17"/>
      <c r="PT22" s="17"/>
      <c r="PU22" s="17"/>
      <c r="PV22" s="17"/>
      <c r="PW22" s="17"/>
      <c r="PX22" s="17"/>
      <c r="PY22" s="17"/>
      <c r="PZ22" s="17"/>
      <c r="QA22" s="17"/>
      <c r="QB22" s="17"/>
      <c r="QC22" s="17"/>
      <c r="QD22" s="17"/>
      <c r="QE22" s="17"/>
      <c r="QF22" s="17"/>
      <c r="QG22" s="17"/>
      <c r="QH22" s="17"/>
      <c r="QI22" s="17"/>
      <c r="QJ22" s="17"/>
      <c r="QK22" s="17"/>
      <c r="QL22" s="17"/>
      <c r="QM22" s="17"/>
      <c r="QN22" s="17"/>
      <c r="QO22" s="17"/>
      <c r="QP22" s="17"/>
      <c r="QQ22" s="17"/>
      <c r="QR22" s="17"/>
      <c r="QS22" s="17"/>
      <c r="QT22" s="17"/>
      <c r="QU22" s="17"/>
      <c r="QV22" s="17"/>
      <c r="QW22" s="17"/>
      <c r="QX22" s="17"/>
      <c r="QY22" s="17"/>
      <c r="QZ22" s="17"/>
      <c r="RA22" s="17"/>
      <c r="RB22" s="17"/>
      <c r="RC22" s="17"/>
      <c r="RD22" s="17"/>
      <c r="RE22" s="17"/>
      <c r="RF22" s="17"/>
      <c r="RG22" s="17"/>
      <c r="RH22" s="17"/>
      <c r="RI22" s="17"/>
      <c r="RJ22" s="17"/>
      <c r="RK22" s="17"/>
      <c r="RL22" s="17"/>
      <c r="RM22" s="17"/>
      <c r="RN22" s="17"/>
      <c r="RO22" s="17"/>
      <c r="RP22" s="17"/>
      <c r="RQ22" s="17"/>
      <c r="RR22" s="17"/>
      <c r="RS22" s="17"/>
      <c r="RT22" s="17"/>
      <c r="RU22" s="17"/>
      <c r="RV22" s="17"/>
      <c r="RW22" s="17"/>
      <c r="RX22" s="17"/>
      <c r="RY22" s="17"/>
      <c r="RZ22" s="17"/>
      <c r="SA22" s="17"/>
      <c r="SB22" s="17"/>
      <c r="SC22" s="17"/>
      <c r="SD22" s="17"/>
      <c r="SE22" s="17"/>
      <c r="SF22" s="17"/>
      <c r="SG22" s="17"/>
      <c r="SH22" s="17"/>
      <c r="SI22" s="17"/>
      <c r="SJ22" s="17"/>
      <c r="SK22" s="17"/>
      <c r="SL22" s="17"/>
      <c r="SM22" s="17"/>
      <c r="SN22" s="17"/>
      <c r="SO22" s="17"/>
      <c r="SP22" s="17"/>
      <c r="SQ22" s="17"/>
      <c r="SR22" s="17"/>
      <c r="SS22" s="17"/>
      <c r="ST22" s="17"/>
      <c r="SU22" s="17"/>
      <c r="SV22" s="17"/>
      <c r="SW22" s="17"/>
      <c r="SX22" s="17"/>
      <c r="SY22" s="17"/>
      <c r="SZ22" s="17"/>
      <c r="TA22" s="17"/>
      <c r="TB22" s="17"/>
      <c r="TC22" s="17"/>
      <c r="TD22" s="17"/>
      <c r="TE22" s="17"/>
      <c r="TF22" s="17"/>
      <c r="TG22" s="17"/>
      <c r="TH22" s="17"/>
      <c r="TI22" s="17"/>
      <c r="TJ22" s="17"/>
      <c r="TK22" s="17"/>
      <c r="TL22" s="17"/>
      <c r="TM22" s="17"/>
      <c r="TN22" s="17"/>
      <c r="TO22" s="17"/>
      <c r="TP22" s="17"/>
      <c r="TQ22" s="17"/>
      <c r="TR22" s="17"/>
      <c r="TS22" s="17"/>
      <c r="TT22" s="17"/>
      <c r="TU22" s="17"/>
      <c r="TV22" s="17"/>
      <c r="TW22" s="17"/>
      <c r="TX22" s="17"/>
      <c r="TY22" s="17"/>
      <c r="TZ22" s="17"/>
      <c r="UA22" s="17"/>
      <c r="UB22" s="17"/>
      <c r="UC22" s="17"/>
      <c r="UD22" s="17"/>
      <c r="UE22" s="17"/>
      <c r="UF22" s="17"/>
      <c r="UG22" s="17"/>
      <c r="UH22" s="17"/>
      <c r="UI22" s="17"/>
      <c r="UJ22" s="17"/>
      <c r="UK22" s="17"/>
      <c r="UL22" s="17"/>
      <c r="UM22" s="17"/>
      <c r="UN22" s="17"/>
      <c r="UO22" s="17"/>
      <c r="UP22" s="17"/>
      <c r="UQ22" s="17"/>
      <c r="UR22" s="17"/>
      <c r="US22" s="17"/>
      <c r="UT22" s="17"/>
      <c r="UU22" s="17"/>
      <c r="UV22" s="17"/>
      <c r="UW22" s="17"/>
      <c r="UX22" s="17"/>
      <c r="UY22" s="17"/>
      <c r="UZ22" s="17"/>
      <c r="VA22" s="17"/>
      <c r="VB22" s="17"/>
      <c r="VC22" s="17"/>
      <c r="VD22" s="17"/>
      <c r="VE22" s="17"/>
      <c r="VF22" s="17"/>
      <c r="VG22" s="17"/>
      <c r="VH22" s="17"/>
      <c r="VI22" s="17"/>
      <c r="VJ22" s="17"/>
      <c r="VK22" s="17"/>
      <c r="VL22" s="17"/>
      <c r="VM22" s="17"/>
      <c r="VN22" s="17"/>
      <c r="VO22" s="17"/>
      <c r="VP22" s="17"/>
      <c r="VQ22" s="17"/>
      <c r="VR22" s="17"/>
      <c r="VS22" s="17"/>
      <c r="VT22" s="17"/>
      <c r="VU22" s="17"/>
      <c r="VV22" s="17"/>
      <c r="VW22" s="17"/>
      <c r="VX22" s="17"/>
      <c r="VY22" s="17"/>
      <c r="VZ22" s="17"/>
      <c r="WA22" s="17"/>
      <c r="WB22" s="17"/>
      <c r="WC22" s="17"/>
      <c r="WD22" s="17"/>
      <c r="WE22" s="17"/>
      <c r="WF22" s="17"/>
      <c r="WG22" s="17"/>
      <c r="WH22" s="17"/>
      <c r="WI22" s="17"/>
      <c r="WJ22" s="17"/>
      <c r="WK22" s="17"/>
      <c r="WL22" s="17"/>
      <c r="WM22" s="17"/>
      <c r="WN22" s="17"/>
      <c r="WO22" s="17"/>
      <c r="WP22" s="17"/>
      <c r="WQ22" s="17"/>
      <c r="WR22" s="17"/>
      <c r="WS22" s="17"/>
      <c r="WT22" s="17"/>
      <c r="WU22" s="17"/>
      <c r="WV22" s="17"/>
      <c r="WW22" s="17"/>
      <c r="WX22" s="17"/>
      <c r="WY22" s="17"/>
      <c r="WZ22" s="17"/>
      <c r="XA22" s="17"/>
      <c r="XB22" s="17"/>
      <c r="XC22" s="17"/>
      <c r="XD22" s="17"/>
      <c r="XE22" s="17"/>
      <c r="XF22" s="17"/>
      <c r="XG22" s="17"/>
      <c r="XH22" s="17"/>
      <c r="XI22" s="17"/>
      <c r="XJ22" s="17"/>
      <c r="XK22" s="17"/>
      <c r="XL22" s="17"/>
      <c r="XM22" s="17"/>
      <c r="XN22" s="17"/>
      <c r="XO22" s="17"/>
      <c r="XP22" s="17"/>
      <c r="XQ22" s="17"/>
      <c r="XR22" s="17"/>
      <c r="XS22" s="17"/>
      <c r="XT22" s="17"/>
      <c r="XU22" s="17"/>
      <c r="XV22" s="17"/>
      <c r="XW22" s="17"/>
      <c r="XX22" s="17"/>
      <c r="XY22" s="17"/>
      <c r="XZ22" s="17"/>
      <c r="YA22" s="17"/>
      <c r="YB22" s="17"/>
      <c r="YC22" s="17"/>
      <c r="YD22" s="17"/>
      <c r="YE22" s="17"/>
      <c r="YF22" s="17"/>
      <c r="YG22" s="17"/>
      <c r="YH22" s="17"/>
      <c r="YI22" s="17"/>
      <c r="YJ22" s="17"/>
      <c r="YK22" s="17"/>
      <c r="YL22" s="17"/>
      <c r="YM22" s="17"/>
      <c r="YN22" s="17"/>
      <c r="YO22" s="17"/>
      <c r="YP22" s="17"/>
      <c r="YQ22" s="17"/>
      <c r="YR22" s="17"/>
      <c r="YS22" s="17"/>
      <c r="YT22" s="17"/>
      <c r="YU22" s="17"/>
      <c r="YV22" s="17"/>
      <c r="YW22" s="17"/>
      <c r="YX22" s="17"/>
      <c r="YY22" s="17"/>
      <c r="YZ22" s="17"/>
      <c r="ZA22" s="17"/>
      <c r="ZB22" s="17"/>
      <c r="ZC22" s="17"/>
      <c r="ZD22" s="17"/>
      <c r="ZE22" s="17"/>
      <c r="ZF22" s="17"/>
      <c r="ZG22" s="17"/>
      <c r="ZH22" s="17"/>
      <c r="ZI22" s="17"/>
      <c r="ZJ22" s="17"/>
      <c r="ZK22" s="17"/>
    </row>
    <row r="23" spans="1:687" ht="47.25" customHeight="1" x14ac:dyDescent="0.25">
      <c r="A23" s="510" t="s">
        <v>47</v>
      </c>
      <c r="B23" s="512" t="s">
        <v>48</v>
      </c>
      <c r="C23" s="461" t="s">
        <v>49</v>
      </c>
      <c r="D23" s="461" t="s">
        <v>50</v>
      </c>
      <c r="E23" s="461" t="s">
        <v>51</v>
      </c>
      <c r="F23" s="461" t="s">
        <v>52</v>
      </c>
      <c r="G23" s="461" t="s">
        <v>53</v>
      </c>
      <c r="H23" s="461" t="s">
        <v>54</v>
      </c>
      <c r="I23" s="514" t="s">
        <v>384</v>
      </c>
      <c r="J23" s="663" t="s">
        <v>385</v>
      </c>
      <c r="K23" s="465" t="s">
        <v>487</v>
      </c>
      <c r="L23" s="465" t="s">
        <v>387</v>
      </c>
      <c r="M23" s="465" t="s">
        <v>388</v>
      </c>
      <c r="N23" s="465" t="s">
        <v>60</v>
      </c>
      <c r="O23" s="465"/>
      <c r="P23" s="465">
        <v>370</v>
      </c>
      <c r="Q23" s="116" t="s">
        <v>389</v>
      </c>
      <c r="R23" s="116" t="s">
        <v>390</v>
      </c>
      <c r="S23" s="374" t="s">
        <v>60</v>
      </c>
      <c r="T23" s="677"/>
      <c r="U23" s="374">
        <v>270</v>
      </c>
      <c r="V23" s="666">
        <v>1006705842</v>
      </c>
      <c r="W23" s="671"/>
      <c r="X23" s="369" t="s">
        <v>488</v>
      </c>
      <c r="Y23" s="490">
        <v>70</v>
      </c>
      <c r="Z23" s="490">
        <f>+P23</f>
        <v>370</v>
      </c>
      <c r="AA23" s="491">
        <f>+Y23/Z23</f>
        <v>0.1891891891891892</v>
      </c>
      <c r="AB23" s="465" t="s">
        <v>489</v>
      </c>
      <c r="AC23" s="374">
        <v>79</v>
      </c>
      <c r="AD23" s="374">
        <f>+U23</f>
        <v>270</v>
      </c>
      <c r="AE23" s="373">
        <f>+AC23/AD23</f>
        <v>0.29259259259259257</v>
      </c>
      <c r="AF23" s="369" t="s">
        <v>490</v>
      </c>
      <c r="AG23" s="490">
        <v>93</v>
      </c>
      <c r="AH23" s="490">
        <f>+'[12]PAI SSLA'!P23</f>
        <v>370</v>
      </c>
      <c r="AI23" s="491">
        <f>+AG23/AH23</f>
        <v>0.25135135135135134</v>
      </c>
      <c r="AJ23" s="465" t="s">
        <v>491</v>
      </c>
      <c r="AK23" s="374">
        <v>79</v>
      </c>
      <c r="AL23" s="374">
        <f>+'[12]PAI SSLA'!U23</f>
        <v>270</v>
      </c>
      <c r="AM23" s="373">
        <f>+AK23/AL23</f>
        <v>0.29259259259259257</v>
      </c>
      <c r="AN23" s="369" t="s">
        <v>492</v>
      </c>
      <c r="AO23" s="490">
        <v>121</v>
      </c>
      <c r="AP23" s="490">
        <f>+'[13]PAI SSLA'!P23</f>
        <v>370</v>
      </c>
      <c r="AQ23" s="491">
        <f>+AO23/AP23</f>
        <v>0.32702702702702702</v>
      </c>
      <c r="AR23" s="465" t="s">
        <v>493</v>
      </c>
      <c r="AS23" s="374">
        <v>78</v>
      </c>
      <c r="AT23" s="374">
        <f>+'[13]PAI SSLA'!U23</f>
        <v>270</v>
      </c>
      <c r="AU23" s="373">
        <f>+AS23/AT23</f>
        <v>0.28888888888888886</v>
      </c>
      <c r="AV23" s="369" t="s">
        <v>494</v>
      </c>
      <c r="AW23" s="490">
        <v>156</v>
      </c>
      <c r="AX23" s="490">
        <v>370</v>
      </c>
      <c r="AY23" s="491">
        <v>0.42162162162162165</v>
      </c>
      <c r="AZ23" s="465" t="s">
        <v>495</v>
      </c>
      <c r="BA23" s="374">
        <v>84</v>
      </c>
      <c r="BB23" s="374">
        <v>270</v>
      </c>
      <c r="BC23" s="373">
        <v>0.31111111111111112</v>
      </c>
      <c r="BD23" s="369" t="s">
        <v>496</v>
      </c>
      <c r="BE23" s="490">
        <v>218</v>
      </c>
      <c r="BF23" s="490">
        <v>370</v>
      </c>
      <c r="BG23" s="491">
        <v>0.58918918918918917</v>
      </c>
      <c r="BH23" s="465" t="s">
        <v>497</v>
      </c>
      <c r="BI23" s="374">
        <v>85</v>
      </c>
      <c r="BJ23" s="374">
        <v>270</v>
      </c>
      <c r="BK23" s="373">
        <v>0.31481481481481483</v>
      </c>
      <c r="BL23" s="369" t="s">
        <v>498</v>
      </c>
      <c r="BM23" s="490">
        <v>277</v>
      </c>
      <c r="BN23" s="490">
        <v>370</v>
      </c>
      <c r="BO23" s="491">
        <v>0.74864864864864866</v>
      </c>
      <c r="BP23" s="465" t="s">
        <v>641</v>
      </c>
      <c r="BQ23" s="374">
        <v>92</v>
      </c>
      <c r="BR23" s="374">
        <v>270</v>
      </c>
      <c r="BS23" s="373">
        <v>0.34074074074074073</v>
      </c>
      <c r="BT23" s="369" t="s">
        <v>642</v>
      </c>
    </row>
    <row r="24" spans="1:687" ht="47.25" customHeight="1" x14ac:dyDescent="0.25">
      <c r="A24" s="510"/>
      <c r="B24" s="511"/>
      <c r="C24" s="513"/>
      <c r="D24" s="513"/>
      <c r="E24" s="513"/>
      <c r="F24" s="513"/>
      <c r="G24" s="513"/>
      <c r="H24" s="513"/>
      <c r="I24" s="515"/>
      <c r="J24" s="668"/>
      <c r="K24" s="465"/>
      <c r="L24" s="465"/>
      <c r="M24" s="465"/>
      <c r="N24" s="465"/>
      <c r="O24" s="465"/>
      <c r="P24" s="465"/>
      <c r="Q24" s="119" t="s">
        <v>428</v>
      </c>
      <c r="R24" s="119" t="s">
        <v>429</v>
      </c>
      <c r="S24" s="377" t="s">
        <v>60</v>
      </c>
      <c r="T24" s="119"/>
      <c r="U24" s="377">
        <v>270</v>
      </c>
      <c r="V24" s="666"/>
      <c r="W24" s="671"/>
      <c r="X24" s="377" t="s">
        <v>488</v>
      </c>
      <c r="Y24" s="490"/>
      <c r="Z24" s="490"/>
      <c r="AA24" s="491"/>
      <c r="AB24" s="465"/>
      <c r="AC24" s="377">
        <v>66</v>
      </c>
      <c r="AD24" s="377">
        <f>+U24</f>
        <v>270</v>
      </c>
      <c r="AE24" s="376">
        <f>+AC24/AD24</f>
        <v>0.24444444444444444</v>
      </c>
      <c r="AF24" s="377" t="s">
        <v>499</v>
      </c>
      <c r="AG24" s="490"/>
      <c r="AH24" s="490"/>
      <c r="AI24" s="491"/>
      <c r="AJ24" s="465"/>
      <c r="AK24" s="377">
        <v>76</v>
      </c>
      <c r="AL24" s="377">
        <f>+'[12]PAI SSLA'!U24</f>
        <v>270</v>
      </c>
      <c r="AM24" s="376">
        <f>+AK24/AL24</f>
        <v>0.2814814814814815</v>
      </c>
      <c r="AN24" s="377" t="s">
        <v>500</v>
      </c>
      <c r="AO24" s="490"/>
      <c r="AP24" s="490"/>
      <c r="AQ24" s="491"/>
      <c r="AR24" s="465"/>
      <c r="AS24" s="377">
        <v>78</v>
      </c>
      <c r="AT24" s="377">
        <f>+'[13]PAI SSLA'!U24</f>
        <v>270</v>
      </c>
      <c r="AU24" s="376">
        <f>+AS24/AT24</f>
        <v>0.28888888888888886</v>
      </c>
      <c r="AV24" s="377" t="s">
        <v>501</v>
      </c>
      <c r="AW24" s="490"/>
      <c r="AX24" s="490"/>
      <c r="AY24" s="491"/>
      <c r="AZ24" s="465"/>
      <c r="BA24" s="377">
        <v>82</v>
      </c>
      <c r="BB24" s="377">
        <v>270</v>
      </c>
      <c r="BC24" s="376">
        <v>0.3037037037037037</v>
      </c>
      <c r="BD24" s="377" t="s">
        <v>502</v>
      </c>
      <c r="BE24" s="490"/>
      <c r="BF24" s="490"/>
      <c r="BG24" s="491"/>
      <c r="BH24" s="465"/>
      <c r="BI24" s="377">
        <v>84</v>
      </c>
      <c r="BJ24" s="377">
        <v>270</v>
      </c>
      <c r="BK24" s="376">
        <v>0.31111111111111112</v>
      </c>
      <c r="BL24" s="377" t="s">
        <v>503</v>
      </c>
      <c r="BM24" s="490"/>
      <c r="BN24" s="490"/>
      <c r="BO24" s="491"/>
      <c r="BP24" s="465"/>
      <c r="BQ24" s="377">
        <v>86</v>
      </c>
      <c r="BR24" s="377">
        <v>270</v>
      </c>
      <c r="BS24" s="376">
        <v>0.31851851851851853</v>
      </c>
      <c r="BT24" s="377" t="s">
        <v>643</v>
      </c>
    </row>
    <row r="25" spans="1:687" ht="47.25" customHeight="1" x14ac:dyDescent="0.25">
      <c r="A25" s="510"/>
      <c r="B25" s="511"/>
      <c r="C25" s="513"/>
      <c r="D25" s="513"/>
      <c r="E25" s="513"/>
      <c r="F25" s="513"/>
      <c r="G25" s="513"/>
      <c r="H25" s="513"/>
      <c r="I25" s="515"/>
      <c r="J25" s="668"/>
      <c r="K25" s="465"/>
      <c r="L25" s="465"/>
      <c r="M25" s="465"/>
      <c r="N25" s="465"/>
      <c r="O25" s="465"/>
      <c r="P25" s="465"/>
      <c r="Q25" s="116" t="s">
        <v>435</v>
      </c>
      <c r="R25" s="116" t="s">
        <v>436</v>
      </c>
      <c r="S25" s="374" t="s">
        <v>60</v>
      </c>
      <c r="T25" s="677"/>
      <c r="U25" s="374">
        <v>23</v>
      </c>
      <c r="V25" s="666"/>
      <c r="W25" s="671"/>
      <c r="X25" s="369" t="s">
        <v>488</v>
      </c>
      <c r="Y25" s="490"/>
      <c r="Z25" s="490"/>
      <c r="AA25" s="491"/>
      <c r="AB25" s="465"/>
      <c r="AC25" s="374">
        <v>22</v>
      </c>
      <c r="AD25" s="374">
        <f>+U25</f>
        <v>23</v>
      </c>
      <c r="AE25" s="373">
        <f>+AC25/AD25</f>
        <v>0.95652173913043481</v>
      </c>
      <c r="AF25" s="369" t="s">
        <v>504</v>
      </c>
      <c r="AG25" s="490"/>
      <c r="AH25" s="490"/>
      <c r="AI25" s="491"/>
      <c r="AJ25" s="465"/>
      <c r="AK25" s="374">
        <v>52</v>
      </c>
      <c r="AL25" s="374">
        <f>+'[12]PAI SSLA'!U25</f>
        <v>23</v>
      </c>
      <c r="AM25" s="679">
        <f>+AK25/AL25</f>
        <v>2.2608695652173911</v>
      </c>
      <c r="AN25" s="369" t="s">
        <v>505</v>
      </c>
      <c r="AO25" s="490"/>
      <c r="AP25" s="490"/>
      <c r="AQ25" s="491"/>
      <c r="AR25" s="465"/>
      <c r="AS25" s="374">
        <v>89</v>
      </c>
      <c r="AT25" s="374">
        <f>+'[13]PAI SSLA'!U25</f>
        <v>23</v>
      </c>
      <c r="AU25" s="680">
        <f>+AS25/AT25</f>
        <v>3.8695652173913042</v>
      </c>
      <c r="AV25" s="369" t="s">
        <v>506</v>
      </c>
      <c r="AW25" s="490"/>
      <c r="AX25" s="490"/>
      <c r="AY25" s="491"/>
      <c r="AZ25" s="465"/>
      <c r="BA25" s="374">
        <v>129</v>
      </c>
      <c r="BB25" s="374">
        <v>23</v>
      </c>
      <c r="BC25" s="373">
        <v>5.6086956521739131</v>
      </c>
      <c r="BD25" s="369" t="s">
        <v>507</v>
      </c>
      <c r="BE25" s="490"/>
      <c r="BF25" s="490"/>
      <c r="BG25" s="491"/>
      <c r="BH25" s="465"/>
      <c r="BI25" s="374">
        <v>169</v>
      </c>
      <c r="BJ25" s="374">
        <v>23</v>
      </c>
      <c r="BK25" s="110">
        <v>7.3478260869565215</v>
      </c>
      <c r="BL25" s="369" t="s">
        <v>508</v>
      </c>
      <c r="BM25" s="490"/>
      <c r="BN25" s="490"/>
      <c r="BO25" s="491"/>
      <c r="BP25" s="465"/>
      <c r="BQ25" s="374">
        <v>189</v>
      </c>
      <c r="BR25" s="374">
        <v>23</v>
      </c>
      <c r="BS25" s="373">
        <v>8.2173913043478262</v>
      </c>
      <c r="BT25" s="369" t="s">
        <v>644</v>
      </c>
    </row>
    <row r="26" spans="1:687" s="18" customFormat="1" ht="70.5" customHeight="1" x14ac:dyDescent="0.25">
      <c r="A26" s="39"/>
      <c r="B26" s="39"/>
      <c r="C26" s="39"/>
      <c r="D26" s="39"/>
      <c r="E26" s="39"/>
      <c r="F26" s="39"/>
      <c r="G26" s="39"/>
      <c r="H26" s="39"/>
      <c r="I26" s="39"/>
      <c r="J26" s="676"/>
      <c r="K26" s="676"/>
      <c r="L26" s="676"/>
      <c r="M26" s="676"/>
      <c r="N26" s="676"/>
      <c r="O26" s="676"/>
      <c r="P26" s="93"/>
      <c r="Q26" s="676"/>
      <c r="R26" s="676"/>
      <c r="S26" s="93"/>
      <c r="T26" s="676"/>
      <c r="U26" s="676"/>
      <c r="V26" s="681"/>
      <c r="W26" s="671"/>
      <c r="X26" s="676"/>
      <c r="Y26" s="459" t="s">
        <v>102</v>
      </c>
      <c r="Z26" s="459"/>
      <c r="AA26" s="46">
        <f>AVERAGE(AA23:AA25)</f>
        <v>0.1891891891891892</v>
      </c>
      <c r="AB26" s="74"/>
      <c r="AC26" s="459" t="s">
        <v>103</v>
      </c>
      <c r="AD26" s="459"/>
      <c r="AE26" s="46">
        <f>AVERAGE(AE23:AE25)</f>
        <v>0.49785292538915726</v>
      </c>
      <c r="AF26" s="45"/>
      <c r="AG26" s="459" t="s">
        <v>102</v>
      </c>
      <c r="AH26" s="459"/>
      <c r="AI26" s="46">
        <f>AVERAGE(AI23:AI25)</f>
        <v>0.25135135135135134</v>
      </c>
      <c r="AJ26" s="74"/>
      <c r="AK26" s="459" t="s">
        <v>103</v>
      </c>
      <c r="AL26" s="459"/>
      <c r="AM26" s="46">
        <f>AVERAGE(AM23:AM25)</f>
        <v>0.94498121309715499</v>
      </c>
      <c r="AN26" s="45"/>
      <c r="AO26" s="459" t="s">
        <v>102</v>
      </c>
      <c r="AP26" s="459"/>
      <c r="AQ26" s="46">
        <f>AVERAGE(AQ23:AQ25)</f>
        <v>0.32702702702702702</v>
      </c>
      <c r="AR26" s="74"/>
      <c r="AS26" s="459" t="s">
        <v>103</v>
      </c>
      <c r="AT26" s="459"/>
      <c r="AU26" s="46">
        <f>AVERAGE(AU23:AU25)</f>
        <v>1.4824476650563607</v>
      </c>
      <c r="AV26" s="45"/>
      <c r="AW26" s="459" t="s">
        <v>102</v>
      </c>
      <c r="AX26" s="459"/>
      <c r="AY26" s="46">
        <f>AVERAGE(AY23:AY25)</f>
        <v>0.42162162162162165</v>
      </c>
      <c r="AZ26" s="74"/>
      <c r="BA26" s="459" t="s">
        <v>103</v>
      </c>
      <c r="BB26" s="459"/>
      <c r="BC26" s="46">
        <f>AVERAGE(BC23:BC25)</f>
        <v>2.0745034889962426</v>
      </c>
      <c r="BD26" s="45"/>
      <c r="BE26" s="459" t="s">
        <v>102</v>
      </c>
      <c r="BF26" s="459"/>
      <c r="BG26" s="46">
        <v>0.58918918918918917</v>
      </c>
      <c r="BH26" s="74"/>
      <c r="BI26" s="459" t="s">
        <v>103</v>
      </c>
      <c r="BJ26" s="459"/>
      <c r="BK26" s="46">
        <v>2.6579173376274823</v>
      </c>
      <c r="BL26" s="45"/>
      <c r="BM26" s="459" t="s">
        <v>102</v>
      </c>
      <c r="BN26" s="459"/>
      <c r="BO26" s="46">
        <v>0.74864864864864866</v>
      </c>
      <c r="BP26" s="74"/>
      <c r="BQ26" s="459" t="s">
        <v>103</v>
      </c>
      <c r="BR26" s="459"/>
      <c r="BS26" s="46">
        <v>2.9588835212023619</v>
      </c>
      <c r="BT26" s="45"/>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c r="II26" s="17"/>
      <c r="IJ26" s="17"/>
      <c r="IK26" s="17"/>
      <c r="IL26" s="17"/>
      <c r="IM26" s="17"/>
      <c r="IN26" s="17"/>
      <c r="IO26" s="17"/>
      <c r="IP26" s="17"/>
      <c r="IQ26" s="17"/>
      <c r="IR26" s="17"/>
      <c r="IS26" s="17"/>
      <c r="IT26" s="17"/>
      <c r="IU26" s="17"/>
      <c r="IV26" s="17"/>
      <c r="IW26" s="17"/>
      <c r="IX26" s="17"/>
      <c r="IY26" s="17"/>
      <c r="IZ26" s="17"/>
      <c r="JA26" s="17"/>
      <c r="JB26" s="17"/>
      <c r="JC26" s="17"/>
      <c r="JD26" s="17"/>
      <c r="JE26" s="17"/>
      <c r="JF26" s="17"/>
      <c r="JG26" s="17"/>
      <c r="JH26" s="17"/>
      <c r="JI26" s="17"/>
      <c r="JJ26" s="17"/>
      <c r="JK26" s="17"/>
      <c r="JL26" s="17"/>
      <c r="JM26" s="17"/>
      <c r="JN26" s="17"/>
      <c r="JO26" s="17"/>
      <c r="JP26" s="17"/>
      <c r="JQ26" s="17"/>
      <c r="JR26" s="17"/>
      <c r="JS26" s="17"/>
      <c r="JT26" s="17"/>
      <c r="JU26" s="17"/>
      <c r="JV26" s="17"/>
      <c r="JW26" s="17"/>
      <c r="JX26" s="17"/>
      <c r="JY26" s="17"/>
      <c r="JZ26" s="17"/>
      <c r="KA26" s="17"/>
      <c r="KB26" s="17"/>
      <c r="KC26" s="17"/>
      <c r="KD26" s="17"/>
      <c r="KE26" s="17"/>
      <c r="KF26" s="17"/>
      <c r="KG26" s="17"/>
      <c r="KH26" s="17"/>
      <c r="KI26" s="17"/>
      <c r="KJ26" s="17"/>
      <c r="KK26" s="17"/>
      <c r="KL26" s="17"/>
      <c r="KM26" s="17"/>
      <c r="KN26" s="17"/>
      <c r="KO26" s="17"/>
      <c r="KP26" s="17"/>
      <c r="KQ26" s="17"/>
      <c r="KR26" s="17"/>
      <c r="KS26" s="17"/>
      <c r="KT26" s="17"/>
      <c r="KU26" s="17"/>
      <c r="KV26" s="17"/>
      <c r="KW26" s="17"/>
      <c r="KX26" s="17"/>
      <c r="KY26" s="17"/>
      <c r="KZ26" s="17"/>
      <c r="LA26" s="17"/>
      <c r="LB26" s="17"/>
      <c r="LC26" s="17"/>
      <c r="LD26" s="17"/>
      <c r="LE26" s="17"/>
      <c r="LF26" s="17"/>
      <c r="LG26" s="17"/>
      <c r="LH26" s="17"/>
      <c r="LI26" s="17"/>
      <c r="LJ26" s="17"/>
      <c r="LK26" s="17"/>
      <c r="LL26" s="17"/>
      <c r="LM26" s="17"/>
      <c r="LN26" s="17"/>
      <c r="LO26" s="17"/>
      <c r="LP26" s="17"/>
      <c r="LQ26" s="17"/>
      <c r="LR26" s="17"/>
      <c r="LS26" s="17"/>
      <c r="LT26" s="17"/>
      <c r="LU26" s="17"/>
      <c r="LV26" s="17"/>
      <c r="LW26" s="17"/>
      <c r="LX26" s="17"/>
      <c r="LY26" s="17"/>
      <c r="LZ26" s="17"/>
      <c r="MA26" s="17"/>
      <c r="MB26" s="17"/>
      <c r="MC26" s="17"/>
      <c r="MD26" s="17"/>
      <c r="ME26" s="17"/>
      <c r="MF26" s="17"/>
      <c r="MG26" s="17"/>
      <c r="MH26" s="17"/>
      <c r="MI26" s="17"/>
      <c r="MJ26" s="17"/>
      <c r="MK26" s="17"/>
      <c r="ML26" s="17"/>
      <c r="MM26" s="17"/>
      <c r="MN26" s="17"/>
      <c r="MO26" s="17"/>
      <c r="MP26" s="17"/>
      <c r="MQ26" s="17"/>
      <c r="MR26" s="17"/>
      <c r="MS26" s="17"/>
      <c r="MT26" s="17"/>
      <c r="MU26" s="17"/>
      <c r="MV26" s="17"/>
      <c r="MW26" s="17"/>
      <c r="MX26" s="17"/>
      <c r="MY26" s="17"/>
      <c r="MZ26" s="17"/>
      <c r="NA26" s="17"/>
      <c r="NB26" s="17"/>
      <c r="NC26" s="17"/>
      <c r="ND26" s="17"/>
      <c r="NE26" s="17"/>
      <c r="NF26" s="17"/>
      <c r="NG26" s="17"/>
      <c r="NH26" s="17"/>
      <c r="NI26" s="17"/>
      <c r="NJ26" s="17"/>
      <c r="NK26" s="17"/>
      <c r="NL26" s="17"/>
      <c r="NM26" s="17"/>
      <c r="NN26" s="17"/>
      <c r="NO26" s="17"/>
      <c r="NP26" s="17"/>
      <c r="NQ26" s="17"/>
      <c r="NR26" s="17"/>
      <c r="NS26" s="17"/>
      <c r="NT26" s="17"/>
      <c r="NU26" s="17"/>
      <c r="NV26" s="17"/>
      <c r="NW26" s="17"/>
      <c r="NX26" s="17"/>
      <c r="NY26" s="17"/>
      <c r="NZ26" s="17"/>
      <c r="OA26" s="17"/>
      <c r="OB26" s="17"/>
      <c r="OC26" s="17"/>
      <c r="OD26" s="17"/>
      <c r="OE26" s="17"/>
      <c r="OF26" s="17"/>
      <c r="OG26" s="17"/>
      <c r="OH26" s="17"/>
      <c r="OI26" s="17"/>
      <c r="OJ26" s="17"/>
      <c r="OK26" s="17"/>
      <c r="OL26" s="17"/>
      <c r="OM26" s="17"/>
      <c r="ON26" s="17"/>
      <c r="OO26" s="17"/>
      <c r="OP26" s="17"/>
      <c r="OQ26" s="17"/>
      <c r="OR26" s="17"/>
      <c r="OS26" s="17"/>
      <c r="OT26" s="17"/>
      <c r="OU26" s="17"/>
      <c r="OV26" s="17"/>
      <c r="OW26" s="17"/>
      <c r="OX26" s="17"/>
      <c r="OY26" s="17"/>
      <c r="OZ26" s="17"/>
      <c r="PA26" s="17"/>
      <c r="PB26" s="17"/>
      <c r="PC26" s="17"/>
      <c r="PD26" s="17"/>
      <c r="PE26" s="17"/>
      <c r="PF26" s="17"/>
      <c r="PG26" s="17"/>
      <c r="PH26" s="17"/>
      <c r="PI26" s="17"/>
      <c r="PJ26" s="17"/>
      <c r="PK26" s="17"/>
      <c r="PL26" s="17"/>
      <c r="PM26" s="17"/>
      <c r="PN26" s="17"/>
      <c r="PO26" s="17"/>
      <c r="PP26" s="17"/>
      <c r="PQ26" s="17"/>
      <c r="PR26" s="17"/>
      <c r="PS26" s="17"/>
      <c r="PT26" s="17"/>
      <c r="PU26" s="17"/>
      <c r="PV26" s="17"/>
      <c r="PW26" s="17"/>
      <c r="PX26" s="17"/>
      <c r="PY26" s="17"/>
      <c r="PZ26" s="17"/>
      <c r="QA26" s="17"/>
      <c r="QB26" s="17"/>
      <c r="QC26" s="17"/>
      <c r="QD26" s="17"/>
      <c r="QE26" s="17"/>
      <c r="QF26" s="17"/>
      <c r="QG26" s="17"/>
      <c r="QH26" s="17"/>
      <c r="QI26" s="17"/>
      <c r="QJ26" s="17"/>
      <c r="QK26" s="17"/>
      <c r="QL26" s="17"/>
      <c r="QM26" s="17"/>
      <c r="QN26" s="17"/>
      <c r="QO26" s="17"/>
      <c r="QP26" s="17"/>
      <c r="QQ26" s="17"/>
      <c r="QR26" s="17"/>
      <c r="QS26" s="17"/>
      <c r="QT26" s="17"/>
      <c r="QU26" s="17"/>
      <c r="QV26" s="17"/>
      <c r="QW26" s="17"/>
      <c r="QX26" s="17"/>
      <c r="QY26" s="17"/>
      <c r="QZ26" s="17"/>
      <c r="RA26" s="17"/>
      <c r="RB26" s="17"/>
      <c r="RC26" s="17"/>
      <c r="RD26" s="17"/>
      <c r="RE26" s="17"/>
      <c r="RF26" s="17"/>
      <c r="RG26" s="17"/>
      <c r="RH26" s="17"/>
      <c r="RI26" s="17"/>
      <c r="RJ26" s="17"/>
      <c r="RK26" s="17"/>
      <c r="RL26" s="17"/>
      <c r="RM26" s="17"/>
      <c r="RN26" s="17"/>
      <c r="RO26" s="17"/>
      <c r="RP26" s="17"/>
      <c r="RQ26" s="17"/>
      <c r="RR26" s="17"/>
      <c r="RS26" s="17"/>
      <c r="RT26" s="17"/>
      <c r="RU26" s="17"/>
      <c r="RV26" s="17"/>
      <c r="RW26" s="17"/>
      <c r="RX26" s="17"/>
      <c r="RY26" s="17"/>
      <c r="RZ26" s="17"/>
      <c r="SA26" s="17"/>
      <c r="SB26" s="17"/>
      <c r="SC26" s="17"/>
      <c r="SD26" s="17"/>
      <c r="SE26" s="17"/>
      <c r="SF26" s="17"/>
      <c r="SG26" s="17"/>
      <c r="SH26" s="17"/>
      <c r="SI26" s="17"/>
      <c r="SJ26" s="17"/>
      <c r="SK26" s="17"/>
      <c r="SL26" s="17"/>
      <c r="SM26" s="17"/>
      <c r="SN26" s="17"/>
      <c r="SO26" s="17"/>
      <c r="SP26" s="17"/>
      <c r="SQ26" s="17"/>
      <c r="SR26" s="17"/>
      <c r="SS26" s="17"/>
      <c r="ST26" s="17"/>
      <c r="SU26" s="17"/>
      <c r="SV26" s="17"/>
      <c r="SW26" s="17"/>
      <c r="SX26" s="17"/>
      <c r="SY26" s="17"/>
      <c r="SZ26" s="17"/>
      <c r="TA26" s="17"/>
      <c r="TB26" s="17"/>
      <c r="TC26" s="17"/>
      <c r="TD26" s="17"/>
      <c r="TE26" s="17"/>
      <c r="TF26" s="17"/>
      <c r="TG26" s="17"/>
      <c r="TH26" s="17"/>
      <c r="TI26" s="17"/>
      <c r="TJ26" s="17"/>
      <c r="TK26" s="17"/>
      <c r="TL26" s="17"/>
      <c r="TM26" s="17"/>
      <c r="TN26" s="17"/>
      <c r="TO26" s="17"/>
      <c r="TP26" s="17"/>
      <c r="TQ26" s="17"/>
      <c r="TR26" s="17"/>
      <c r="TS26" s="17"/>
      <c r="TT26" s="17"/>
      <c r="TU26" s="17"/>
      <c r="TV26" s="17"/>
      <c r="TW26" s="17"/>
      <c r="TX26" s="17"/>
      <c r="TY26" s="17"/>
      <c r="TZ26" s="17"/>
      <c r="UA26" s="17"/>
      <c r="UB26" s="17"/>
      <c r="UC26" s="17"/>
      <c r="UD26" s="17"/>
      <c r="UE26" s="17"/>
      <c r="UF26" s="17"/>
      <c r="UG26" s="17"/>
      <c r="UH26" s="17"/>
      <c r="UI26" s="17"/>
      <c r="UJ26" s="17"/>
      <c r="UK26" s="17"/>
      <c r="UL26" s="17"/>
      <c r="UM26" s="17"/>
      <c r="UN26" s="17"/>
      <c r="UO26" s="17"/>
      <c r="UP26" s="17"/>
      <c r="UQ26" s="17"/>
      <c r="UR26" s="17"/>
      <c r="US26" s="17"/>
      <c r="UT26" s="17"/>
      <c r="UU26" s="17"/>
      <c r="UV26" s="17"/>
      <c r="UW26" s="17"/>
      <c r="UX26" s="17"/>
      <c r="UY26" s="17"/>
      <c r="UZ26" s="17"/>
      <c r="VA26" s="17"/>
      <c r="VB26" s="17"/>
      <c r="VC26" s="17"/>
      <c r="VD26" s="17"/>
      <c r="VE26" s="17"/>
      <c r="VF26" s="17"/>
      <c r="VG26" s="17"/>
      <c r="VH26" s="17"/>
      <c r="VI26" s="17"/>
      <c r="VJ26" s="17"/>
      <c r="VK26" s="17"/>
      <c r="VL26" s="17"/>
      <c r="VM26" s="17"/>
      <c r="VN26" s="17"/>
      <c r="VO26" s="17"/>
      <c r="VP26" s="17"/>
      <c r="VQ26" s="17"/>
      <c r="VR26" s="17"/>
      <c r="VS26" s="17"/>
      <c r="VT26" s="17"/>
      <c r="VU26" s="17"/>
      <c r="VV26" s="17"/>
      <c r="VW26" s="17"/>
      <c r="VX26" s="17"/>
      <c r="VY26" s="17"/>
      <c r="VZ26" s="17"/>
      <c r="WA26" s="17"/>
      <c r="WB26" s="17"/>
      <c r="WC26" s="17"/>
      <c r="WD26" s="17"/>
      <c r="WE26" s="17"/>
      <c r="WF26" s="17"/>
      <c r="WG26" s="17"/>
      <c r="WH26" s="17"/>
      <c r="WI26" s="17"/>
      <c r="WJ26" s="17"/>
      <c r="WK26" s="17"/>
      <c r="WL26" s="17"/>
      <c r="WM26" s="17"/>
      <c r="WN26" s="17"/>
      <c r="WO26" s="17"/>
      <c r="WP26" s="17"/>
      <c r="WQ26" s="17"/>
      <c r="WR26" s="17"/>
      <c r="WS26" s="17"/>
      <c r="WT26" s="17"/>
      <c r="WU26" s="17"/>
      <c r="WV26" s="17"/>
      <c r="WW26" s="17"/>
      <c r="WX26" s="17"/>
      <c r="WY26" s="17"/>
      <c r="WZ26" s="17"/>
      <c r="XA26" s="17"/>
      <c r="XB26" s="17"/>
      <c r="XC26" s="17"/>
      <c r="XD26" s="17"/>
      <c r="XE26" s="17"/>
      <c r="XF26" s="17"/>
      <c r="XG26" s="17"/>
      <c r="XH26" s="17"/>
      <c r="XI26" s="17"/>
      <c r="XJ26" s="17"/>
      <c r="XK26" s="17"/>
      <c r="XL26" s="17"/>
      <c r="XM26" s="17"/>
      <c r="XN26" s="17"/>
      <c r="XO26" s="17"/>
      <c r="XP26" s="17"/>
      <c r="XQ26" s="17"/>
      <c r="XR26" s="17"/>
      <c r="XS26" s="17"/>
      <c r="XT26" s="17"/>
      <c r="XU26" s="17"/>
      <c r="XV26" s="17"/>
      <c r="XW26" s="17"/>
      <c r="XX26" s="17"/>
      <c r="XY26" s="17"/>
      <c r="XZ26" s="17"/>
      <c r="YA26" s="17"/>
      <c r="YB26" s="17"/>
      <c r="YC26" s="17"/>
      <c r="YD26" s="17"/>
      <c r="YE26" s="17"/>
      <c r="YF26" s="17"/>
      <c r="YG26" s="17"/>
      <c r="YH26" s="17"/>
      <c r="YI26" s="17"/>
      <c r="YJ26" s="17"/>
      <c r="YK26" s="17"/>
      <c r="YL26" s="17"/>
      <c r="YM26" s="17"/>
      <c r="YN26" s="17"/>
      <c r="YO26" s="17"/>
      <c r="YP26" s="17"/>
      <c r="YQ26" s="17"/>
      <c r="YR26" s="17"/>
      <c r="YS26" s="17"/>
      <c r="YT26" s="17"/>
      <c r="YU26" s="17"/>
      <c r="YV26" s="17"/>
      <c r="YW26" s="17"/>
      <c r="YX26" s="17"/>
      <c r="YY26" s="17"/>
      <c r="YZ26" s="17"/>
      <c r="ZA26" s="17"/>
      <c r="ZB26" s="17"/>
      <c r="ZC26" s="17"/>
      <c r="ZD26" s="17"/>
      <c r="ZE26" s="17"/>
      <c r="ZF26" s="17"/>
      <c r="ZG26" s="17"/>
      <c r="ZH26" s="17"/>
      <c r="ZI26" s="17"/>
      <c r="ZJ26" s="17"/>
      <c r="ZK26" s="17"/>
    </row>
    <row r="27" spans="1:687" ht="57" customHeight="1" x14ac:dyDescent="0.25">
      <c r="A27" s="112" t="s">
        <v>47</v>
      </c>
      <c r="B27" s="113" t="s">
        <v>48</v>
      </c>
      <c r="C27" s="114" t="s">
        <v>49</v>
      </c>
      <c r="D27" s="114" t="s">
        <v>50</v>
      </c>
      <c r="E27" s="114" t="s">
        <v>51</v>
      </c>
      <c r="F27" s="114" t="s">
        <v>52</v>
      </c>
      <c r="G27" s="114" t="s">
        <v>53</v>
      </c>
      <c r="H27" s="114" t="s">
        <v>54</v>
      </c>
      <c r="I27" s="115" t="s">
        <v>384</v>
      </c>
      <c r="J27" s="673" t="s">
        <v>385</v>
      </c>
      <c r="K27" s="116" t="s">
        <v>509</v>
      </c>
      <c r="L27" s="116" t="s">
        <v>387</v>
      </c>
      <c r="M27" s="116" t="s">
        <v>388</v>
      </c>
      <c r="N27" s="116" t="s">
        <v>60</v>
      </c>
      <c r="O27" s="369"/>
      <c r="P27" s="369">
        <v>1205</v>
      </c>
      <c r="Q27" s="677" t="s">
        <v>435</v>
      </c>
      <c r="R27" s="116" t="s">
        <v>436</v>
      </c>
      <c r="S27" s="374" t="s">
        <v>60</v>
      </c>
      <c r="T27" s="677"/>
      <c r="U27" s="374">
        <v>1205</v>
      </c>
      <c r="V27" s="682">
        <v>287078532</v>
      </c>
      <c r="W27" s="671"/>
      <c r="X27" s="369" t="s">
        <v>510</v>
      </c>
      <c r="Y27" s="374">
        <v>340</v>
      </c>
      <c r="Z27" s="374">
        <f>+P27</f>
        <v>1205</v>
      </c>
      <c r="AA27" s="373">
        <f>+Y27/Z27</f>
        <v>0.28215767634854771</v>
      </c>
      <c r="AB27" s="369" t="s">
        <v>511</v>
      </c>
      <c r="AC27" s="374">
        <v>404</v>
      </c>
      <c r="AD27" s="374">
        <f>+U27</f>
        <v>1205</v>
      </c>
      <c r="AE27" s="373">
        <f t="shared" ref="AE27" si="1">+AC27/AD27</f>
        <v>0.33526970954356844</v>
      </c>
      <c r="AF27" s="369" t="s">
        <v>512</v>
      </c>
      <c r="AG27" s="374">
        <v>475</v>
      </c>
      <c r="AH27" s="374">
        <f>+'[12]PAI SSLA'!P27</f>
        <v>1205</v>
      </c>
      <c r="AI27" s="373">
        <f>+AG27/AH27</f>
        <v>0.39419087136929459</v>
      </c>
      <c r="AJ27" s="369" t="s">
        <v>513</v>
      </c>
      <c r="AK27" s="374">
        <v>538</v>
      </c>
      <c r="AL27" s="374">
        <f>+'[12]PAI SSLA'!U27</f>
        <v>1205</v>
      </c>
      <c r="AM27" s="373">
        <f>+AK27/AL27</f>
        <v>0.44647302904564318</v>
      </c>
      <c r="AN27" s="369" t="s">
        <v>514</v>
      </c>
      <c r="AO27" s="374">
        <v>616</v>
      </c>
      <c r="AP27" s="374">
        <f>+'[13]PAI SSLA'!P27</f>
        <v>1205</v>
      </c>
      <c r="AQ27" s="373">
        <f>+AO27/AP27</f>
        <v>0.51120331950207465</v>
      </c>
      <c r="AR27" s="369" t="s">
        <v>515</v>
      </c>
      <c r="AS27" s="374">
        <v>675</v>
      </c>
      <c r="AT27" s="374">
        <f>+'[13]PAI SSLA'!U27</f>
        <v>1205</v>
      </c>
      <c r="AU27" s="373">
        <f>+AS27/AT27</f>
        <v>0.56016597510373445</v>
      </c>
      <c r="AV27" s="369" t="s">
        <v>516</v>
      </c>
      <c r="AW27" s="374">
        <v>758</v>
      </c>
      <c r="AX27" s="374">
        <v>1205</v>
      </c>
      <c r="AY27" s="373">
        <v>0.62904564315352696</v>
      </c>
      <c r="AZ27" s="369" t="s">
        <v>517</v>
      </c>
      <c r="BA27" s="374">
        <v>788</v>
      </c>
      <c r="BB27" s="374">
        <v>1205</v>
      </c>
      <c r="BC27" s="373">
        <v>0.65394190871369295</v>
      </c>
      <c r="BD27" s="369" t="s">
        <v>518</v>
      </c>
      <c r="BE27" s="374">
        <v>868</v>
      </c>
      <c r="BF27" s="374">
        <v>1205</v>
      </c>
      <c r="BG27" s="373">
        <v>0.72033195020746887</v>
      </c>
      <c r="BH27" s="369" t="s">
        <v>519</v>
      </c>
      <c r="BI27" s="374">
        <v>909</v>
      </c>
      <c r="BJ27" s="374">
        <v>1205</v>
      </c>
      <c r="BK27" s="373">
        <v>0.75435684647302903</v>
      </c>
      <c r="BL27" s="369" t="s">
        <v>520</v>
      </c>
      <c r="BM27" s="374">
        <v>979</v>
      </c>
      <c r="BN27" s="374">
        <v>1205</v>
      </c>
      <c r="BO27" s="373">
        <v>0.81244813278008299</v>
      </c>
      <c r="BP27" s="369" t="s">
        <v>645</v>
      </c>
      <c r="BQ27" s="374">
        <v>1007</v>
      </c>
      <c r="BR27" s="374">
        <v>1205</v>
      </c>
      <c r="BS27" s="373">
        <v>0.83568464730290459</v>
      </c>
      <c r="BT27" s="369" t="s">
        <v>646</v>
      </c>
    </row>
    <row r="28" spans="1:687" s="18" customFormat="1" ht="68.25" customHeight="1" x14ac:dyDescent="0.25">
      <c r="A28" s="39"/>
      <c r="B28" s="39"/>
      <c r="C28" s="39"/>
      <c r="D28" s="39"/>
      <c r="E28" s="39"/>
      <c r="F28" s="39"/>
      <c r="G28" s="39"/>
      <c r="H28" s="39"/>
      <c r="I28" s="39"/>
      <c r="J28" s="676"/>
      <c r="K28" s="676"/>
      <c r="L28" s="676"/>
      <c r="M28" s="676"/>
      <c r="N28" s="676"/>
      <c r="O28" s="676"/>
      <c r="P28" s="93"/>
      <c r="Q28" s="676"/>
      <c r="R28" s="676"/>
      <c r="S28" s="93"/>
      <c r="T28" s="676"/>
      <c r="U28" s="676"/>
      <c r="V28" s="683"/>
      <c r="W28" s="671"/>
      <c r="X28" s="676"/>
      <c r="Y28" s="459" t="s">
        <v>102</v>
      </c>
      <c r="Z28" s="459"/>
      <c r="AA28" s="46">
        <f>AVERAGE(AA27:AA27)</f>
        <v>0.28215767634854771</v>
      </c>
      <c r="AB28" s="74"/>
      <c r="AC28" s="459" t="s">
        <v>103</v>
      </c>
      <c r="AD28" s="459"/>
      <c r="AE28" s="46">
        <f>AVERAGE(AE27:AE27)</f>
        <v>0.33526970954356844</v>
      </c>
      <c r="AF28" s="45"/>
      <c r="AG28" s="459" t="s">
        <v>102</v>
      </c>
      <c r="AH28" s="459"/>
      <c r="AI28" s="46">
        <f>AVERAGE(AI27:AI27)</f>
        <v>0.39419087136929459</v>
      </c>
      <c r="AJ28" s="74"/>
      <c r="AK28" s="459" t="s">
        <v>103</v>
      </c>
      <c r="AL28" s="459"/>
      <c r="AM28" s="46">
        <f>AVERAGE(AM27:AM27)</f>
        <v>0.44647302904564318</v>
      </c>
      <c r="AN28" s="45"/>
      <c r="AO28" s="459" t="s">
        <v>102</v>
      </c>
      <c r="AP28" s="459"/>
      <c r="AQ28" s="46">
        <f>AVERAGE(AQ27:AQ27)</f>
        <v>0.51120331950207465</v>
      </c>
      <c r="AR28" s="74"/>
      <c r="AS28" s="459" t="s">
        <v>103</v>
      </c>
      <c r="AT28" s="459"/>
      <c r="AU28" s="46">
        <f>AVERAGE(AU27:AU27)</f>
        <v>0.56016597510373445</v>
      </c>
      <c r="AV28" s="45"/>
      <c r="AW28" s="459" t="s">
        <v>102</v>
      </c>
      <c r="AX28" s="459"/>
      <c r="AY28" s="46">
        <f>AVERAGE(AY27:AY27)</f>
        <v>0.62904564315352696</v>
      </c>
      <c r="AZ28" s="74"/>
      <c r="BA28" s="459" t="s">
        <v>103</v>
      </c>
      <c r="BB28" s="459"/>
      <c r="BC28" s="46">
        <f>AVERAGE(BC27:BC27)</f>
        <v>0.65394190871369295</v>
      </c>
      <c r="BD28" s="45"/>
      <c r="BE28" s="459" t="s">
        <v>102</v>
      </c>
      <c r="BF28" s="459"/>
      <c r="BG28" s="46">
        <v>0.72033195020746887</v>
      </c>
      <c r="BH28" s="74"/>
      <c r="BI28" s="459" t="s">
        <v>103</v>
      </c>
      <c r="BJ28" s="459"/>
      <c r="BK28" s="46">
        <v>0.75435684647302903</v>
      </c>
      <c r="BL28" s="45"/>
      <c r="BM28" s="459" t="s">
        <v>102</v>
      </c>
      <c r="BN28" s="459"/>
      <c r="BO28" s="46">
        <v>0.81244813278008299</v>
      </c>
      <c r="BP28" s="74"/>
      <c r="BQ28" s="459" t="s">
        <v>103</v>
      </c>
      <c r="BR28" s="459"/>
      <c r="BS28" s="46">
        <v>0.83568464730290459</v>
      </c>
      <c r="BT28" s="45"/>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c r="IV28" s="17"/>
      <c r="IW28" s="17"/>
      <c r="IX28" s="17"/>
      <c r="IY28" s="17"/>
      <c r="IZ28" s="17"/>
      <c r="JA28" s="17"/>
      <c r="JB28" s="17"/>
      <c r="JC28" s="17"/>
      <c r="JD28" s="17"/>
      <c r="JE28" s="17"/>
      <c r="JF28" s="17"/>
      <c r="JG28" s="17"/>
      <c r="JH28" s="17"/>
      <c r="JI28" s="17"/>
      <c r="JJ28" s="17"/>
      <c r="JK28" s="17"/>
      <c r="JL28" s="17"/>
      <c r="JM28" s="17"/>
      <c r="JN28" s="17"/>
      <c r="JO28" s="17"/>
      <c r="JP28" s="17"/>
      <c r="JQ28" s="17"/>
      <c r="JR28" s="17"/>
      <c r="JS28" s="17"/>
      <c r="JT28" s="17"/>
      <c r="JU28" s="17"/>
      <c r="JV28" s="17"/>
      <c r="JW28" s="17"/>
      <c r="JX28" s="17"/>
      <c r="JY28" s="17"/>
      <c r="JZ28" s="17"/>
      <c r="KA28" s="17"/>
      <c r="KB28" s="17"/>
      <c r="KC28" s="17"/>
      <c r="KD28" s="17"/>
      <c r="KE28" s="17"/>
      <c r="KF28" s="17"/>
      <c r="KG28" s="17"/>
      <c r="KH28" s="17"/>
      <c r="KI28" s="17"/>
      <c r="KJ28" s="17"/>
      <c r="KK28" s="17"/>
      <c r="KL28" s="17"/>
      <c r="KM28" s="17"/>
      <c r="KN28" s="17"/>
      <c r="KO28" s="17"/>
      <c r="KP28" s="17"/>
      <c r="KQ28" s="17"/>
      <c r="KR28" s="17"/>
      <c r="KS28" s="17"/>
      <c r="KT28" s="17"/>
      <c r="KU28" s="17"/>
      <c r="KV28" s="17"/>
      <c r="KW28" s="17"/>
      <c r="KX28" s="17"/>
      <c r="KY28" s="17"/>
      <c r="KZ28" s="17"/>
      <c r="LA28" s="17"/>
      <c r="LB28" s="17"/>
      <c r="LC28" s="17"/>
      <c r="LD28" s="17"/>
      <c r="LE28" s="17"/>
      <c r="LF28" s="17"/>
      <c r="LG28" s="17"/>
      <c r="LH28" s="17"/>
      <c r="LI28" s="17"/>
      <c r="LJ28" s="17"/>
      <c r="LK28" s="17"/>
      <c r="LL28" s="17"/>
      <c r="LM28" s="17"/>
      <c r="LN28" s="17"/>
      <c r="LO28" s="17"/>
      <c r="LP28" s="17"/>
      <c r="LQ28" s="17"/>
      <c r="LR28" s="17"/>
      <c r="LS28" s="17"/>
      <c r="LT28" s="17"/>
      <c r="LU28" s="17"/>
      <c r="LV28" s="17"/>
      <c r="LW28" s="17"/>
      <c r="LX28" s="17"/>
      <c r="LY28" s="17"/>
      <c r="LZ28" s="17"/>
      <c r="MA28" s="17"/>
      <c r="MB28" s="17"/>
      <c r="MC28" s="17"/>
      <c r="MD28" s="17"/>
      <c r="ME28" s="17"/>
      <c r="MF28" s="17"/>
      <c r="MG28" s="17"/>
      <c r="MH28" s="17"/>
      <c r="MI28" s="17"/>
      <c r="MJ28" s="17"/>
      <c r="MK28" s="17"/>
      <c r="ML28" s="17"/>
      <c r="MM28" s="17"/>
      <c r="MN28" s="17"/>
      <c r="MO28" s="17"/>
      <c r="MP28" s="17"/>
      <c r="MQ28" s="17"/>
      <c r="MR28" s="17"/>
      <c r="MS28" s="17"/>
      <c r="MT28" s="17"/>
      <c r="MU28" s="17"/>
      <c r="MV28" s="17"/>
      <c r="MW28" s="17"/>
      <c r="MX28" s="17"/>
      <c r="MY28" s="17"/>
      <c r="MZ28" s="17"/>
      <c r="NA28" s="17"/>
      <c r="NB28" s="17"/>
      <c r="NC28" s="17"/>
      <c r="ND28" s="17"/>
      <c r="NE28" s="17"/>
      <c r="NF28" s="17"/>
      <c r="NG28" s="17"/>
      <c r="NH28" s="17"/>
      <c r="NI28" s="17"/>
      <c r="NJ28" s="17"/>
      <c r="NK28" s="17"/>
      <c r="NL28" s="17"/>
      <c r="NM28" s="17"/>
      <c r="NN28" s="17"/>
      <c r="NO28" s="17"/>
      <c r="NP28" s="17"/>
      <c r="NQ28" s="17"/>
      <c r="NR28" s="17"/>
      <c r="NS28" s="17"/>
      <c r="NT28" s="17"/>
      <c r="NU28" s="17"/>
      <c r="NV28" s="17"/>
      <c r="NW28" s="17"/>
      <c r="NX28" s="17"/>
      <c r="NY28" s="17"/>
      <c r="NZ28" s="17"/>
      <c r="OA28" s="17"/>
      <c r="OB28" s="17"/>
      <c r="OC28" s="17"/>
      <c r="OD28" s="17"/>
      <c r="OE28" s="17"/>
      <c r="OF28" s="17"/>
      <c r="OG28" s="17"/>
      <c r="OH28" s="17"/>
      <c r="OI28" s="17"/>
      <c r="OJ28" s="17"/>
      <c r="OK28" s="17"/>
      <c r="OL28" s="17"/>
      <c r="OM28" s="17"/>
      <c r="ON28" s="17"/>
      <c r="OO28" s="17"/>
      <c r="OP28" s="17"/>
      <c r="OQ28" s="17"/>
      <c r="OR28" s="17"/>
      <c r="OS28" s="17"/>
      <c r="OT28" s="17"/>
      <c r="OU28" s="17"/>
      <c r="OV28" s="17"/>
      <c r="OW28" s="17"/>
      <c r="OX28" s="17"/>
      <c r="OY28" s="17"/>
      <c r="OZ28" s="17"/>
      <c r="PA28" s="17"/>
      <c r="PB28" s="17"/>
      <c r="PC28" s="17"/>
      <c r="PD28" s="17"/>
      <c r="PE28" s="17"/>
      <c r="PF28" s="17"/>
      <c r="PG28" s="17"/>
      <c r="PH28" s="17"/>
      <c r="PI28" s="17"/>
      <c r="PJ28" s="17"/>
      <c r="PK28" s="17"/>
      <c r="PL28" s="17"/>
      <c r="PM28" s="17"/>
      <c r="PN28" s="17"/>
      <c r="PO28" s="17"/>
      <c r="PP28" s="17"/>
      <c r="PQ28" s="17"/>
      <c r="PR28" s="17"/>
      <c r="PS28" s="17"/>
      <c r="PT28" s="17"/>
      <c r="PU28" s="17"/>
      <c r="PV28" s="17"/>
      <c r="PW28" s="17"/>
      <c r="PX28" s="17"/>
      <c r="PY28" s="17"/>
      <c r="PZ28" s="17"/>
      <c r="QA28" s="17"/>
      <c r="QB28" s="17"/>
      <c r="QC28" s="17"/>
      <c r="QD28" s="17"/>
      <c r="QE28" s="17"/>
      <c r="QF28" s="17"/>
      <c r="QG28" s="17"/>
      <c r="QH28" s="17"/>
      <c r="QI28" s="17"/>
      <c r="QJ28" s="17"/>
      <c r="QK28" s="17"/>
      <c r="QL28" s="17"/>
      <c r="QM28" s="17"/>
      <c r="QN28" s="17"/>
      <c r="QO28" s="17"/>
      <c r="QP28" s="17"/>
      <c r="QQ28" s="17"/>
      <c r="QR28" s="17"/>
      <c r="QS28" s="17"/>
      <c r="QT28" s="17"/>
      <c r="QU28" s="17"/>
      <c r="QV28" s="17"/>
      <c r="QW28" s="17"/>
      <c r="QX28" s="17"/>
      <c r="QY28" s="17"/>
      <c r="QZ28" s="17"/>
      <c r="RA28" s="17"/>
      <c r="RB28" s="17"/>
      <c r="RC28" s="17"/>
      <c r="RD28" s="17"/>
      <c r="RE28" s="17"/>
      <c r="RF28" s="17"/>
      <c r="RG28" s="17"/>
      <c r="RH28" s="17"/>
      <c r="RI28" s="17"/>
      <c r="RJ28" s="17"/>
      <c r="RK28" s="17"/>
      <c r="RL28" s="17"/>
      <c r="RM28" s="17"/>
      <c r="RN28" s="17"/>
      <c r="RO28" s="17"/>
      <c r="RP28" s="17"/>
      <c r="RQ28" s="17"/>
      <c r="RR28" s="17"/>
      <c r="RS28" s="17"/>
      <c r="RT28" s="17"/>
      <c r="RU28" s="17"/>
      <c r="RV28" s="17"/>
      <c r="RW28" s="17"/>
      <c r="RX28" s="17"/>
      <c r="RY28" s="17"/>
      <c r="RZ28" s="17"/>
      <c r="SA28" s="17"/>
      <c r="SB28" s="17"/>
      <c r="SC28" s="17"/>
      <c r="SD28" s="17"/>
      <c r="SE28" s="17"/>
      <c r="SF28" s="17"/>
      <c r="SG28" s="17"/>
      <c r="SH28" s="17"/>
      <c r="SI28" s="17"/>
      <c r="SJ28" s="17"/>
      <c r="SK28" s="17"/>
      <c r="SL28" s="17"/>
      <c r="SM28" s="17"/>
      <c r="SN28" s="17"/>
      <c r="SO28" s="17"/>
      <c r="SP28" s="17"/>
      <c r="SQ28" s="17"/>
      <c r="SR28" s="17"/>
      <c r="SS28" s="17"/>
      <c r="ST28" s="17"/>
      <c r="SU28" s="17"/>
      <c r="SV28" s="17"/>
      <c r="SW28" s="17"/>
      <c r="SX28" s="17"/>
      <c r="SY28" s="17"/>
      <c r="SZ28" s="17"/>
      <c r="TA28" s="17"/>
      <c r="TB28" s="17"/>
      <c r="TC28" s="17"/>
      <c r="TD28" s="17"/>
      <c r="TE28" s="17"/>
      <c r="TF28" s="17"/>
      <c r="TG28" s="17"/>
      <c r="TH28" s="17"/>
      <c r="TI28" s="17"/>
      <c r="TJ28" s="17"/>
      <c r="TK28" s="17"/>
      <c r="TL28" s="17"/>
      <c r="TM28" s="17"/>
      <c r="TN28" s="17"/>
      <c r="TO28" s="17"/>
      <c r="TP28" s="17"/>
      <c r="TQ28" s="17"/>
      <c r="TR28" s="17"/>
      <c r="TS28" s="17"/>
      <c r="TT28" s="17"/>
      <c r="TU28" s="17"/>
      <c r="TV28" s="17"/>
      <c r="TW28" s="17"/>
      <c r="TX28" s="17"/>
      <c r="TY28" s="17"/>
      <c r="TZ28" s="17"/>
      <c r="UA28" s="17"/>
      <c r="UB28" s="17"/>
      <c r="UC28" s="17"/>
      <c r="UD28" s="17"/>
      <c r="UE28" s="17"/>
      <c r="UF28" s="17"/>
      <c r="UG28" s="17"/>
      <c r="UH28" s="17"/>
      <c r="UI28" s="17"/>
      <c r="UJ28" s="17"/>
      <c r="UK28" s="17"/>
      <c r="UL28" s="17"/>
      <c r="UM28" s="17"/>
      <c r="UN28" s="17"/>
      <c r="UO28" s="17"/>
      <c r="UP28" s="17"/>
      <c r="UQ28" s="17"/>
      <c r="UR28" s="17"/>
      <c r="US28" s="17"/>
      <c r="UT28" s="17"/>
      <c r="UU28" s="17"/>
      <c r="UV28" s="17"/>
      <c r="UW28" s="17"/>
      <c r="UX28" s="17"/>
      <c r="UY28" s="17"/>
      <c r="UZ28" s="17"/>
      <c r="VA28" s="17"/>
      <c r="VB28" s="17"/>
      <c r="VC28" s="17"/>
      <c r="VD28" s="17"/>
      <c r="VE28" s="17"/>
      <c r="VF28" s="17"/>
      <c r="VG28" s="17"/>
      <c r="VH28" s="17"/>
      <c r="VI28" s="17"/>
      <c r="VJ28" s="17"/>
      <c r="VK28" s="17"/>
      <c r="VL28" s="17"/>
      <c r="VM28" s="17"/>
      <c r="VN28" s="17"/>
      <c r="VO28" s="17"/>
      <c r="VP28" s="17"/>
      <c r="VQ28" s="17"/>
      <c r="VR28" s="17"/>
      <c r="VS28" s="17"/>
      <c r="VT28" s="17"/>
      <c r="VU28" s="17"/>
      <c r="VV28" s="17"/>
      <c r="VW28" s="17"/>
      <c r="VX28" s="17"/>
      <c r="VY28" s="17"/>
      <c r="VZ28" s="17"/>
      <c r="WA28" s="17"/>
      <c r="WB28" s="17"/>
      <c r="WC28" s="17"/>
      <c r="WD28" s="17"/>
      <c r="WE28" s="17"/>
      <c r="WF28" s="17"/>
      <c r="WG28" s="17"/>
      <c r="WH28" s="17"/>
      <c r="WI28" s="17"/>
      <c r="WJ28" s="17"/>
      <c r="WK28" s="17"/>
      <c r="WL28" s="17"/>
      <c r="WM28" s="17"/>
      <c r="WN28" s="17"/>
      <c r="WO28" s="17"/>
      <c r="WP28" s="17"/>
      <c r="WQ28" s="17"/>
      <c r="WR28" s="17"/>
      <c r="WS28" s="17"/>
      <c r="WT28" s="17"/>
      <c r="WU28" s="17"/>
      <c r="WV28" s="17"/>
      <c r="WW28" s="17"/>
      <c r="WX28" s="17"/>
      <c r="WY28" s="17"/>
      <c r="WZ28" s="17"/>
      <c r="XA28" s="17"/>
      <c r="XB28" s="17"/>
      <c r="XC28" s="17"/>
      <c r="XD28" s="17"/>
      <c r="XE28" s="17"/>
      <c r="XF28" s="17"/>
      <c r="XG28" s="17"/>
      <c r="XH28" s="17"/>
      <c r="XI28" s="17"/>
      <c r="XJ28" s="17"/>
      <c r="XK28" s="17"/>
      <c r="XL28" s="17"/>
      <c r="XM28" s="17"/>
      <c r="XN28" s="17"/>
      <c r="XO28" s="17"/>
      <c r="XP28" s="17"/>
      <c r="XQ28" s="17"/>
      <c r="XR28" s="17"/>
      <c r="XS28" s="17"/>
      <c r="XT28" s="17"/>
      <c r="XU28" s="17"/>
      <c r="XV28" s="17"/>
      <c r="XW28" s="17"/>
      <c r="XX28" s="17"/>
      <c r="XY28" s="17"/>
      <c r="XZ28" s="17"/>
      <c r="YA28" s="17"/>
      <c r="YB28" s="17"/>
      <c r="YC28" s="17"/>
      <c r="YD28" s="17"/>
      <c r="YE28" s="17"/>
      <c r="YF28" s="17"/>
      <c r="YG28" s="17"/>
      <c r="YH28" s="17"/>
      <c r="YI28" s="17"/>
      <c r="YJ28" s="17"/>
      <c r="YK28" s="17"/>
      <c r="YL28" s="17"/>
      <c r="YM28" s="17"/>
      <c r="YN28" s="17"/>
      <c r="YO28" s="17"/>
      <c r="YP28" s="17"/>
      <c r="YQ28" s="17"/>
      <c r="YR28" s="17"/>
      <c r="YS28" s="17"/>
      <c r="YT28" s="17"/>
      <c r="YU28" s="17"/>
      <c r="YV28" s="17"/>
      <c r="YW28" s="17"/>
      <c r="YX28" s="17"/>
      <c r="YY28" s="17"/>
      <c r="YZ28" s="17"/>
      <c r="ZA28" s="17"/>
      <c r="ZB28" s="17"/>
      <c r="ZC28" s="17"/>
      <c r="ZD28" s="17"/>
      <c r="ZE28" s="17"/>
      <c r="ZF28" s="17"/>
      <c r="ZG28" s="17"/>
      <c r="ZH28" s="17"/>
      <c r="ZI28" s="17"/>
      <c r="ZJ28" s="17"/>
      <c r="ZK28" s="17"/>
    </row>
    <row r="29" spans="1:687" ht="105.75" customHeight="1" x14ac:dyDescent="0.25">
      <c r="A29" s="78" t="s">
        <v>47</v>
      </c>
      <c r="B29" s="78" t="s">
        <v>48</v>
      </c>
      <c r="C29" s="78" t="s">
        <v>49</v>
      </c>
      <c r="D29" s="78" t="s">
        <v>50</v>
      </c>
      <c r="E29" s="78" t="s">
        <v>90</v>
      </c>
      <c r="F29" s="78" t="s">
        <v>52</v>
      </c>
      <c r="G29" s="78" t="s">
        <v>53</v>
      </c>
      <c r="H29" s="78" t="s">
        <v>54</v>
      </c>
      <c r="I29" s="78" t="s">
        <v>384</v>
      </c>
      <c r="J29" s="369" t="s">
        <v>385</v>
      </c>
      <c r="K29" s="369" t="s">
        <v>521</v>
      </c>
      <c r="L29" s="369" t="s">
        <v>522</v>
      </c>
      <c r="M29" s="369" t="s">
        <v>523</v>
      </c>
      <c r="N29" s="369" t="s">
        <v>60</v>
      </c>
      <c r="O29" s="369"/>
      <c r="P29" s="369">
        <v>747</v>
      </c>
      <c r="Q29" s="684"/>
      <c r="R29" s="685"/>
      <c r="S29" s="685"/>
      <c r="T29" s="685"/>
      <c r="U29" s="686"/>
      <c r="V29" s="666">
        <v>547984298</v>
      </c>
      <c r="W29" s="671"/>
      <c r="X29" s="369" t="s">
        <v>524</v>
      </c>
      <c r="Y29" s="369">
        <v>246</v>
      </c>
      <c r="Z29" s="369">
        <f>+P29</f>
        <v>747</v>
      </c>
      <c r="AA29" s="368">
        <f>+Y29/Z29</f>
        <v>0.32931726907630521</v>
      </c>
      <c r="AB29" s="116" t="s">
        <v>525</v>
      </c>
      <c r="AC29" s="684"/>
      <c r="AD29" s="685"/>
      <c r="AE29" s="685"/>
      <c r="AF29" s="686"/>
      <c r="AG29" s="369">
        <v>354</v>
      </c>
      <c r="AH29" s="369">
        <f>+'[12]PAI SSLA'!P29</f>
        <v>747</v>
      </c>
      <c r="AI29" s="368">
        <f>+AG29/AH29</f>
        <v>0.47389558232931728</v>
      </c>
      <c r="AJ29" s="116" t="s">
        <v>526</v>
      </c>
      <c r="AK29" s="684"/>
      <c r="AL29" s="685"/>
      <c r="AM29" s="685"/>
      <c r="AN29" s="686"/>
      <c r="AO29" s="369">
        <v>396</v>
      </c>
      <c r="AP29" s="369">
        <f>+'[13]PAI SSLA'!P29</f>
        <v>747</v>
      </c>
      <c r="AQ29" s="368">
        <f>+AO29/AP29</f>
        <v>0.53012048192771088</v>
      </c>
      <c r="AR29" s="116" t="s">
        <v>527</v>
      </c>
      <c r="AS29" s="684"/>
      <c r="AT29" s="685"/>
      <c r="AU29" s="685"/>
      <c r="AV29" s="686"/>
      <c r="AW29" s="369">
        <v>453</v>
      </c>
      <c r="AX29" s="369">
        <v>747</v>
      </c>
      <c r="AY29" s="368">
        <v>0.60642570281124497</v>
      </c>
      <c r="AZ29" s="116" t="s">
        <v>528</v>
      </c>
      <c r="BA29" s="684"/>
      <c r="BB29" s="685"/>
      <c r="BC29" s="685"/>
      <c r="BD29" s="686"/>
      <c r="BE29" s="369">
        <v>501</v>
      </c>
      <c r="BF29" s="369">
        <v>747</v>
      </c>
      <c r="BG29" s="368">
        <v>0.67068273092369479</v>
      </c>
      <c r="BH29" s="116" t="s">
        <v>529</v>
      </c>
      <c r="BI29" s="684"/>
      <c r="BJ29" s="685"/>
      <c r="BK29" s="685"/>
      <c r="BL29" s="686"/>
      <c r="BM29" s="369">
        <v>544</v>
      </c>
      <c r="BN29" s="369">
        <v>747</v>
      </c>
      <c r="BO29" s="368">
        <v>0.72824631860776434</v>
      </c>
      <c r="BP29" s="116" t="s">
        <v>647</v>
      </c>
      <c r="BQ29" s="684"/>
      <c r="BR29" s="685"/>
      <c r="BS29" s="685"/>
      <c r="BT29" s="686"/>
    </row>
    <row r="30" spans="1:687" ht="90" customHeight="1" x14ac:dyDescent="0.25">
      <c r="A30" s="117" t="s">
        <v>47</v>
      </c>
      <c r="B30" s="117" t="s">
        <v>48</v>
      </c>
      <c r="C30" s="117" t="s">
        <v>49</v>
      </c>
      <c r="D30" s="117" t="s">
        <v>50</v>
      </c>
      <c r="E30" s="117" t="s">
        <v>90</v>
      </c>
      <c r="F30" s="117" t="s">
        <v>52</v>
      </c>
      <c r="G30" s="117" t="s">
        <v>53</v>
      </c>
      <c r="H30" s="117" t="s">
        <v>54</v>
      </c>
      <c r="I30" s="118" t="s">
        <v>384</v>
      </c>
      <c r="J30" s="377" t="s">
        <v>385</v>
      </c>
      <c r="K30" s="377" t="s">
        <v>521</v>
      </c>
      <c r="L30" s="377" t="s">
        <v>530</v>
      </c>
      <c r="M30" s="377" t="s">
        <v>531</v>
      </c>
      <c r="N30" s="377" t="s">
        <v>93</v>
      </c>
      <c r="O30" s="377"/>
      <c r="P30" s="376">
        <v>1</v>
      </c>
      <c r="Q30" s="684"/>
      <c r="R30" s="685"/>
      <c r="S30" s="685"/>
      <c r="T30" s="685"/>
      <c r="U30" s="686"/>
      <c r="V30" s="666"/>
      <c r="W30" s="671"/>
      <c r="X30" s="377" t="s">
        <v>524</v>
      </c>
      <c r="Y30" s="376">
        <f>+(675.52/3150)</f>
        <v>0.21445079365079364</v>
      </c>
      <c r="Z30" s="72">
        <f>+P30</f>
        <v>1</v>
      </c>
      <c r="AA30" s="376">
        <f>+Y30/Z30</f>
        <v>0.21445079365079364</v>
      </c>
      <c r="AB30" s="119" t="s">
        <v>532</v>
      </c>
      <c r="AC30" s="684"/>
      <c r="AD30" s="685"/>
      <c r="AE30" s="685"/>
      <c r="AF30" s="686"/>
      <c r="AG30" s="376">
        <f>+(685.52*100/3150)%</f>
        <v>0.21762539682539683</v>
      </c>
      <c r="AH30" s="72">
        <f>+'[12]PAI SSLA'!P30</f>
        <v>1</v>
      </c>
      <c r="AI30" s="376">
        <f>+AG30/AH30</f>
        <v>0.21762539682539683</v>
      </c>
      <c r="AJ30" s="119" t="s">
        <v>533</v>
      </c>
      <c r="AK30" s="684"/>
      <c r="AL30" s="685"/>
      <c r="AM30" s="685"/>
      <c r="AN30" s="686"/>
      <c r="AO30" s="376">
        <f>+(1131.34*100/3150)%</f>
        <v>0.35915555555555551</v>
      </c>
      <c r="AP30" s="72">
        <f>+'[13]PAI SSLA'!P30</f>
        <v>1</v>
      </c>
      <c r="AQ30" s="376">
        <f>+AO30/AP30</f>
        <v>0.35915555555555551</v>
      </c>
      <c r="AR30" s="119" t="s">
        <v>534</v>
      </c>
      <c r="AS30" s="684"/>
      <c r="AT30" s="685"/>
      <c r="AU30" s="685"/>
      <c r="AV30" s="686"/>
      <c r="AW30" s="376">
        <v>0.55000000000000004</v>
      </c>
      <c r="AX30" s="72">
        <v>1</v>
      </c>
      <c r="AY30" s="376">
        <v>0.55000000000000004</v>
      </c>
      <c r="AZ30" s="119" t="s">
        <v>535</v>
      </c>
      <c r="BA30" s="684"/>
      <c r="BB30" s="685"/>
      <c r="BC30" s="685"/>
      <c r="BD30" s="686"/>
      <c r="BE30" s="376">
        <v>0.62385396825396833</v>
      </c>
      <c r="BF30" s="72">
        <v>1</v>
      </c>
      <c r="BG30" s="376">
        <v>0.62385396825396833</v>
      </c>
      <c r="BH30" s="119" t="s">
        <v>536</v>
      </c>
      <c r="BI30" s="684"/>
      <c r="BJ30" s="685"/>
      <c r="BK30" s="685"/>
      <c r="BL30" s="686"/>
      <c r="BM30" s="376">
        <v>1.0378666666666667</v>
      </c>
      <c r="BN30" s="72">
        <v>1</v>
      </c>
      <c r="BO30" s="376">
        <v>1.0378666666666667</v>
      </c>
      <c r="BP30" s="119" t="s">
        <v>648</v>
      </c>
      <c r="BQ30" s="684"/>
      <c r="BR30" s="685"/>
      <c r="BS30" s="685"/>
      <c r="BT30" s="686"/>
    </row>
    <row r="31" spans="1:687" ht="72.75" customHeight="1" x14ac:dyDescent="0.25">
      <c r="A31" s="78" t="s">
        <v>47</v>
      </c>
      <c r="B31" s="78" t="s">
        <v>48</v>
      </c>
      <c r="C31" s="78" t="s">
        <v>49</v>
      </c>
      <c r="D31" s="78" t="s">
        <v>50</v>
      </c>
      <c r="E31" s="78" t="s">
        <v>90</v>
      </c>
      <c r="F31" s="78" t="s">
        <v>52</v>
      </c>
      <c r="G31" s="78" t="s">
        <v>53</v>
      </c>
      <c r="H31" s="78" t="s">
        <v>54</v>
      </c>
      <c r="I31" s="78" t="s">
        <v>384</v>
      </c>
      <c r="J31" s="369" t="s">
        <v>385</v>
      </c>
      <c r="K31" s="369" t="s">
        <v>521</v>
      </c>
      <c r="L31" s="369" t="s">
        <v>537</v>
      </c>
      <c r="M31" s="369" t="s">
        <v>538</v>
      </c>
      <c r="N31" s="369" t="s">
        <v>60</v>
      </c>
      <c r="O31" s="369"/>
      <c r="P31" s="369">
        <v>171</v>
      </c>
      <c r="Q31" s="684"/>
      <c r="R31" s="685"/>
      <c r="S31" s="685"/>
      <c r="T31" s="685"/>
      <c r="U31" s="686"/>
      <c r="V31" s="666"/>
      <c r="W31" s="671"/>
      <c r="X31" s="369" t="s">
        <v>524</v>
      </c>
      <c r="Y31" s="369">
        <v>80</v>
      </c>
      <c r="Z31" s="369">
        <f>+P31</f>
        <v>171</v>
      </c>
      <c r="AA31" s="368">
        <f>+Y31/Z31</f>
        <v>0.46783625730994149</v>
      </c>
      <c r="AB31" s="116" t="s">
        <v>539</v>
      </c>
      <c r="AC31" s="684"/>
      <c r="AD31" s="685"/>
      <c r="AE31" s="685"/>
      <c r="AF31" s="686"/>
      <c r="AG31" s="369">
        <v>99</v>
      </c>
      <c r="AH31" s="369">
        <f>+'[12]PAI SSLA'!P31</f>
        <v>171</v>
      </c>
      <c r="AI31" s="368">
        <f>+AG31/AH31</f>
        <v>0.57894736842105265</v>
      </c>
      <c r="AJ31" s="116" t="s">
        <v>540</v>
      </c>
      <c r="AK31" s="684"/>
      <c r="AL31" s="685"/>
      <c r="AM31" s="685"/>
      <c r="AN31" s="686"/>
      <c r="AO31" s="369">
        <v>105</v>
      </c>
      <c r="AP31" s="369">
        <f>+'[13]PAI SSLA'!P31</f>
        <v>171</v>
      </c>
      <c r="AQ31" s="368">
        <f>+AO31/AP31</f>
        <v>0.61403508771929827</v>
      </c>
      <c r="AR31" s="116" t="s">
        <v>541</v>
      </c>
      <c r="AS31" s="684"/>
      <c r="AT31" s="685"/>
      <c r="AU31" s="685"/>
      <c r="AV31" s="686"/>
      <c r="AW31" s="369">
        <v>118</v>
      </c>
      <c r="AX31" s="369">
        <v>171</v>
      </c>
      <c r="AY31" s="368">
        <v>0.6900584795321637</v>
      </c>
      <c r="AZ31" s="116" t="s">
        <v>542</v>
      </c>
      <c r="BA31" s="684"/>
      <c r="BB31" s="685"/>
      <c r="BC31" s="685"/>
      <c r="BD31" s="686"/>
      <c r="BE31" s="369">
        <v>139</v>
      </c>
      <c r="BF31" s="369">
        <v>171</v>
      </c>
      <c r="BG31" s="368">
        <v>0.8128654970760234</v>
      </c>
      <c r="BH31" s="116" t="s">
        <v>543</v>
      </c>
      <c r="BI31" s="684"/>
      <c r="BJ31" s="685"/>
      <c r="BK31" s="685"/>
      <c r="BL31" s="686"/>
      <c r="BM31" s="369">
        <v>175</v>
      </c>
      <c r="BN31" s="369">
        <v>171</v>
      </c>
      <c r="BO31" s="368">
        <v>1.0233918128654971</v>
      </c>
      <c r="BP31" s="116" t="s">
        <v>649</v>
      </c>
      <c r="BQ31" s="684"/>
      <c r="BR31" s="685"/>
      <c r="BS31" s="685"/>
      <c r="BT31" s="686"/>
    </row>
    <row r="32" spans="1:687" s="18" customFormat="1" ht="70.5" customHeight="1" x14ac:dyDescent="0.25">
      <c r="A32" s="39"/>
      <c r="B32" s="39"/>
      <c r="C32" s="39"/>
      <c r="D32" s="39"/>
      <c r="E32" s="39"/>
      <c r="F32" s="39"/>
      <c r="G32" s="39"/>
      <c r="H32" s="39"/>
      <c r="I32" s="39"/>
      <c r="J32" s="676"/>
      <c r="K32" s="676"/>
      <c r="L32" s="676"/>
      <c r="M32" s="676"/>
      <c r="N32" s="676"/>
      <c r="O32" s="676"/>
      <c r="P32" s="93"/>
      <c r="Q32" s="676"/>
      <c r="R32" s="676"/>
      <c r="S32" s="93"/>
      <c r="T32" s="676"/>
      <c r="U32" s="676"/>
      <c r="V32" s="683"/>
      <c r="W32" s="671"/>
      <c r="X32" s="676"/>
      <c r="Y32" s="460" t="s">
        <v>102</v>
      </c>
      <c r="Z32" s="460"/>
      <c r="AA32" s="48">
        <f>AVERAGE(AA29:AA31)</f>
        <v>0.33720144001234681</v>
      </c>
      <c r="AB32" s="687"/>
      <c r="AC32" s="460" t="s">
        <v>103</v>
      </c>
      <c r="AD32" s="460"/>
      <c r="AE32" s="48" t="s">
        <v>353</v>
      </c>
      <c r="AF32" s="45"/>
      <c r="AG32" s="460" t="s">
        <v>102</v>
      </c>
      <c r="AH32" s="460"/>
      <c r="AI32" s="48">
        <f>AVERAGE(AI29:AI31)</f>
        <v>0.42348944919192227</v>
      </c>
      <c r="AJ32" s="687"/>
      <c r="AK32" s="460" t="s">
        <v>103</v>
      </c>
      <c r="AL32" s="460"/>
      <c r="AM32" s="48" t="s">
        <v>353</v>
      </c>
      <c r="AN32" s="45"/>
      <c r="AO32" s="460" t="s">
        <v>102</v>
      </c>
      <c r="AP32" s="460"/>
      <c r="AQ32" s="48">
        <f>AVERAGE(AQ29:AQ31)</f>
        <v>0.50110370840085494</v>
      </c>
      <c r="AR32" s="687"/>
      <c r="AS32" s="460" t="s">
        <v>103</v>
      </c>
      <c r="AT32" s="460"/>
      <c r="AU32" s="48" t="s">
        <v>353</v>
      </c>
      <c r="AV32" s="45"/>
      <c r="AW32" s="460" t="s">
        <v>102</v>
      </c>
      <c r="AX32" s="460"/>
      <c r="AY32" s="48">
        <f>AVERAGE(AY29:AY31)</f>
        <v>0.61549472744780287</v>
      </c>
      <c r="AZ32" s="687"/>
      <c r="BA32" s="460" t="s">
        <v>103</v>
      </c>
      <c r="BB32" s="460"/>
      <c r="BC32" s="48" t="s">
        <v>353</v>
      </c>
      <c r="BD32" s="45"/>
      <c r="BE32" s="460" t="s">
        <v>102</v>
      </c>
      <c r="BF32" s="460"/>
      <c r="BG32" s="48">
        <v>0.70246739875122888</v>
      </c>
      <c r="BH32" s="687"/>
      <c r="BI32" s="460" t="s">
        <v>103</v>
      </c>
      <c r="BJ32" s="460"/>
      <c r="BK32" s="48" t="s">
        <v>353</v>
      </c>
      <c r="BL32" s="45"/>
      <c r="BM32" s="460" t="s">
        <v>102</v>
      </c>
      <c r="BN32" s="460"/>
      <c r="BO32" s="48">
        <v>0.92983493271330941</v>
      </c>
      <c r="BP32" s="687"/>
      <c r="BQ32" s="460" t="s">
        <v>103</v>
      </c>
      <c r="BR32" s="460"/>
      <c r="BS32" s="48" t="s">
        <v>353</v>
      </c>
      <c r="BT32" s="45"/>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7"/>
      <c r="EK32" s="17"/>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c r="FQ32" s="17"/>
      <c r="FR32" s="17"/>
      <c r="FS32" s="17"/>
      <c r="FT32" s="17"/>
      <c r="FU32" s="17"/>
      <c r="FV32" s="17"/>
      <c r="FW32" s="17"/>
      <c r="FX32" s="17"/>
      <c r="FY32" s="17"/>
      <c r="FZ32" s="17"/>
      <c r="GA32" s="17"/>
      <c r="GB32" s="17"/>
      <c r="GC32" s="17"/>
      <c r="GD32" s="17"/>
      <c r="GE32" s="17"/>
      <c r="GF32" s="17"/>
      <c r="GG32" s="17"/>
      <c r="GH32" s="17"/>
      <c r="GI32" s="17"/>
      <c r="GJ32" s="17"/>
      <c r="GK32" s="17"/>
      <c r="GL32" s="17"/>
      <c r="GM32" s="17"/>
      <c r="GN32" s="17"/>
      <c r="GO32" s="17"/>
      <c r="GP32" s="17"/>
      <c r="GQ32" s="17"/>
      <c r="GR32" s="17"/>
      <c r="GS32" s="17"/>
      <c r="GT32" s="17"/>
      <c r="GU32" s="17"/>
      <c r="GV32" s="17"/>
      <c r="GW32" s="17"/>
      <c r="GX32" s="17"/>
      <c r="GY32" s="17"/>
      <c r="GZ32" s="17"/>
      <c r="HA32" s="17"/>
      <c r="HB32" s="17"/>
      <c r="HC32" s="17"/>
      <c r="HD32" s="17"/>
      <c r="HE32" s="17"/>
      <c r="HF32" s="17"/>
      <c r="HG32" s="17"/>
      <c r="HH32" s="17"/>
      <c r="HI32" s="17"/>
      <c r="HJ32" s="17"/>
      <c r="HK32" s="17"/>
      <c r="HL32" s="17"/>
      <c r="HM32" s="17"/>
      <c r="HN32" s="17"/>
      <c r="HO32" s="17"/>
      <c r="HP32" s="17"/>
      <c r="HQ32" s="17"/>
      <c r="HR32" s="17"/>
      <c r="HS32" s="17"/>
      <c r="HT32" s="17"/>
      <c r="HU32" s="17"/>
      <c r="HV32" s="17"/>
      <c r="HW32" s="17"/>
      <c r="HX32" s="17"/>
      <c r="HY32" s="17"/>
      <c r="HZ32" s="17"/>
      <c r="IA32" s="17"/>
      <c r="IB32" s="17"/>
      <c r="IC32" s="17"/>
      <c r="ID32" s="17"/>
      <c r="IE32" s="17"/>
      <c r="IF32" s="17"/>
      <c r="IG32" s="17"/>
      <c r="IH32" s="17"/>
      <c r="II32" s="17"/>
      <c r="IJ32" s="17"/>
      <c r="IK32" s="17"/>
      <c r="IL32" s="17"/>
      <c r="IM32" s="17"/>
      <c r="IN32" s="17"/>
      <c r="IO32" s="17"/>
      <c r="IP32" s="17"/>
      <c r="IQ32" s="17"/>
      <c r="IR32" s="17"/>
      <c r="IS32" s="17"/>
      <c r="IT32" s="17"/>
      <c r="IU32" s="17"/>
      <c r="IV32" s="17"/>
      <c r="IW32" s="17"/>
      <c r="IX32" s="17"/>
      <c r="IY32" s="17"/>
      <c r="IZ32" s="17"/>
      <c r="JA32" s="17"/>
      <c r="JB32" s="17"/>
      <c r="JC32" s="17"/>
      <c r="JD32" s="17"/>
      <c r="JE32" s="17"/>
      <c r="JF32" s="17"/>
      <c r="JG32" s="17"/>
      <c r="JH32" s="17"/>
      <c r="JI32" s="17"/>
      <c r="JJ32" s="17"/>
      <c r="JK32" s="17"/>
      <c r="JL32" s="17"/>
      <c r="JM32" s="17"/>
      <c r="JN32" s="17"/>
      <c r="JO32" s="17"/>
      <c r="JP32" s="17"/>
      <c r="JQ32" s="17"/>
      <c r="JR32" s="17"/>
      <c r="JS32" s="17"/>
      <c r="JT32" s="17"/>
      <c r="JU32" s="17"/>
      <c r="JV32" s="17"/>
      <c r="JW32" s="17"/>
      <c r="JX32" s="17"/>
      <c r="JY32" s="17"/>
      <c r="JZ32" s="17"/>
      <c r="KA32" s="17"/>
      <c r="KB32" s="17"/>
      <c r="KC32" s="17"/>
      <c r="KD32" s="17"/>
      <c r="KE32" s="17"/>
      <c r="KF32" s="17"/>
      <c r="KG32" s="17"/>
      <c r="KH32" s="17"/>
      <c r="KI32" s="17"/>
      <c r="KJ32" s="17"/>
      <c r="KK32" s="17"/>
      <c r="KL32" s="17"/>
      <c r="KM32" s="17"/>
      <c r="KN32" s="17"/>
      <c r="KO32" s="17"/>
      <c r="KP32" s="17"/>
      <c r="KQ32" s="17"/>
      <c r="KR32" s="17"/>
      <c r="KS32" s="17"/>
      <c r="KT32" s="17"/>
      <c r="KU32" s="17"/>
      <c r="KV32" s="17"/>
      <c r="KW32" s="17"/>
      <c r="KX32" s="17"/>
      <c r="KY32" s="17"/>
      <c r="KZ32" s="17"/>
      <c r="LA32" s="17"/>
      <c r="LB32" s="17"/>
      <c r="LC32" s="17"/>
      <c r="LD32" s="17"/>
      <c r="LE32" s="17"/>
      <c r="LF32" s="17"/>
      <c r="LG32" s="17"/>
      <c r="LH32" s="17"/>
      <c r="LI32" s="17"/>
      <c r="LJ32" s="17"/>
      <c r="LK32" s="17"/>
      <c r="LL32" s="17"/>
      <c r="LM32" s="17"/>
      <c r="LN32" s="17"/>
      <c r="LO32" s="17"/>
      <c r="LP32" s="17"/>
      <c r="LQ32" s="17"/>
      <c r="LR32" s="17"/>
      <c r="LS32" s="17"/>
      <c r="LT32" s="17"/>
      <c r="LU32" s="17"/>
      <c r="LV32" s="17"/>
      <c r="LW32" s="17"/>
      <c r="LX32" s="17"/>
      <c r="LY32" s="17"/>
      <c r="LZ32" s="17"/>
      <c r="MA32" s="17"/>
      <c r="MB32" s="17"/>
      <c r="MC32" s="17"/>
      <c r="MD32" s="17"/>
      <c r="ME32" s="17"/>
      <c r="MF32" s="17"/>
      <c r="MG32" s="17"/>
      <c r="MH32" s="17"/>
      <c r="MI32" s="17"/>
      <c r="MJ32" s="17"/>
      <c r="MK32" s="17"/>
      <c r="ML32" s="17"/>
      <c r="MM32" s="17"/>
      <c r="MN32" s="17"/>
      <c r="MO32" s="17"/>
      <c r="MP32" s="17"/>
      <c r="MQ32" s="17"/>
      <c r="MR32" s="17"/>
      <c r="MS32" s="17"/>
      <c r="MT32" s="17"/>
      <c r="MU32" s="17"/>
      <c r="MV32" s="17"/>
      <c r="MW32" s="17"/>
      <c r="MX32" s="17"/>
      <c r="MY32" s="17"/>
      <c r="MZ32" s="17"/>
      <c r="NA32" s="17"/>
      <c r="NB32" s="17"/>
      <c r="NC32" s="17"/>
      <c r="ND32" s="17"/>
      <c r="NE32" s="17"/>
      <c r="NF32" s="17"/>
      <c r="NG32" s="17"/>
      <c r="NH32" s="17"/>
      <c r="NI32" s="17"/>
      <c r="NJ32" s="17"/>
      <c r="NK32" s="17"/>
      <c r="NL32" s="17"/>
      <c r="NM32" s="17"/>
      <c r="NN32" s="17"/>
      <c r="NO32" s="17"/>
      <c r="NP32" s="17"/>
      <c r="NQ32" s="17"/>
      <c r="NR32" s="17"/>
      <c r="NS32" s="17"/>
      <c r="NT32" s="17"/>
      <c r="NU32" s="17"/>
      <c r="NV32" s="17"/>
      <c r="NW32" s="17"/>
      <c r="NX32" s="17"/>
      <c r="NY32" s="17"/>
      <c r="NZ32" s="17"/>
      <c r="OA32" s="17"/>
      <c r="OB32" s="17"/>
      <c r="OC32" s="17"/>
      <c r="OD32" s="17"/>
      <c r="OE32" s="17"/>
      <c r="OF32" s="17"/>
      <c r="OG32" s="17"/>
      <c r="OH32" s="17"/>
      <c r="OI32" s="17"/>
      <c r="OJ32" s="17"/>
      <c r="OK32" s="17"/>
      <c r="OL32" s="17"/>
      <c r="OM32" s="17"/>
      <c r="ON32" s="17"/>
      <c r="OO32" s="17"/>
      <c r="OP32" s="17"/>
      <c r="OQ32" s="17"/>
      <c r="OR32" s="17"/>
      <c r="OS32" s="17"/>
      <c r="OT32" s="17"/>
      <c r="OU32" s="17"/>
      <c r="OV32" s="17"/>
      <c r="OW32" s="17"/>
      <c r="OX32" s="17"/>
      <c r="OY32" s="17"/>
      <c r="OZ32" s="17"/>
      <c r="PA32" s="17"/>
      <c r="PB32" s="17"/>
      <c r="PC32" s="17"/>
      <c r="PD32" s="17"/>
      <c r="PE32" s="17"/>
      <c r="PF32" s="17"/>
      <c r="PG32" s="17"/>
      <c r="PH32" s="17"/>
      <c r="PI32" s="17"/>
      <c r="PJ32" s="17"/>
      <c r="PK32" s="17"/>
      <c r="PL32" s="17"/>
      <c r="PM32" s="17"/>
      <c r="PN32" s="17"/>
      <c r="PO32" s="17"/>
      <c r="PP32" s="17"/>
      <c r="PQ32" s="17"/>
      <c r="PR32" s="17"/>
      <c r="PS32" s="17"/>
      <c r="PT32" s="17"/>
      <c r="PU32" s="17"/>
      <c r="PV32" s="17"/>
      <c r="PW32" s="17"/>
      <c r="PX32" s="17"/>
      <c r="PY32" s="17"/>
      <c r="PZ32" s="17"/>
      <c r="QA32" s="17"/>
      <c r="QB32" s="17"/>
      <c r="QC32" s="17"/>
      <c r="QD32" s="17"/>
      <c r="QE32" s="17"/>
      <c r="QF32" s="17"/>
      <c r="QG32" s="17"/>
      <c r="QH32" s="17"/>
      <c r="QI32" s="17"/>
      <c r="QJ32" s="17"/>
      <c r="QK32" s="17"/>
      <c r="QL32" s="17"/>
      <c r="QM32" s="17"/>
      <c r="QN32" s="17"/>
      <c r="QO32" s="17"/>
      <c r="QP32" s="17"/>
      <c r="QQ32" s="17"/>
      <c r="QR32" s="17"/>
      <c r="QS32" s="17"/>
      <c r="QT32" s="17"/>
      <c r="QU32" s="17"/>
      <c r="QV32" s="17"/>
      <c r="QW32" s="17"/>
      <c r="QX32" s="17"/>
      <c r="QY32" s="17"/>
      <c r="QZ32" s="17"/>
      <c r="RA32" s="17"/>
      <c r="RB32" s="17"/>
      <c r="RC32" s="17"/>
      <c r="RD32" s="17"/>
      <c r="RE32" s="17"/>
      <c r="RF32" s="17"/>
      <c r="RG32" s="17"/>
      <c r="RH32" s="17"/>
      <c r="RI32" s="17"/>
      <c r="RJ32" s="17"/>
      <c r="RK32" s="17"/>
      <c r="RL32" s="17"/>
      <c r="RM32" s="17"/>
      <c r="RN32" s="17"/>
      <c r="RO32" s="17"/>
      <c r="RP32" s="17"/>
      <c r="RQ32" s="17"/>
      <c r="RR32" s="17"/>
      <c r="RS32" s="17"/>
      <c r="RT32" s="17"/>
      <c r="RU32" s="17"/>
      <c r="RV32" s="17"/>
      <c r="RW32" s="17"/>
      <c r="RX32" s="17"/>
      <c r="RY32" s="17"/>
      <c r="RZ32" s="17"/>
      <c r="SA32" s="17"/>
      <c r="SB32" s="17"/>
      <c r="SC32" s="17"/>
      <c r="SD32" s="17"/>
      <c r="SE32" s="17"/>
      <c r="SF32" s="17"/>
      <c r="SG32" s="17"/>
      <c r="SH32" s="17"/>
      <c r="SI32" s="17"/>
      <c r="SJ32" s="17"/>
      <c r="SK32" s="17"/>
      <c r="SL32" s="17"/>
      <c r="SM32" s="17"/>
      <c r="SN32" s="17"/>
      <c r="SO32" s="17"/>
      <c r="SP32" s="17"/>
      <c r="SQ32" s="17"/>
      <c r="SR32" s="17"/>
      <c r="SS32" s="17"/>
      <c r="ST32" s="17"/>
      <c r="SU32" s="17"/>
      <c r="SV32" s="17"/>
      <c r="SW32" s="17"/>
      <c r="SX32" s="17"/>
      <c r="SY32" s="17"/>
      <c r="SZ32" s="17"/>
      <c r="TA32" s="17"/>
      <c r="TB32" s="17"/>
      <c r="TC32" s="17"/>
      <c r="TD32" s="17"/>
      <c r="TE32" s="17"/>
      <c r="TF32" s="17"/>
      <c r="TG32" s="17"/>
      <c r="TH32" s="17"/>
      <c r="TI32" s="17"/>
      <c r="TJ32" s="17"/>
      <c r="TK32" s="17"/>
      <c r="TL32" s="17"/>
      <c r="TM32" s="17"/>
      <c r="TN32" s="17"/>
      <c r="TO32" s="17"/>
      <c r="TP32" s="17"/>
      <c r="TQ32" s="17"/>
      <c r="TR32" s="17"/>
      <c r="TS32" s="17"/>
      <c r="TT32" s="17"/>
      <c r="TU32" s="17"/>
      <c r="TV32" s="17"/>
      <c r="TW32" s="17"/>
      <c r="TX32" s="17"/>
      <c r="TY32" s="17"/>
      <c r="TZ32" s="17"/>
      <c r="UA32" s="17"/>
      <c r="UB32" s="17"/>
      <c r="UC32" s="17"/>
      <c r="UD32" s="17"/>
      <c r="UE32" s="17"/>
      <c r="UF32" s="17"/>
      <c r="UG32" s="17"/>
      <c r="UH32" s="17"/>
      <c r="UI32" s="17"/>
      <c r="UJ32" s="17"/>
      <c r="UK32" s="17"/>
      <c r="UL32" s="17"/>
      <c r="UM32" s="17"/>
      <c r="UN32" s="17"/>
      <c r="UO32" s="17"/>
      <c r="UP32" s="17"/>
      <c r="UQ32" s="17"/>
      <c r="UR32" s="17"/>
      <c r="US32" s="17"/>
      <c r="UT32" s="17"/>
      <c r="UU32" s="17"/>
      <c r="UV32" s="17"/>
      <c r="UW32" s="17"/>
      <c r="UX32" s="17"/>
      <c r="UY32" s="17"/>
      <c r="UZ32" s="17"/>
      <c r="VA32" s="17"/>
      <c r="VB32" s="17"/>
      <c r="VC32" s="17"/>
      <c r="VD32" s="17"/>
      <c r="VE32" s="17"/>
      <c r="VF32" s="17"/>
      <c r="VG32" s="17"/>
      <c r="VH32" s="17"/>
      <c r="VI32" s="17"/>
      <c r="VJ32" s="17"/>
      <c r="VK32" s="17"/>
      <c r="VL32" s="17"/>
      <c r="VM32" s="17"/>
      <c r="VN32" s="17"/>
      <c r="VO32" s="17"/>
      <c r="VP32" s="17"/>
      <c r="VQ32" s="17"/>
      <c r="VR32" s="17"/>
      <c r="VS32" s="17"/>
      <c r="VT32" s="17"/>
      <c r="VU32" s="17"/>
      <c r="VV32" s="17"/>
      <c r="VW32" s="17"/>
      <c r="VX32" s="17"/>
      <c r="VY32" s="17"/>
      <c r="VZ32" s="17"/>
      <c r="WA32" s="17"/>
      <c r="WB32" s="17"/>
      <c r="WC32" s="17"/>
      <c r="WD32" s="17"/>
      <c r="WE32" s="17"/>
      <c r="WF32" s="17"/>
      <c r="WG32" s="17"/>
      <c r="WH32" s="17"/>
      <c r="WI32" s="17"/>
      <c r="WJ32" s="17"/>
      <c r="WK32" s="17"/>
      <c r="WL32" s="17"/>
      <c r="WM32" s="17"/>
      <c r="WN32" s="17"/>
      <c r="WO32" s="17"/>
      <c r="WP32" s="17"/>
      <c r="WQ32" s="17"/>
      <c r="WR32" s="17"/>
      <c r="WS32" s="17"/>
      <c r="WT32" s="17"/>
      <c r="WU32" s="17"/>
      <c r="WV32" s="17"/>
      <c r="WW32" s="17"/>
      <c r="WX32" s="17"/>
      <c r="WY32" s="17"/>
      <c r="WZ32" s="17"/>
      <c r="XA32" s="17"/>
      <c r="XB32" s="17"/>
      <c r="XC32" s="17"/>
      <c r="XD32" s="17"/>
      <c r="XE32" s="17"/>
      <c r="XF32" s="17"/>
      <c r="XG32" s="17"/>
      <c r="XH32" s="17"/>
      <c r="XI32" s="17"/>
      <c r="XJ32" s="17"/>
      <c r="XK32" s="17"/>
      <c r="XL32" s="17"/>
      <c r="XM32" s="17"/>
      <c r="XN32" s="17"/>
      <c r="XO32" s="17"/>
      <c r="XP32" s="17"/>
      <c r="XQ32" s="17"/>
      <c r="XR32" s="17"/>
      <c r="XS32" s="17"/>
      <c r="XT32" s="17"/>
      <c r="XU32" s="17"/>
      <c r="XV32" s="17"/>
      <c r="XW32" s="17"/>
      <c r="XX32" s="17"/>
      <c r="XY32" s="17"/>
      <c r="XZ32" s="17"/>
      <c r="YA32" s="17"/>
      <c r="YB32" s="17"/>
      <c r="YC32" s="17"/>
      <c r="YD32" s="17"/>
      <c r="YE32" s="17"/>
      <c r="YF32" s="17"/>
      <c r="YG32" s="17"/>
      <c r="YH32" s="17"/>
      <c r="YI32" s="17"/>
      <c r="YJ32" s="17"/>
      <c r="YK32" s="17"/>
      <c r="YL32" s="17"/>
      <c r="YM32" s="17"/>
      <c r="YN32" s="17"/>
      <c r="YO32" s="17"/>
      <c r="YP32" s="17"/>
      <c r="YQ32" s="17"/>
      <c r="YR32" s="17"/>
      <c r="YS32" s="17"/>
      <c r="YT32" s="17"/>
      <c r="YU32" s="17"/>
      <c r="YV32" s="17"/>
      <c r="YW32" s="17"/>
      <c r="YX32" s="17"/>
      <c r="YY32" s="17"/>
      <c r="YZ32" s="17"/>
      <c r="ZA32" s="17"/>
      <c r="ZB32" s="17"/>
      <c r="ZC32" s="17"/>
      <c r="ZD32" s="17"/>
      <c r="ZE32" s="17"/>
      <c r="ZF32" s="17"/>
      <c r="ZG32" s="17"/>
      <c r="ZH32" s="17"/>
      <c r="ZI32" s="17"/>
      <c r="ZJ32" s="17"/>
      <c r="ZK32" s="17"/>
    </row>
    <row r="33" spans="1:687" ht="67.5" customHeight="1" x14ac:dyDescent="0.25">
      <c r="A33" s="117" t="s">
        <v>47</v>
      </c>
      <c r="B33" s="117" t="s">
        <v>48</v>
      </c>
      <c r="C33" s="117" t="s">
        <v>49</v>
      </c>
      <c r="D33" s="117" t="s">
        <v>50</v>
      </c>
      <c r="E33" s="117" t="s">
        <v>90</v>
      </c>
      <c r="F33" s="117" t="s">
        <v>52</v>
      </c>
      <c r="G33" s="117" t="s">
        <v>53</v>
      </c>
      <c r="H33" s="117" t="s">
        <v>54</v>
      </c>
      <c r="I33" s="117" t="s">
        <v>384</v>
      </c>
      <c r="J33" s="377" t="s">
        <v>385</v>
      </c>
      <c r="K33" s="120" t="s">
        <v>341</v>
      </c>
      <c r="L33" s="120" t="s">
        <v>544</v>
      </c>
      <c r="M33" s="120" t="s">
        <v>545</v>
      </c>
      <c r="N33" s="120" t="s">
        <v>60</v>
      </c>
      <c r="O33" s="120"/>
      <c r="P33" s="120">
        <v>100</v>
      </c>
      <c r="Q33" s="120" t="s">
        <v>546</v>
      </c>
      <c r="R33" s="120" t="s">
        <v>547</v>
      </c>
      <c r="S33" s="120" t="s">
        <v>60</v>
      </c>
      <c r="T33" s="120"/>
      <c r="U33" s="120">
        <v>359</v>
      </c>
      <c r="V33" s="688">
        <v>72858666</v>
      </c>
      <c r="W33" s="671"/>
      <c r="X33" s="120" t="s">
        <v>344</v>
      </c>
      <c r="Y33" s="120">
        <v>0</v>
      </c>
      <c r="Z33" s="120">
        <f>+P33</f>
        <v>100</v>
      </c>
      <c r="AA33" s="121">
        <f>Y33/Z33</f>
        <v>0</v>
      </c>
      <c r="AB33" s="122" t="s">
        <v>548</v>
      </c>
      <c r="AC33" s="120">
        <v>148</v>
      </c>
      <c r="AD33" s="120">
        <f>+U33</f>
        <v>359</v>
      </c>
      <c r="AE33" s="121">
        <f>+AC33/AD33</f>
        <v>0.41225626740947074</v>
      </c>
      <c r="AF33" s="120" t="s">
        <v>549</v>
      </c>
      <c r="AG33" s="123">
        <v>0</v>
      </c>
      <c r="AH33" s="123">
        <v>100</v>
      </c>
      <c r="AI33" s="121">
        <f>AG33/AH33</f>
        <v>0</v>
      </c>
      <c r="AJ33" s="122" t="s">
        <v>550</v>
      </c>
      <c r="AK33" s="120">
        <v>208</v>
      </c>
      <c r="AL33" s="120">
        <f>+'[12]PAI SSLA'!U33</f>
        <v>359</v>
      </c>
      <c r="AM33" s="121">
        <f>+AK33/AL33</f>
        <v>0.57938718662952648</v>
      </c>
      <c r="AN33" s="120" t="s">
        <v>551</v>
      </c>
      <c r="AO33" s="120">
        <v>0</v>
      </c>
      <c r="AP33" s="120">
        <f>+'[13]PAI SSLA'!P33</f>
        <v>100</v>
      </c>
      <c r="AQ33" s="121">
        <f>AO33/AP33</f>
        <v>0</v>
      </c>
      <c r="AR33" s="122" t="s">
        <v>552</v>
      </c>
      <c r="AS33" s="120">
        <v>245</v>
      </c>
      <c r="AT33" s="120">
        <f>+'[13]PAI SSLA'!U33</f>
        <v>359</v>
      </c>
      <c r="AU33" s="121">
        <f>+AS33/AT33</f>
        <v>0.68245125348189417</v>
      </c>
      <c r="AV33" s="120" t="s">
        <v>553</v>
      </c>
      <c r="AW33" s="120">
        <v>0</v>
      </c>
      <c r="AX33" s="120">
        <v>100</v>
      </c>
      <c r="AY33" s="121">
        <v>0</v>
      </c>
      <c r="AZ33" s="122" t="s">
        <v>554</v>
      </c>
      <c r="BA33" s="120">
        <v>308</v>
      </c>
      <c r="BB33" s="120">
        <v>359</v>
      </c>
      <c r="BC33" s="121">
        <v>0.85793871866295268</v>
      </c>
      <c r="BD33" s="120" t="s">
        <v>555</v>
      </c>
      <c r="BE33" s="120">
        <v>0</v>
      </c>
      <c r="BF33" s="120">
        <v>100</v>
      </c>
      <c r="BG33" s="121">
        <v>0</v>
      </c>
      <c r="BH33" s="122" t="s">
        <v>556</v>
      </c>
      <c r="BI33" s="120">
        <v>375</v>
      </c>
      <c r="BJ33" s="120">
        <v>359</v>
      </c>
      <c r="BK33" s="124">
        <v>1.0529247910863511</v>
      </c>
      <c r="BL33" s="120" t="s">
        <v>557</v>
      </c>
      <c r="BM33" s="120">
        <v>0</v>
      </c>
      <c r="BN33" s="120">
        <v>100</v>
      </c>
      <c r="BO33" s="121">
        <v>0</v>
      </c>
      <c r="BP33" s="122" t="s">
        <v>650</v>
      </c>
      <c r="BQ33" s="120">
        <v>445</v>
      </c>
      <c r="BR33" s="120">
        <v>359</v>
      </c>
      <c r="BS33" s="121">
        <v>1.0529247910863511</v>
      </c>
      <c r="BT33" s="120" t="s">
        <v>651</v>
      </c>
    </row>
    <row r="34" spans="1:687" ht="78" customHeight="1" x14ac:dyDescent="0.25">
      <c r="A34" s="117" t="s">
        <v>47</v>
      </c>
      <c r="B34" s="117" t="s">
        <v>48</v>
      </c>
      <c r="C34" s="117" t="s">
        <v>49</v>
      </c>
      <c r="D34" s="117" t="s">
        <v>50</v>
      </c>
      <c r="E34" s="117" t="s">
        <v>90</v>
      </c>
      <c r="F34" s="117" t="s">
        <v>52</v>
      </c>
      <c r="G34" s="117" t="s">
        <v>53</v>
      </c>
      <c r="H34" s="117" t="s">
        <v>54</v>
      </c>
      <c r="I34" s="117" t="s">
        <v>384</v>
      </c>
      <c r="J34" s="377" t="s">
        <v>385</v>
      </c>
      <c r="K34" s="120" t="s">
        <v>341</v>
      </c>
      <c r="L34" s="120" t="s">
        <v>558</v>
      </c>
      <c r="M34" s="120" t="s">
        <v>559</v>
      </c>
      <c r="N34" s="120" t="s">
        <v>60</v>
      </c>
      <c r="O34" s="120">
        <v>14</v>
      </c>
      <c r="P34" s="120">
        <v>14</v>
      </c>
      <c r="Q34" s="684"/>
      <c r="R34" s="685"/>
      <c r="S34" s="685"/>
      <c r="T34" s="685"/>
      <c r="U34" s="686"/>
      <c r="V34" s="689"/>
      <c r="W34" s="671"/>
      <c r="X34" s="120" t="s">
        <v>344</v>
      </c>
      <c r="Y34" s="120">
        <v>1</v>
      </c>
      <c r="Z34" s="120">
        <f>+P34</f>
        <v>14</v>
      </c>
      <c r="AA34" s="121">
        <f>Y34/Z34</f>
        <v>7.1428571428571425E-2</v>
      </c>
      <c r="AB34" s="122" t="s">
        <v>560</v>
      </c>
      <c r="AC34" s="487"/>
      <c r="AD34" s="488"/>
      <c r="AE34" s="488"/>
      <c r="AF34" s="489"/>
      <c r="AG34" s="123">
        <v>1</v>
      </c>
      <c r="AH34" s="123">
        <v>14</v>
      </c>
      <c r="AI34" s="121">
        <f>AG34/AH34</f>
        <v>7.1428571428571425E-2</v>
      </c>
      <c r="AJ34" s="122" t="s">
        <v>561</v>
      </c>
      <c r="AK34" s="487"/>
      <c r="AL34" s="488"/>
      <c r="AM34" s="488"/>
      <c r="AN34" s="489"/>
      <c r="AO34" s="120">
        <v>5</v>
      </c>
      <c r="AP34" s="120">
        <f>+'[13]PAI SSLA'!P34</f>
        <v>14</v>
      </c>
      <c r="AQ34" s="121">
        <f>AO34/AP34</f>
        <v>0.35714285714285715</v>
      </c>
      <c r="AR34" s="122" t="s">
        <v>562</v>
      </c>
      <c r="AS34" s="487"/>
      <c r="AT34" s="488"/>
      <c r="AU34" s="488"/>
      <c r="AV34" s="489"/>
      <c r="AW34" s="120">
        <v>5</v>
      </c>
      <c r="AX34" s="120">
        <v>14</v>
      </c>
      <c r="AY34" s="121">
        <v>0.35714285714285715</v>
      </c>
      <c r="AZ34" s="122" t="s">
        <v>563</v>
      </c>
      <c r="BA34" s="487"/>
      <c r="BB34" s="488"/>
      <c r="BC34" s="488"/>
      <c r="BD34" s="489"/>
      <c r="BE34" s="120">
        <v>5</v>
      </c>
      <c r="BF34" s="120">
        <v>14</v>
      </c>
      <c r="BG34" s="121">
        <v>0.35714285714285715</v>
      </c>
      <c r="BH34" s="122" t="s">
        <v>564</v>
      </c>
      <c r="BI34" s="487"/>
      <c r="BJ34" s="488"/>
      <c r="BK34" s="488"/>
      <c r="BL34" s="489"/>
      <c r="BM34" s="120">
        <v>7</v>
      </c>
      <c r="BN34" s="120">
        <v>14</v>
      </c>
      <c r="BO34" s="121">
        <v>0.5</v>
      </c>
      <c r="BP34" s="122" t="s">
        <v>652</v>
      </c>
      <c r="BQ34" s="487"/>
      <c r="BR34" s="488"/>
      <c r="BS34" s="488"/>
      <c r="BT34" s="489"/>
    </row>
    <row r="35" spans="1:687" s="18" customFormat="1" ht="70.5" customHeight="1" x14ac:dyDescent="0.25">
      <c r="A35" s="39"/>
      <c r="B35" s="39"/>
      <c r="C35" s="39"/>
      <c r="D35" s="39"/>
      <c r="E35" s="39"/>
      <c r="F35" s="39"/>
      <c r="G35" s="39"/>
      <c r="H35" s="39"/>
      <c r="I35" s="39"/>
      <c r="J35" s="676"/>
      <c r="K35" s="676"/>
      <c r="L35" s="676"/>
      <c r="M35" s="676"/>
      <c r="N35" s="676"/>
      <c r="O35" s="676"/>
      <c r="P35" s="93"/>
      <c r="Q35" s="676"/>
      <c r="R35" s="676"/>
      <c r="S35" s="93"/>
      <c r="T35" s="676"/>
      <c r="U35" s="676"/>
      <c r="V35" s="683"/>
      <c r="W35" s="671"/>
      <c r="X35" s="676"/>
      <c r="Y35" s="459" t="s">
        <v>102</v>
      </c>
      <c r="Z35" s="459"/>
      <c r="AA35" s="46">
        <f>AVERAGE(AA33:AA34)</f>
        <v>3.5714285714285712E-2</v>
      </c>
      <c r="AB35" s="74"/>
      <c r="AC35" s="459" t="s">
        <v>103</v>
      </c>
      <c r="AD35" s="459"/>
      <c r="AE35" s="46">
        <f>AVERAGE(AE33)</f>
        <v>0.41225626740947074</v>
      </c>
      <c r="AF35" s="45"/>
      <c r="AG35" s="459" t="s">
        <v>102</v>
      </c>
      <c r="AH35" s="459"/>
      <c r="AI35" s="46">
        <f>AVERAGE(AI33:AI34)</f>
        <v>3.5714285714285712E-2</v>
      </c>
      <c r="AJ35" s="74"/>
      <c r="AK35" s="459" t="s">
        <v>103</v>
      </c>
      <c r="AL35" s="459"/>
      <c r="AM35" s="46">
        <f>AVERAGE(AM33)</f>
        <v>0.57938718662952648</v>
      </c>
      <c r="AN35" s="45"/>
      <c r="AO35" s="459" t="s">
        <v>102</v>
      </c>
      <c r="AP35" s="459"/>
      <c r="AQ35" s="46">
        <f>AVERAGE(AQ33:AQ34)</f>
        <v>0.17857142857142858</v>
      </c>
      <c r="AR35" s="74"/>
      <c r="AS35" s="459" t="s">
        <v>103</v>
      </c>
      <c r="AT35" s="459"/>
      <c r="AU35" s="46">
        <f>AVERAGE(AU33)</f>
        <v>0.68245125348189417</v>
      </c>
      <c r="AV35" s="45"/>
      <c r="AW35" s="459" t="s">
        <v>102</v>
      </c>
      <c r="AX35" s="459"/>
      <c r="AY35" s="46">
        <f>AVERAGE(AY33:AY34)</f>
        <v>0.17857142857142858</v>
      </c>
      <c r="AZ35" s="74"/>
      <c r="BA35" s="459" t="s">
        <v>103</v>
      </c>
      <c r="BB35" s="459"/>
      <c r="BC35" s="46">
        <f>AVERAGE(BC33)</f>
        <v>0.85793871866295268</v>
      </c>
      <c r="BD35" s="45"/>
      <c r="BE35" s="459" t="s">
        <v>102</v>
      </c>
      <c r="BF35" s="459"/>
      <c r="BG35" s="46">
        <v>0.17857142857142858</v>
      </c>
      <c r="BH35" s="74"/>
      <c r="BI35" s="459" t="s">
        <v>103</v>
      </c>
      <c r="BJ35" s="459"/>
      <c r="BK35" s="46">
        <v>1.0529247910863511</v>
      </c>
      <c r="BL35" s="45"/>
      <c r="BM35" s="459" t="s">
        <v>102</v>
      </c>
      <c r="BN35" s="459"/>
      <c r="BO35" s="46">
        <v>0.25</v>
      </c>
      <c r="BP35" s="74"/>
      <c r="BQ35" s="459" t="s">
        <v>103</v>
      </c>
      <c r="BR35" s="459"/>
      <c r="BS35" s="46">
        <v>1.0529247910863511</v>
      </c>
      <c r="BT35" s="45"/>
      <c r="BU35" s="17"/>
      <c r="BV35" s="17"/>
      <c r="BW35" s="17"/>
      <c r="BX35" s="17"/>
      <c r="BY35" s="17"/>
      <c r="BZ35" s="17"/>
      <c r="CA35" s="17"/>
      <c r="CB35" s="17"/>
      <c r="CC35" s="17"/>
      <c r="CD35" s="17"/>
      <c r="CE35" s="17"/>
      <c r="CF35" s="17"/>
      <c r="CG35" s="17"/>
      <c r="CH35" s="17"/>
      <c r="CI35" s="17"/>
      <c r="CJ35" s="17"/>
      <c r="CK35" s="17"/>
      <c r="CL35" s="17"/>
      <c r="CM35" s="17"/>
      <c r="CN35" s="17"/>
      <c r="CO35" s="17"/>
      <c r="CP35" s="17"/>
      <c r="CQ35" s="17"/>
      <c r="CR35" s="17"/>
      <c r="CS35" s="17"/>
      <c r="CT35" s="17"/>
      <c r="CU35" s="17"/>
      <c r="CV35" s="17"/>
      <c r="CW35" s="17"/>
      <c r="CX35" s="17"/>
      <c r="CY35" s="17"/>
      <c r="CZ35" s="17"/>
      <c r="DA35" s="17"/>
      <c r="DB35" s="17"/>
      <c r="DC35" s="17"/>
      <c r="DD35" s="17"/>
      <c r="DE35" s="17"/>
      <c r="DF35" s="17"/>
      <c r="DG35" s="17"/>
      <c r="DH35" s="17"/>
      <c r="DI35" s="17"/>
      <c r="DJ35" s="17"/>
      <c r="DK35" s="17"/>
      <c r="DL35" s="17"/>
      <c r="DM35" s="17"/>
      <c r="DN35" s="17"/>
      <c r="DO35" s="17"/>
      <c r="DP35" s="17"/>
      <c r="DQ35" s="17"/>
      <c r="DR35" s="17"/>
      <c r="DS35" s="17"/>
      <c r="DT35" s="17"/>
      <c r="DU35" s="17"/>
      <c r="DV35" s="17"/>
      <c r="DW35" s="17"/>
      <c r="DX35" s="17"/>
      <c r="DY35" s="17"/>
      <c r="DZ35" s="17"/>
      <c r="EA35" s="17"/>
      <c r="EB35" s="17"/>
      <c r="EC35" s="17"/>
      <c r="ED35" s="17"/>
      <c r="EE35" s="17"/>
      <c r="EF35" s="17"/>
      <c r="EG35" s="17"/>
      <c r="EH35" s="17"/>
      <c r="EI35" s="17"/>
      <c r="EJ35" s="17"/>
      <c r="EK35" s="17"/>
      <c r="EL35" s="17"/>
      <c r="EM35" s="17"/>
      <c r="EN35" s="17"/>
      <c r="EO35" s="17"/>
      <c r="EP35" s="17"/>
      <c r="EQ35" s="17"/>
      <c r="ER35" s="17"/>
      <c r="ES35" s="17"/>
      <c r="ET35" s="17"/>
      <c r="EU35" s="17"/>
      <c r="EV35" s="17"/>
      <c r="EW35" s="17"/>
      <c r="EX35" s="17"/>
      <c r="EY35" s="17"/>
      <c r="EZ35" s="17"/>
      <c r="FA35" s="17"/>
      <c r="FB35" s="17"/>
      <c r="FC35" s="17"/>
      <c r="FD35" s="17"/>
      <c r="FE35" s="17"/>
      <c r="FF35" s="17"/>
      <c r="FG35" s="17"/>
      <c r="FH35" s="17"/>
      <c r="FI35" s="17"/>
      <c r="FJ35" s="17"/>
      <c r="FK35" s="17"/>
      <c r="FL35" s="17"/>
      <c r="FM35" s="17"/>
      <c r="FN35" s="17"/>
      <c r="FO35" s="17"/>
      <c r="FP35" s="17"/>
      <c r="FQ35" s="17"/>
      <c r="FR35" s="17"/>
      <c r="FS35" s="17"/>
      <c r="FT35" s="17"/>
      <c r="FU35" s="17"/>
      <c r="FV35" s="17"/>
      <c r="FW35" s="17"/>
      <c r="FX35" s="17"/>
      <c r="FY35" s="17"/>
      <c r="FZ35" s="17"/>
      <c r="GA35" s="17"/>
      <c r="GB35" s="17"/>
      <c r="GC35" s="17"/>
      <c r="GD35" s="17"/>
      <c r="GE35" s="17"/>
      <c r="GF35" s="17"/>
      <c r="GG35" s="17"/>
      <c r="GH35" s="17"/>
      <c r="GI35" s="17"/>
      <c r="GJ35" s="17"/>
      <c r="GK35" s="17"/>
      <c r="GL35" s="17"/>
      <c r="GM35" s="17"/>
      <c r="GN35" s="17"/>
      <c r="GO35" s="17"/>
      <c r="GP35" s="17"/>
      <c r="GQ35" s="17"/>
      <c r="GR35" s="17"/>
      <c r="GS35" s="17"/>
      <c r="GT35" s="17"/>
      <c r="GU35" s="17"/>
      <c r="GV35" s="17"/>
      <c r="GW35" s="17"/>
      <c r="GX35" s="17"/>
      <c r="GY35" s="17"/>
      <c r="GZ35" s="17"/>
      <c r="HA35" s="17"/>
      <c r="HB35" s="17"/>
      <c r="HC35" s="17"/>
      <c r="HD35" s="17"/>
      <c r="HE35" s="17"/>
      <c r="HF35" s="17"/>
      <c r="HG35" s="17"/>
      <c r="HH35" s="17"/>
      <c r="HI35" s="17"/>
      <c r="HJ35" s="17"/>
      <c r="HK35" s="17"/>
      <c r="HL35" s="17"/>
      <c r="HM35" s="17"/>
      <c r="HN35" s="17"/>
      <c r="HO35" s="17"/>
      <c r="HP35" s="17"/>
      <c r="HQ35" s="17"/>
      <c r="HR35" s="17"/>
      <c r="HS35" s="17"/>
      <c r="HT35" s="17"/>
      <c r="HU35" s="17"/>
      <c r="HV35" s="17"/>
      <c r="HW35" s="17"/>
      <c r="HX35" s="17"/>
      <c r="HY35" s="17"/>
      <c r="HZ35" s="17"/>
      <c r="IA35" s="17"/>
      <c r="IB35" s="17"/>
      <c r="IC35" s="17"/>
      <c r="ID35" s="17"/>
      <c r="IE35" s="17"/>
      <c r="IF35" s="17"/>
      <c r="IG35" s="17"/>
      <c r="IH35" s="17"/>
      <c r="II35" s="17"/>
      <c r="IJ35" s="17"/>
      <c r="IK35" s="17"/>
      <c r="IL35" s="17"/>
      <c r="IM35" s="17"/>
      <c r="IN35" s="17"/>
      <c r="IO35" s="17"/>
      <c r="IP35" s="17"/>
      <c r="IQ35" s="17"/>
      <c r="IR35" s="17"/>
      <c r="IS35" s="17"/>
      <c r="IT35" s="17"/>
      <c r="IU35" s="17"/>
      <c r="IV35" s="17"/>
      <c r="IW35" s="17"/>
      <c r="IX35" s="17"/>
      <c r="IY35" s="17"/>
      <c r="IZ35" s="17"/>
      <c r="JA35" s="17"/>
      <c r="JB35" s="17"/>
      <c r="JC35" s="17"/>
      <c r="JD35" s="17"/>
      <c r="JE35" s="17"/>
      <c r="JF35" s="17"/>
      <c r="JG35" s="17"/>
      <c r="JH35" s="17"/>
      <c r="JI35" s="17"/>
      <c r="JJ35" s="17"/>
      <c r="JK35" s="17"/>
      <c r="JL35" s="17"/>
      <c r="JM35" s="17"/>
      <c r="JN35" s="17"/>
      <c r="JO35" s="17"/>
      <c r="JP35" s="17"/>
      <c r="JQ35" s="17"/>
      <c r="JR35" s="17"/>
      <c r="JS35" s="17"/>
      <c r="JT35" s="17"/>
      <c r="JU35" s="17"/>
      <c r="JV35" s="17"/>
      <c r="JW35" s="17"/>
      <c r="JX35" s="17"/>
      <c r="JY35" s="17"/>
      <c r="JZ35" s="17"/>
      <c r="KA35" s="17"/>
      <c r="KB35" s="17"/>
      <c r="KC35" s="17"/>
      <c r="KD35" s="17"/>
      <c r="KE35" s="17"/>
      <c r="KF35" s="17"/>
      <c r="KG35" s="17"/>
      <c r="KH35" s="17"/>
      <c r="KI35" s="17"/>
      <c r="KJ35" s="17"/>
      <c r="KK35" s="17"/>
      <c r="KL35" s="17"/>
      <c r="KM35" s="17"/>
      <c r="KN35" s="17"/>
      <c r="KO35" s="17"/>
      <c r="KP35" s="17"/>
      <c r="KQ35" s="17"/>
      <c r="KR35" s="17"/>
      <c r="KS35" s="17"/>
      <c r="KT35" s="17"/>
      <c r="KU35" s="17"/>
      <c r="KV35" s="17"/>
      <c r="KW35" s="17"/>
      <c r="KX35" s="17"/>
      <c r="KY35" s="17"/>
      <c r="KZ35" s="17"/>
      <c r="LA35" s="17"/>
      <c r="LB35" s="17"/>
      <c r="LC35" s="17"/>
      <c r="LD35" s="17"/>
      <c r="LE35" s="17"/>
      <c r="LF35" s="17"/>
      <c r="LG35" s="17"/>
      <c r="LH35" s="17"/>
      <c r="LI35" s="17"/>
      <c r="LJ35" s="17"/>
      <c r="LK35" s="17"/>
      <c r="LL35" s="17"/>
      <c r="LM35" s="17"/>
      <c r="LN35" s="17"/>
      <c r="LO35" s="17"/>
      <c r="LP35" s="17"/>
      <c r="LQ35" s="17"/>
      <c r="LR35" s="17"/>
      <c r="LS35" s="17"/>
      <c r="LT35" s="17"/>
      <c r="LU35" s="17"/>
      <c r="LV35" s="17"/>
      <c r="LW35" s="17"/>
      <c r="LX35" s="17"/>
      <c r="LY35" s="17"/>
      <c r="LZ35" s="17"/>
      <c r="MA35" s="17"/>
      <c r="MB35" s="17"/>
      <c r="MC35" s="17"/>
      <c r="MD35" s="17"/>
      <c r="ME35" s="17"/>
      <c r="MF35" s="17"/>
      <c r="MG35" s="17"/>
      <c r="MH35" s="17"/>
      <c r="MI35" s="17"/>
      <c r="MJ35" s="17"/>
      <c r="MK35" s="17"/>
      <c r="ML35" s="17"/>
      <c r="MM35" s="17"/>
      <c r="MN35" s="17"/>
      <c r="MO35" s="17"/>
      <c r="MP35" s="17"/>
      <c r="MQ35" s="17"/>
      <c r="MR35" s="17"/>
      <c r="MS35" s="17"/>
      <c r="MT35" s="17"/>
      <c r="MU35" s="17"/>
      <c r="MV35" s="17"/>
      <c r="MW35" s="17"/>
      <c r="MX35" s="17"/>
      <c r="MY35" s="17"/>
      <c r="MZ35" s="17"/>
      <c r="NA35" s="17"/>
      <c r="NB35" s="17"/>
      <c r="NC35" s="17"/>
      <c r="ND35" s="17"/>
      <c r="NE35" s="17"/>
      <c r="NF35" s="17"/>
      <c r="NG35" s="17"/>
      <c r="NH35" s="17"/>
      <c r="NI35" s="17"/>
      <c r="NJ35" s="17"/>
      <c r="NK35" s="17"/>
      <c r="NL35" s="17"/>
      <c r="NM35" s="17"/>
      <c r="NN35" s="17"/>
      <c r="NO35" s="17"/>
      <c r="NP35" s="17"/>
      <c r="NQ35" s="17"/>
      <c r="NR35" s="17"/>
      <c r="NS35" s="17"/>
      <c r="NT35" s="17"/>
      <c r="NU35" s="17"/>
      <c r="NV35" s="17"/>
      <c r="NW35" s="17"/>
      <c r="NX35" s="17"/>
      <c r="NY35" s="17"/>
      <c r="NZ35" s="17"/>
      <c r="OA35" s="17"/>
      <c r="OB35" s="17"/>
      <c r="OC35" s="17"/>
      <c r="OD35" s="17"/>
      <c r="OE35" s="17"/>
      <c r="OF35" s="17"/>
      <c r="OG35" s="17"/>
      <c r="OH35" s="17"/>
      <c r="OI35" s="17"/>
      <c r="OJ35" s="17"/>
      <c r="OK35" s="17"/>
      <c r="OL35" s="17"/>
      <c r="OM35" s="17"/>
      <c r="ON35" s="17"/>
      <c r="OO35" s="17"/>
      <c r="OP35" s="17"/>
      <c r="OQ35" s="17"/>
      <c r="OR35" s="17"/>
      <c r="OS35" s="17"/>
      <c r="OT35" s="17"/>
      <c r="OU35" s="17"/>
      <c r="OV35" s="17"/>
      <c r="OW35" s="17"/>
      <c r="OX35" s="17"/>
      <c r="OY35" s="17"/>
      <c r="OZ35" s="17"/>
      <c r="PA35" s="17"/>
      <c r="PB35" s="17"/>
      <c r="PC35" s="17"/>
      <c r="PD35" s="17"/>
      <c r="PE35" s="17"/>
      <c r="PF35" s="17"/>
      <c r="PG35" s="17"/>
      <c r="PH35" s="17"/>
      <c r="PI35" s="17"/>
      <c r="PJ35" s="17"/>
      <c r="PK35" s="17"/>
      <c r="PL35" s="17"/>
      <c r="PM35" s="17"/>
      <c r="PN35" s="17"/>
      <c r="PO35" s="17"/>
      <c r="PP35" s="17"/>
      <c r="PQ35" s="17"/>
      <c r="PR35" s="17"/>
      <c r="PS35" s="17"/>
      <c r="PT35" s="17"/>
      <c r="PU35" s="17"/>
      <c r="PV35" s="17"/>
      <c r="PW35" s="17"/>
      <c r="PX35" s="17"/>
      <c r="PY35" s="17"/>
      <c r="PZ35" s="17"/>
      <c r="QA35" s="17"/>
      <c r="QB35" s="17"/>
      <c r="QC35" s="17"/>
      <c r="QD35" s="17"/>
      <c r="QE35" s="17"/>
      <c r="QF35" s="17"/>
      <c r="QG35" s="17"/>
      <c r="QH35" s="17"/>
      <c r="QI35" s="17"/>
      <c r="QJ35" s="17"/>
      <c r="QK35" s="17"/>
      <c r="QL35" s="17"/>
      <c r="QM35" s="17"/>
      <c r="QN35" s="17"/>
      <c r="QO35" s="17"/>
      <c r="QP35" s="17"/>
      <c r="QQ35" s="17"/>
      <c r="QR35" s="17"/>
      <c r="QS35" s="17"/>
      <c r="QT35" s="17"/>
      <c r="QU35" s="17"/>
      <c r="QV35" s="17"/>
      <c r="QW35" s="17"/>
      <c r="QX35" s="17"/>
      <c r="QY35" s="17"/>
      <c r="QZ35" s="17"/>
      <c r="RA35" s="17"/>
      <c r="RB35" s="17"/>
      <c r="RC35" s="17"/>
      <c r="RD35" s="17"/>
      <c r="RE35" s="17"/>
      <c r="RF35" s="17"/>
      <c r="RG35" s="17"/>
      <c r="RH35" s="17"/>
      <c r="RI35" s="17"/>
      <c r="RJ35" s="17"/>
      <c r="RK35" s="17"/>
      <c r="RL35" s="17"/>
      <c r="RM35" s="17"/>
      <c r="RN35" s="17"/>
      <c r="RO35" s="17"/>
      <c r="RP35" s="17"/>
      <c r="RQ35" s="17"/>
      <c r="RR35" s="17"/>
      <c r="RS35" s="17"/>
      <c r="RT35" s="17"/>
      <c r="RU35" s="17"/>
      <c r="RV35" s="17"/>
      <c r="RW35" s="17"/>
      <c r="RX35" s="17"/>
      <c r="RY35" s="17"/>
      <c r="RZ35" s="17"/>
      <c r="SA35" s="17"/>
      <c r="SB35" s="17"/>
      <c r="SC35" s="17"/>
      <c r="SD35" s="17"/>
      <c r="SE35" s="17"/>
      <c r="SF35" s="17"/>
      <c r="SG35" s="17"/>
      <c r="SH35" s="17"/>
      <c r="SI35" s="17"/>
      <c r="SJ35" s="17"/>
      <c r="SK35" s="17"/>
      <c r="SL35" s="17"/>
      <c r="SM35" s="17"/>
      <c r="SN35" s="17"/>
      <c r="SO35" s="17"/>
      <c r="SP35" s="17"/>
      <c r="SQ35" s="17"/>
      <c r="SR35" s="17"/>
      <c r="SS35" s="17"/>
      <c r="ST35" s="17"/>
      <c r="SU35" s="17"/>
      <c r="SV35" s="17"/>
      <c r="SW35" s="17"/>
      <c r="SX35" s="17"/>
      <c r="SY35" s="17"/>
      <c r="SZ35" s="17"/>
      <c r="TA35" s="17"/>
      <c r="TB35" s="17"/>
      <c r="TC35" s="17"/>
      <c r="TD35" s="17"/>
      <c r="TE35" s="17"/>
      <c r="TF35" s="17"/>
      <c r="TG35" s="17"/>
      <c r="TH35" s="17"/>
      <c r="TI35" s="17"/>
      <c r="TJ35" s="17"/>
      <c r="TK35" s="17"/>
      <c r="TL35" s="17"/>
      <c r="TM35" s="17"/>
      <c r="TN35" s="17"/>
      <c r="TO35" s="17"/>
      <c r="TP35" s="17"/>
      <c r="TQ35" s="17"/>
      <c r="TR35" s="17"/>
      <c r="TS35" s="17"/>
      <c r="TT35" s="17"/>
      <c r="TU35" s="17"/>
      <c r="TV35" s="17"/>
      <c r="TW35" s="17"/>
      <c r="TX35" s="17"/>
      <c r="TY35" s="17"/>
      <c r="TZ35" s="17"/>
      <c r="UA35" s="17"/>
      <c r="UB35" s="17"/>
      <c r="UC35" s="17"/>
      <c r="UD35" s="17"/>
      <c r="UE35" s="17"/>
      <c r="UF35" s="17"/>
      <c r="UG35" s="17"/>
      <c r="UH35" s="17"/>
      <c r="UI35" s="17"/>
      <c r="UJ35" s="17"/>
      <c r="UK35" s="17"/>
      <c r="UL35" s="17"/>
      <c r="UM35" s="17"/>
      <c r="UN35" s="17"/>
      <c r="UO35" s="17"/>
      <c r="UP35" s="17"/>
      <c r="UQ35" s="17"/>
      <c r="UR35" s="17"/>
      <c r="US35" s="17"/>
      <c r="UT35" s="17"/>
      <c r="UU35" s="17"/>
      <c r="UV35" s="17"/>
      <c r="UW35" s="17"/>
      <c r="UX35" s="17"/>
      <c r="UY35" s="17"/>
      <c r="UZ35" s="17"/>
      <c r="VA35" s="17"/>
      <c r="VB35" s="17"/>
      <c r="VC35" s="17"/>
      <c r="VD35" s="17"/>
      <c r="VE35" s="17"/>
      <c r="VF35" s="17"/>
      <c r="VG35" s="17"/>
      <c r="VH35" s="17"/>
      <c r="VI35" s="17"/>
      <c r="VJ35" s="17"/>
      <c r="VK35" s="17"/>
      <c r="VL35" s="17"/>
      <c r="VM35" s="17"/>
      <c r="VN35" s="17"/>
      <c r="VO35" s="17"/>
      <c r="VP35" s="17"/>
      <c r="VQ35" s="17"/>
      <c r="VR35" s="17"/>
      <c r="VS35" s="17"/>
      <c r="VT35" s="17"/>
      <c r="VU35" s="17"/>
      <c r="VV35" s="17"/>
      <c r="VW35" s="17"/>
      <c r="VX35" s="17"/>
      <c r="VY35" s="17"/>
      <c r="VZ35" s="17"/>
      <c r="WA35" s="17"/>
      <c r="WB35" s="17"/>
      <c r="WC35" s="17"/>
      <c r="WD35" s="17"/>
      <c r="WE35" s="17"/>
      <c r="WF35" s="17"/>
      <c r="WG35" s="17"/>
      <c r="WH35" s="17"/>
      <c r="WI35" s="17"/>
      <c r="WJ35" s="17"/>
      <c r="WK35" s="17"/>
      <c r="WL35" s="17"/>
      <c r="WM35" s="17"/>
      <c r="WN35" s="17"/>
      <c r="WO35" s="17"/>
      <c r="WP35" s="17"/>
      <c r="WQ35" s="17"/>
      <c r="WR35" s="17"/>
      <c r="WS35" s="17"/>
      <c r="WT35" s="17"/>
      <c r="WU35" s="17"/>
      <c r="WV35" s="17"/>
      <c r="WW35" s="17"/>
      <c r="WX35" s="17"/>
      <c r="WY35" s="17"/>
      <c r="WZ35" s="17"/>
      <c r="XA35" s="17"/>
      <c r="XB35" s="17"/>
      <c r="XC35" s="17"/>
      <c r="XD35" s="17"/>
      <c r="XE35" s="17"/>
      <c r="XF35" s="17"/>
      <c r="XG35" s="17"/>
      <c r="XH35" s="17"/>
      <c r="XI35" s="17"/>
      <c r="XJ35" s="17"/>
      <c r="XK35" s="17"/>
      <c r="XL35" s="17"/>
      <c r="XM35" s="17"/>
      <c r="XN35" s="17"/>
      <c r="XO35" s="17"/>
      <c r="XP35" s="17"/>
      <c r="XQ35" s="17"/>
      <c r="XR35" s="17"/>
      <c r="XS35" s="17"/>
      <c r="XT35" s="17"/>
      <c r="XU35" s="17"/>
      <c r="XV35" s="17"/>
      <c r="XW35" s="17"/>
      <c r="XX35" s="17"/>
      <c r="XY35" s="17"/>
      <c r="XZ35" s="17"/>
      <c r="YA35" s="17"/>
      <c r="YB35" s="17"/>
      <c r="YC35" s="17"/>
      <c r="YD35" s="17"/>
      <c r="YE35" s="17"/>
      <c r="YF35" s="17"/>
      <c r="YG35" s="17"/>
      <c r="YH35" s="17"/>
      <c r="YI35" s="17"/>
      <c r="YJ35" s="17"/>
      <c r="YK35" s="17"/>
      <c r="YL35" s="17"/>
      <c r="YM35" s="17"/>
      <c r="YN35" s="17"/>
      <c r="YO35" s="17"/>
      <c r="YP35" s="17"/>
      <c r="YQ35" s="17"/>
      <c r="YR35" s="17"/>
      <c r="YS35" s="17"/>
      <c r="YT35" s="17"/>
      <c r="YU35" s="17"/>
      <c r="YV35" s="17"/>
      <c r="YW35" s="17"/>
      <c r="YX35" s="17"/>
      <c r="YY35" s="17"/>
      <c r="YZ35" s="17"/>
      <c r="ZA35" s="17"/>
      <c r="ZB35" s="17"/>
      <c r="ZC35" s="17"/>
      <c r="ZD35" s="17"/>
      <c r="ZE35" s="17"/>
      <c r="ZF35" s="17"/>
      <c r="ZG35" s="17"/>
      <c r="ZH35" s="17"/>
      <c r="ZI35" s="17"/>
      <c r="ZJ35" s="17"/>
      <c r="ZK35" s="17"/>
    </row>
    <row r="36" spans="1:687" ht="66.75" customHeight="1" x14ac:dyDescent="0.25">
      <c r="A36" s="59" t="s">
        <v>47</v>
      </c>
      <c r="B36" s="59" t="s">
        <v>48</v>
      </c>
      <c r="C36" s="59" t="s">
        <v>49</v>
      </c>
      <c r="D36" s="59" t="s">
        <v>354</v>
      </c>
      <c r="E36" s="59" t="s">
        <v>90</v>
      </c>
      <c r="F36" s="59" t="s">
        <v>52</v>
      </c>
      <c r="G36" s="59" t="s">
        <v>53</v>
      </c>
      <c r="H36" s="59" t="s">
        <v>54</v>
      </c>
      <c r="I36" s="59" t="s">
        <v>384</v>
      </c>
      <c r="J36" s="377" t="s">
        <v>385</v>
      </c>
      <c r="K36" s="377" t="s">
        <v>355</v>
      </c>
      <c r="L36" s="377" t="s">
        <v>565</v>
      </c>
      <c r="M36" s="377" t="s">
        <v>566</v>
      </c>
      <c r="N36" s="377" t="s">
        <v>60</v>
      </c>
      <c r="O36" s="377">
        <v>2800</v>
      </c>
      <c r="P36" s="377">
        <v>2800</v>
      </c>
      <c r="Q36" s="690"/>
      <c r="R36" s="690"/>
      <c r="S36" s="690"/>
      <c r="T36" s="690"/>
      <c r="U36" s="690"/>
      <c r="V36" s="666">
        <v>388708264</v>
      </c>
      <c r="W36" s="671"/>
      <c r="X36" s="377" t="s">
        <v>391</v>
      </c>
      <c r="Y36" s="377">
        <v>1622</v>
      </c>
      <c r="Z36" s="377">
        <f>+P36</f>
        <v>2800</v>
      </c>
      <c r="AA36" s="376">
        <f>+Y36/Z36</f>
        <v>0.57928571428571429</v>
      </c>
      <c r="AB36" s="119" t="s">
        <v>567</v>
      </c>
      <c r="AC36" s="690"/>
      <c r="AD36" s="690"/>
      <c r="AE36" s="690"/>
      <c r="AF36" s="690"/>
      <c r="AG36" s="377">
        <v>2064</v>
      </c>
      <c r="AH36" s="377">
        <f>+'[12]PAI SSLA'!P36</f>
        <v>2800</v>
      </c>
      <c r="AI36" s="376">
        <f>+AG36/AH36</f>
        <v>0.7371428571428571</v>
      </c>
      <c r="AJ36" s="119" t="s">
        <v>568</v>
      </c>
      <c r="AK36" s="690"/>
      <c r="AL36" s="690"/>
      <c r="AM36" s="690"/>
      <c r="AN36" s="690"/>
      <c r="AO36" s="377">
        <v>2504</v>
      </c>
      <c r="AP36" s="377">
        <f>+'[13]PAI SSLA'!P36</f>
        <v>2800</v>
      </c>
      <c r="AQ36" s="376">
        <f>+AO36/AP36</f>
        <v>0.89428571428571424</v>
      </c>
      <c r="AR36" s="119" t="s">
        <v>569</v>
      </c>
      <c r="AS36" s="690"/>
      <c r="AT36" s="690"/>
      <c r="AU36" s="690"/>
      <c r="AV36" s="690"/>
      <c r="AW36" s="377">
        <v>3046</v>
      </c>
      <c r="AX36" s="377">
        <v>2800</v>
      </c>
      <c r="AY36" s="376">
        <v>1.0878571428571429</v>
      </c>
      <c r="AZ36" s="119" t="s">
        <v>570</v>
      </c>
      <c r="BA36" s="690"/>
      <c r="BB36" s="690"/>
      <c r="BC36" s="690"/>
      <c r="BD36" s="690"/>
      <c r="BE36" s="377">
        <v>3444</v>
      </c>
      <c r="BF36" s="377">
        <v>2800</v>
      </c>
      <c r="BG36" s="125">
        <v>1.23</v>
      </c>
      <c r="BH36" s="119" t="s">
        <v>571</v>
      </c>
      <c r="BI36" s="690"/>
      <c r="BJ36" s="690"/>
      <c r="BK36" s="690"/>
      <c r="BL36" s="690"/>
      <c r="BM36" s="377">
        <v>3860</v>
      </c>
      <c r="BN36" s="377">
        <v>2800</v>
      </c>
      <c r="BO36" s="376">
        <v>1.3785714285714286</v>
      </c>
      <c r="BP36" s="119" t="s">
        <v>653</v>
      </c>
      <c r="BQ36" s="690"/>
      <c r="BR36" s="690"/>
      <c r="BS36" s="690"/>
      <c r="BT36" s="690"/>
    </row>
    <row r="37" spans="1:687" ht="51.75" customHeight="1" x14ac:dyDescent="0.25">
      <c r="A37" s="50" t="s">
        <v>47</v>
      </c>
      <c r="B37" s="50" t="s">
        <v>48</v>
      </c>
      <c r="C37" s="50" t="s">
        <v>49</v>
      </c>
      <c r="D37" s="50" t="s">
        <v>354</v>
      </c>
      <c r="E37" s="50" t="s">
        <v>90</v>
      </c>
      <c r="F37" s="50" t="s">
        <v>52</v>
      </c>
      <c r="G37" s="50" t="s">
        <v>53</v>
      </c>
      <c r="H37" s="50" t="s">
        <v>54</v>
      </c>
      <c r="I37" s="50" t="s">
        <v>384</v>
      </c>
      <c r="J37" s="369" t="s">
        <v>385</v>
      </c>
      <c r="K37" s="369" t="s">
        <v>355</v>
      </c>
      <c r="L37" s="369" t="s">
        <v>572</v>
      </c>
      <c r="M37" s="369" t="s">
        <v>573</v>
      </c>
      <c r="N37" s="369" t="s">
        <v>60</v>
      </c>
      <c r="O37" s="369"/>
      <c r="P37" s="369">
        <v>1365</v>
      </c>
      <c r="Q37" s="690"/>
      <c r="R37" s="690"/>
      <c r="S37" s="690"/>
      <c r="T37" s="690"/>
      <c r="U37" s="690"/>
      <c r="V37" s="666"/>
      <c r="W37" s="671"/>
      <c r="X37" s="126" t="s">
        <v>391</v>
      </c>
      <c r="Y37" s="374">
        <v>180</v>
      </c>
      <c r="Z37" s="374">
        <f>+P37</f>
        <v>1365</v>
      </c>
      <c r="AA37" s="373">
        <f>+Y37/Z37</f>
        <v>0.13186813186813187</v>
      </c>
      <c r="AB37" s="116" t="s">
        <v>574</v>
      </c>
      <c r="AC37" s="483"/>
      <c r="AD37" s="483"/>
      <c r="AE37" s="483"/>
      <c r="AF37" s="483"/>
      <c r="AG37" s="374">
        <v>263</v>
      </c>
      <c r="AH37" s="374">
        <f>+'[12]PAI SSLA'!P37</f>
        <v>1365</v>
      </c>
      <c r="AI37" s="373">
        <f>+AG37/AH37</f>
        <v>0.19267399267399268</v>
      </c>
      <c r="AJ37" s="116" t="s">
        <v>575</v>
      </c>
      <c r="AK37" s="483"/>
      <c r="AL37" s="483"/>
      <c r="AM37" s="483"/>
      <c r="AN37" s="483"/>
      <c r="AO37" s="374">
        <v>0</v>
      </c>
      <c r="AP37" s="374">
        <f>+'[13]PAI SSLA'!P37</f>
        <v>1365</v>
      </c>
      <c r="AQ37" s="373">
        <f>+AO37/AP37</f>
        <v>0</v>
      </c>
      <c r="AR37" s="116" t="s">
        <v>576</v>
      </c>
      <c r="AS37" s="483"/>
      <c r="AT37" s="483"/>
      <c r="AU37" s="483"/>
      <c r="AV37" s="483"/>
      <c r="AW37" s="374">
        <v>408</v>
      </c>
      <c r="AX37" s="374">
        <v>1365</v>
      </c>
      <c r="AY37" s="373">
        <v>0.29890109890109889</v>
      </c>
      <c r="AZ37" s="116" t="s">
        <v>577</v>
      </c>
      <c r="BA37" s="483"/>
      <c r="BB37" s="483"/>
      <c r="BC37" s="483"/>
      <c r="BD37" s="483"/>
      <c r="BE37" s="374">
        <v>497</v>
      </c>
      <c r="BF37" s="374">
        <v>1365</v>
      </c>
      <c r="BG37" s="373">
        <v>0.36410256410256409</v>
      </c>
      <c r="BH37" s="116" t="s">
        <v>578</v>
      </c>
      <c r="BI37" s="483"/>
      <c r="BJ37" s="483"/>
      <c r="BK37" s="483"/>
      <c r="BL37" s="483"/>
      <c r="BM37" s="374">
        <v>567</v>
      </c>
      <c r="BN37" s="374">
        <v>1365</v>
      </c>
      <c r="BO37" s="133">
        <v>0.41538461538461541</v>
      </c>
      <c r="BP37" s="116" t="s">
        <v>654</v>
      </c>
      <c r="BQ37" s="483"/>
      <c r="BR37" s="483"/>
      <c r="BS37" s="483"/>
      <c r="BT37" s="483"/>
    </row>
    <row r="38" spans="1:687" ht="66.75" customHeight="1" x14ac:dyDescent="0.25">
      <c r="A38" s="59" t="s">
        <v>47</v>
      </c>
      <c r="B38" s="59" t="s">
        <v>48</v>
      </c>
      <c r="C38" s="59" t="s">
        <v>49</v>
      </c>
      <c r="D38" s="59" t="s">
        <v>354</v>
      </c>
      <c r="E38" s="59" t="s">
        <v>90</v>
      </c>
      <c r="F38" s="59" t="s">
        <v>52</v>
      </c>
      <c r="G38" s="59" t="s">
        <v>53</v>
      </c>
      <c r="H38" s="59" t="s">
        <v>54</v>
      </c>
      <c r="I38" s="59" t="s">
        <v>384</v>
      </c>
      <c r="J38" s="377" t="s">
        <v>385</v>
      </c>
      <c r="K38" s="377" t="s">
        <v>355</v>
      </c>
      <c r="L38" s="377" t="s">
        <v>579</v>
      </c>
      <c r="M38" s="377" t="s">
        <v>580</v>
      </c>
      <c r="N38" s="377" t="s">
        <v>60</v>
      </c>
      <c r="O38" s="377"/>
      <c r="P38" s="377">
        <v>1365</v>
      </c>
      <c r="Q38" s="690"/>
      <c r="R38" s="690"/>
      <c r="S38" s="690"/>
      <c r="T38" s="690"/>
      <c r="U38" s="690"/>
      <c r="V38" s="666"/>
      <c r="W38" s="671"/>
      <c r="X38" s="377" t="s">
        <v>391</v>
      </c>
      <c r="Y38" s="374">
        <v>257</v>
      </c>
      <c r="Z38" s="377">
        <f>+P38</f>
        <v>1365</v>
      </c>
      <c r="AA38" s="376">
        <f>+Y38/Z38</f>
        <v>0.18827838827838828</v>
      </c>
      <c r="AB38" s="116" t="s">
        <v>581</v>
      </c>
      <c r="AC38" s="690"/>
      <c r="AD38" s="690"/>
      <c r="AE38" s="690"/>
      <c r="AF38" s="690"/>
      <c r="AG38" s="374">
        <f>263+123</f>
        <v>386</v>
      </c>
      <c r="AH38" s="377">
        <f>+'[12]PAI SSLA'!P38</f>
        <v>1365</v>
      </c>
      <c r="AI38" s="376">
        <f>+AG38/AH38</f>
        <v>0.28278388278388278</v>
      </c>
      <c r="AJ38" s="116" t="s">
        <v>582</v>
      </c>
      <c r="AK38" s="690"/>
      <c r="AL38" s="690"/>
      <c r="AM38" s="690"/>
      <c r="AN38" s="690"/>
      <c r="AO38" s="377">
        <v>446</v>
      </c>
      <c r="AP38" s="377">
        <f>+'[13]PAI SSLA'!P38</f>
        <v>1365</v>
      </c>
      <c r="AQ38" s="376">
        <f>+AO38/AP38</f>
        <v>0.32673992673992674</v>
      </c>
      <c r="AR38" s="119" t="s">
        <v>583</v>
      </c>
      <c r="AS38" s="690"/>
      <c r="AT38" s="690"/>
      <c r="AU38" s="690"/>
      <c r="AV38" s="690"/>
      <c r="AW38" s="377">
        <v>408</v>
      </c>
      <c r="AX38" s="377">
        <v>1365</v>
      </c>
      <c r="AY38" s="376">
        <v>0.29890109890109889</v>
      </c>
      <c r="AZ38" s="119" t="s">
        <v>584</v>
      </c>
      <c r="BA38" s="690"/>
      <c r="BB38" s="690"/>
      <c r="BC38" s="690"/>
      <c r="BD38" s="690"/>
      <c r="BE38" s="377">
        <v>641</v>
      </c>
      <c r="BF38" s="377">
        <v>1365</v>
      </c>
      <c r="BG38" s="376">
        <v>0.46959706959706959</v>
      </c>
      <c r="BH38" s="119" t="s">
        <v>585</v>
      </c>
      <c r="BI38" s="690"/>
      <c r="BJ38" s="690"/>
      <c r="BK38" s="690"/>
      <c r="BL38" s="690"/>
      <c r="BM38" s="377">
        <v>750</v>
      </c>
      <c r="BN38" s="377">
        <v>1365</v>
      </c>
      <c r="BO38" s="376">
        <v>0.5494505494505495</v>
      </c>
      <c r="BP38" s="119" t="s">
        <v>655</v>
      </c>
      <c r="BQ38" s="690"/>
      <c r="BR38" s="690"/>
      <c r="BS38" s="690"/>
      <c r="BT38" s="690"/>
    </row>
    <row r="39" spans="1:687" s="18" customFormat="1" ht="70.5" customHeight="1" x14ac:dyDescent="0.25">
      <c r="A39" s="39"/>
      <c r="B39" s="39"/>
      <c r="C39" s="39"/>
      <c r="D39" s="39"/>
      <c r="E39" s="39"/>
      <c r="F39" s="39"/>
      <c r="G39" s="39"/>
      <c r="H39" s="39"/>
      <c r="I39" s="39"/>
      <c r="J39" s="676"/>
      <c r="K39" s="676"/>
      <c r="L39" s="676"/>
      <c r="M39" s="676"/>
      <c r="N39" s="676"/>
      <c r="O39" s="676"/>
      <c r="P39" s="93"/>
      <c r="Q39" s="676"/>
      <c r="R39" s="676"/>
      <c r="S39" s="93"/>
      <c r="T39" s="676"/>
      <c r="U39" s="676"/>
      <c r="V39" s="683"/>
      <c r="W39" s="671"/>
      <c r="X39" s="676"/>
      <c r="Y39" s="459" t="s">
        <v>102</v>
      </c>
      <c r="Z39" s="459"/>
      <c r="AA39" s="46">
        <f>AVERAGE(AA36,AA37,AA38)</f>
        <v>0.29981074481074482</v>
      </c>
      <c r="AB39" s="74"/>
      <c r="AC39" s="459" t="s">
        <v>103</v>
      </c>
      <c r="AD39" s="459"/>
      <c r="AE39" s="48" t="s">
        <v>353</v>
      </c>
      <c r="AF39" s="45"/>
      <c r="AG39" s="459" t="s">
        <v>102</v>
      </c>
      <c r="AH39" s="459"/>
      <c r="AI39" s="46">
        <f>AVERAGE(AI36,AI37,AI38)</f>
        <v>0.4042002442002442</v>
      </c>
      <c r="AJ39" s="74"/>
      <c r="AK39" s="459" t="s">
        <v>103</v>
      </c>
      <c r="AL39" s="459"/>
      <c r="AM39" s="48" t="s">
        <v>353</v>
      </c>
      <c r="AN39" s="45"/>
      <c r="AO39" s="459" t="s">
        <v>102</v>
      </c>
      <c r="AP39" s="459"/>
      <c r="AQ39" s="46">
        <f>AVERAGE(AQ36,AQ37,AQ38)</f>
        <v>0.40700854700854699</v>
      </c>
      <c r="AR39" s="74"/>
      <c r="AS39" s="459" t="s">
        <v>103</v>
      </c>
      <c r="AT39" s="459"/>
      <c r="AU39" s="48" t="s">
        <v>353</v>
      </c>
      <c r="AV39" s="45"/>
      <c r="AW39" s="459" t="s">
        <v>102</v>
      </c>
      <c r="AX39" s="459"/>
      <c r="AY39" s="46">
        <f>AVERAGE(AY36,AY37,AY38)</f>
        <v>0.56188644688644696</v>
      </c>
      <c r="AZ39" s="74"/>
      <c r="BA39" s="459" t="s">
        <v>103</v>
      </c>
      <c r="BB39" s="459"/>
      <c r="BC39" s="48" t="s">
        <v>353</v>
      </c>
      <c r="BD39" s="45"/>
      <c r="BE39" s="459" t="s">
        <v>102</v>
      </c>
      <c r="BF39" s="459"/>
      <c r="BG39" s="46">
        <v>0.68789987789987794</v>
      </c>
      <c r="BH39" s="74"/>
      <c r="BI39" s="459" t="s">
        <v>103</v>
      </c>
      <c r="BJ39" s="459"/>
      <c r="BK39" s="48" t="s">
        <v>353</v>
      </c>
      <c r="BL39" s="45"/>
      <c r="BM39" s="459" t="s">
        <v>102</v>
      </c>
      <c r="BN39" s="459"/>
      <c r="BO39" s="46">
        <v>0.78113553113553114</v>
      </c>
      <c r="BP39" s="74"/>
      <c r="BQ39" s="459" t="s">
        <v>103</v>
      </c>
      <c r="BR39" s="459"/>
      <c r="BS39" s="48" t="s">
        <v>353</v>
      </c>
      <c r="BT39" s="45"/>
      <c r="BU39" s="17"/>
      <c r="BV39" s="17"/>
      <c r="BW39" s="17"/>
      <c r="BX39" s="17"/>
      <c r="BY39" s="17"/>
      <c r="BZ39" s="17"/>
      <c r="CA39" s="17"/>
      <c r="CB39" s="17"/>
      <c r="CC39" s="17"/>
      <c r="CD39" s="17"/>
      <c r="CE39" s="17"/>
      <c r="CF39" s="17"/>
      <c r="CG39" s="17"/>
      <c r="CH39" s="17"/>
      <c r="CI39" s="17"/>
      <c r="CJ39" s="17"/>
      <c r="CK39" s="17"/>
      <c r="CL39" s="17"/>
      <c r="CM39" s="17"/>
      <c r="CN39" s="17"/>
      <c r="CO39" s="17"/>
      <c r="CP39" s="17"/>
      <c r="CQ39" s="17"/>
      <c r="CR39" s="17"/>
      <c r="CS39" s="17"/>
      <c r="CT39" s="17"/>
      <c r="CU39" s="17"/>
      <c r="CV39" s="17"/>
      <c r="CW39" s="17"/>
      <c r="CX39" s="17"/>
      <c r="CY39" s="17"/>
      <c r="CZ39" s="17"/>
      <c r="DA39" s="17"/>
      <c r="DB39" s="17"/>
      <c r="DC39" s="17"/>
      <c r="DD39" s="17"/>
      <c r="DE39" s="17"/>
      <c r="DF39" s="17"/>
      <c r="DG39" s="17"/>
      <c r="DH39" s="17"/>
      <c r="DI39" s="17"/>
      <c r="DJ39" s="17"/>
      <c r="DK39" s="17"/>
      <c r="DL39" s="17"/>
      <c r="DM39" s="17"/>
      <c r="DN39" s="17"/>
      <c r="DO39" s="17"/>
      <c r="DP39" s="17"/>
      <c r="DQ39" s="17"/>
      <c r="DR39" s="17"/>
      <c r="DS39" s="17"/>
      <c r="DT39" s="17"/>
      <c r="DU39" s="17"/>
      <c r="DV39" s="17"/>
      <c r="DW39" s="17"/>
      <c r="DX39" s="17"/>
      <c r="DY39" s="17"/>
      <c r="DZ39" s="17"/>
      <c r="EA39" s="17"/>
      <c r="EB39" s="17"/>
      <c r="EC39" s="17"/>
      <c r="ED39" s="17"/>
      <c r="EE39" s="17"/>
      <c r="EF39" s="17"/>
      <c r="EG39" s="17"/>
      <c r="EH39" s="17"/>
      <c r="EI39" s="17"/>
      <c r="EJ39" s="17"/>
      <c r="EK39" s="17"/>
      <c r="EL39" s="17"/>
      <c r="EM39" s="17"/>
      <c r="EN39" s="17"/>
      <c r="EO39" s="17"/>
      <c r="EP39" s="17"/>
      <c r="EQ39" s="17"/>
      <c r="ER39" s="17"/>
      <c r="ES39" s="17"/>
      <c r="ET39" s="17"/>
      <c r="EU39" s="17"/>
      <c r="EV39" s="17"/>
      <c r="EW39" s="17"/>
      <c r="EX39" s="17"/>
      <c r="EY39" s="17"/>
      <c r="EZ39" s="17"/>
      <c r="FA39" s="17"/>
      <c r="FB39" s="17"/>
      <c r="FC39" s="17"/>
      <c r="FD39" s="17"/>
      <c r="FE39" s="17"/>
      <c r="FF39" s="17"/>
      <c r="FG39" s="17"/>
      <c r="FH39" s="17"/>
      <c r="FI39" s="17"/>
      <c r="FJ39" s="17"/>
      <c r="FK39" s="17"/>
      <c r="FL39" s="17"/>
      <c r="FM39" s="17"/>
      <c r="FN39" s="17"/>
      <c r="FO39" s="17"/>
      <c r="FP39" s="17"/>
      <c r="FQ39" s="17"/>
      <c r="FR39" s="17"/>
      <c r="FS39" s="17"/>
      <c r="FT39" s="17"/>
      <c r="FU39" s="17"/>
      <c r="FV39" s="17"/>
      <c r="FW39" s="17"/>
      <c r="FX39" s="17"/>
      <c r="FY39" s="17"/>
      <c r="FZ39" s="17"/>
      <c r="GA39" s="17"/>
      <c r="GB39" s="17"/>
      <c r="GC39" s="17"/>
      <c r="GD39" s="17"/>
      <c r="GE39" s="17"/>
      <c r="GF39" s="17"/>
      <c r="GG39" s="17"/>
      <c r="GH39" s="17"/>
      <c r="GI39" s="17"/>
      <c r="GJ39" s="17"/>
      <c r="GK39" s="17"/>
      <c r="GL39" s="17"/>
      <c r="GM39" s="17"/>
      <c r="GN39" s="17"/>
      <c r="GO39" s="17"/>
      <c r="GP39" s="17"/>
      <c r="GQ39" s="17"/>
      <c r="GR39" s="17"/>
      <c r="GS39" s="17"/>
      <c r="GT39" s="17"/>
      <c r="GU39" s="17"/>
      <c r="GV39" s="17"/>
      <c r="GW39" s="17"/>
      <c r="GX39" s="17"/>
      <c r="GY39" s="17"/>
      <c r="GZ39" s="17"/>
      <c r="HA39" s="17"/>
      <c r="HB39" s="17"/>
      <c r="HC39" s="17"/>
      <c r="HD39" s="17"/>
      <c r="HE39" s="17"/>
      <c r="HF39" s="17"/>
      <c r="HG39" s="17"/>
      <c r="HH39" s="17"/>
      <c r="HI39" s="17"/>
      <c r="HJ39" s="17"/>
      <c r="HK39" s="17"/>
      <c r="HL39" s="17"/>
      <c r="HM39" s="17"/>
      <c r="HN39" s="17"/>
      <c r="HO39" s="17"/>
      <c r="HP39" s="17"/>
      <c r="HQ39" s="17"/>
      <c r="HR39" s="17"/>
      <c r="HS39" s="17"/>
      <c r="HT39" s="17"/>
      <c r="HU39" s="17"/>
      <c r="HV39" s="17"/>
      <c r="HW39" s="17"/>
      <c r="HX39" s="17"/>
      <c r="HY39" s="17"/>
      <c r="HZ39" s="17"/>
      <c r="IA39" s="17"/>
      <c r="IB39" s="17"/>
      <c r="IC39" s="17"/>
      <c r="ID39" s="17"/>
      <c r="IE39" s="17"/>
      <c r="IF39" s="17"/>
      <c r="IG39" s="17"/>
      <c r="IH39" s="17"/>
      <c r="II39" s="17"/>
      <c r="IJ39" s="17"/>
      <c r="IK39" s="17"/>
      <c r="IL39" s="17"/>
      <c r="IM39" s="17"/>
      <c r="IN39" s="17"/>
      <c r="IO39" s="17"/>
      <c r="IP39" s="17"/>
      <c r="IQ39" s="17"/>
      <c r="IR39" s="17"/>
      <c r="IS39" s="17"/>
      <c r="IT39" s="17"/>
      <c r="IU39" s="17"/>
      <c r="IV39" s="17"/>
      <c r="IW39" s="17"/>
      <c r="IX39" s="17"/>
      <c r="IY39" s="17"/>
      <c r="IZ39" s="17"/>
      <c r="JA39" s="17"/>
      <c r="JB39" s="17"/>
      <c r="JC39" s="17"/>
      <c r="JD39" s="17"/>
      <c r="JE39" s="17"/>
      <c r="JF39" s="17"/>
      <c r="JG39" s="17"/>
      <c r="JH39" s="17"/>
      <c r="JI39" s="17"/>
      <c r="JJ39" s="17"/>
      <c r="JK39" s="17"/>
      <c r="JL39" s="17"/>
      <c r="JM39" s="17"/>
      <c r="JN39" s="17"/>
      <c r="JO39" s="17"/>
      <c r="JP39" s="17"/>
      <c r="JQ39" s="17"/>
      <c r="JR39" s="17"/>
      <c r="JS39" s="17"/>
      <c r="JT39" s="17"/>
      <c r="JU39" s="17"/>
      <c r="JV39" s="17"/>
      <c r="JW39" s="17"/>
      <c r="JX39" s="17"/>
      <c r="JY39" s="17"/>
      <c r="JZ39" s="17"/>
      <c r="KA39" s="17"/>
      <c r="KB39" s="17"/>
      <c r="KC39" s="17"/>
      <c r="KD39" s="17"/>
      <c r="KE39" s="17"/>
      <c r="KF39" s="17"/>
      <c r="KG39" s="17"/>
      <c r="KH39" s="17"/>
      <c r="KI39" s="17"/>
      <c r="KJ39" s="17"/>
      <c r="KK39" s="17"/>
      <c r="KL39" s="17"/>
      <c r="KM39" s="17"/>
      <c r="KN39" s="17"/>
      <c r="KO39" s="17"/>
      <c r="KP39" s="17"/>
      <c r="KQ39" s="17"/>
      <c r="KR39" s="17"/>
      <c r="KS39" s="17"/>
      <c r="KT39" s="17"/>
      <c r="KU39" s="17"/>
      <c r="KV39" s="17"/>
      <c r="KW39" s="17"/>
      <c r="KX39" s="17"/>
      <c r="KY39" s="17"/>
      <c r="KZ39" s="17"/>
      <c r="LA39" s="17"/>
      <c r="LB39" s="17"/>
      <c r="LC39" s="17"/>
      <c r="LD39" s="17"/>
      <c r="LE39" s="17"/>
      <c r="LF39" s="17"/>
      <c r="LG39" s="17"/>
      <c r="LH39" s="17"/>
      <c r="LI39" s="17"/>
      <c r="LJ39" s="17"/>
      <c r="LK39" s="17"/>
      <c r="LL39" s="17"/>
      <c r="LM39" s="17"/>
      <c r="LN39" s="17"/>
      <c r="LO39" s="17"/>
      <c r="LP39" s="17"/>
      <c r="LQ39" s="17"/>
      <c r="LR39" s="17"/>
      <c r="LS39" s="17"/>
      <c r="LT39" s="17"/>
      <c r="LU39" s="17"/>
      <c r="LV39" s="17"/>
      <c r="LW39" s="17"/>
      <c r="LX39" s="17"/>
      <c r="LY39" s="17"/>
      <c r="LZ39" s="17"/>
      <c r="MA39" s="17"/>
      <c r="MB39" s="17"/>
      <c r="MC39" s="17"/>
      <c r="MD39" s="17"/>
      <c r="ME39" s="17"/>
      <c r="MF39" s="17"/>
      <c r="MG39" s="17"/>
      <c r="MH39" s="17"/>
      <c r="MI39" s="17"/>
      <c r="MJ39" s="17"/>
      <c r="MK39" s="17"/>
      <c r="ML39" s="17"/>
      <c r="MM39" s="17"/>
      <c r="MN39" s="17"/>
      <c r="MO39" s="17"/>
      <c r="MP39" s="17"/>
      <c r="MQ39" s="17"/>
      <c r="MR39" s="17"/>
      <c r="MS39" s="17"/>
      <c r="MT39" s="17"/>
      <c r="MU39" s="17"/>
      <c r="MV39" s="17"/>
      <c r="MW39" s="17"/>
      <c r="MX39" s="17"/>
      <c r="MY39" s="17"/>
      <c r="MZ39" s="17"/>
      <c r="NA39" s="17"/>
      <c r="NB39" s="17"/>
      <c r="NC39" s="17"/>
      <c r="ND39" s="17"/>
      <c r="NE39" s="17"/>
      <c r="NF39" s="17"/>
      <c r="NG39" s="17"/>
      <c r="NH39" s="17"/>
      <c r="NI39" s="17"/>
      <c r="NJ39" s="17"/>
      <c r="NK39" s="17"/>
      <c r="NL39" s="17"/>
      <c r="NM39" s="17"/>
      <c r="NN39" s="17"/>
      <c r="NO39" s="17"/>
      <c r="NP39" s="17"/>
      <c r="NQ39" s="17"/>
      <c r="NR39" s="17"/>
      <c r="NS39" s="17"/>
      <c r="NT39" s="17"/>
      <c r="NU39" s="17"/>
      <c r="NV39" s="17"/>
      <c r="NW39" s="17"/>
      <c r="NX39" s="17"/>
      <c r="NY39" s="17"/>
      <c r="NZ39" s="17"/>
      <c r="OA39" s="17"/>
      <c r="OB39" s="17"/>
      <c r="OC39" s="17"/>
      <c r="OD39" s="17"/>
      <c r="OE39" s="17"/>
      <c r="OF39" s="17"/>
      <c r="OG39" s="17"/>
      <c r="OH39" s="17"/>
      <c r="OI39" s="17"/>
      <c r="OJ39" s="17"/>
      <c r="OK39" s="17"/>
      <c r="OL39" s="17"/>
      <c r="OM39" s="17"/>
      <c r="ON39" s="17"/>
      <c r="OO39" s="17"/>
      <c r="OP39" s="17"/>
      <c r="OQ39" s="17"/>
      <c r="OR39" s="17"/>
      <c r="OS39" s="17"/>
      <c r="OT39" s="17"/>
      <c r="OU39" s="17"/>
      <c r="OV39" s="17"/>
      <c r="OW39" s="17"/>
      <c r="OX39" s="17"/>
      <c r="OY39" s="17"/>
      <c r="OZ39" s="17"/>
      <c r="PA39" s="17"/>
      <c r="PB39" s="17"/>
      <c r="PC39" s="17"/>
      <c r="PD39" s="17"/>
      <c r="PE39" s="17"/>
      <c r="PF39" s="17"/>
      <c r="PG39" s="17"/>
      <c r="PH39" s="17"/>
      <c r="PI39" s="17"/>
      <c r="PJ39" s="17"/>
      <c r="PK39" s="17"/>
      <c r="PL39" s="17"/>
      <c r="PM39" s="17"/>
      <c r="PN39" s="17"/>
      <c r="PO39" s="17"/>
      <c r="PP39" s="17"/>
      <c r="PQ39" s="17"/>
      <c r="PR39" s="17"/>
      <c r="PS39" s="17"/>
      <c r="PT39" s="17"/>
      <c r="PU39" s="17"/>
      <c r="PV39" s="17"/>
      <c r="PW39" s="17"/>
      <c r="PX39" s="17"/>
      <c r="PY39" s="17"/>
      <c r="PZ39" s="17"/>
      <c r="QA39" s="17"/>
      <c r="QB39" s="17"/>
      <c r="QC39" s="17"/>
      <c r="QD39" s="17"/>
      <c r="QE39" s="17"/>
      <c r="QF39" s="17"/>
      <c r="QG39" s="17"/>
      <c r="QH39" s="17"/>
      <c r="QI39" s="17"/>
      <c r="QJ39" s="17"/>
      <c r="QK39" s="17"/>
      <c r="QL39" s="17"/>
      <c r="QM39" s="17"/>
      <c r="QN39" s="17"/>
      <c r="QO39" s="17"/>
      <c r="QP39" s="17"/>
      <c r="QQ39" s="17"/>
      <c r="QR39" s="17"/>
      <c r="QS39" s="17"/>
      <c r="QT39" s="17"/>
      <c r="QU39" s="17"/>
      <c r="QV39" s="17"/>
      <c r="QW39" s="17"/>
      <c r="QX39" s="17"/>
      <c r="QY39" s="17"/>
      <c r="QZ39" s="17"/>
      <c r="RA39" s="17"/>
      <c r="RB39" s="17"/>
      <c r="RC39" s="17"/>
      <c r="RD39" s="17"/>
      <c r="RE39" s="17"/>
      <c r="RF39" s="17"/>
      <c r="RG39" s="17"/>
      <c r="RH39" s="17"/>
      <c r="RI39" s="17"/>
      <c r="RJ39" s="17"/>
      <c r="RK39" s="17"/>
      <c r="RL39" s="17"/>
      <c r="RM39" s="17"/>
      <c r="RN39" s="17"/>
      <c r="RO39" s="17"/>
      <c r="RP39" s="17"/>
      <c r="RQ39" s="17"/>
      <c r="RR39" s="17"/>
      <c r="RS39" s="17"/>
      <c r="RT39" s="17"/>
      <c r="RU39" s="17"/>
      <c r="RV39" s="17"/>
      <c r="RW39" s="17"/>
      <c r="RX39" s="17"/>
      <c r="RY39" s="17"/>
      <c r="RZ39" s="17"/>
      <c r="SA39" s="17"/>
      <c r="SB39" s="17"/>
      <c r="SC39" s="17"/>
      <c r="SD39" s="17"/>
      <c r="SE39" s="17"/>
      <c r="SF39" s="17"/>
      <c r="SG39" s="17"/>
      <c r="SH39" s="17"/>
      <c r="SI39" s="17"/>
      <c r="SJ39" s="17"/>
      <c r="SK39" s="17"/>
      <c r="SL39" s="17"/>
      <c r="SM39" s="17"/>
      <c r="SN39" s="17"/>
      <c r="SO39" s="17"/>
      <c r="SP39" s="17"/>
      <c r="SQ39" s="17"/>
      <c r="SR39" s="17"/>
      <c r="SS39" s="17"/>
      <c r="ST39" s="17"/>
      <c r="SU39" s="17"/>
      <c r="SV39" s="17"/>
      <c r="SW39" s="17"/>
      <c r="SX39" s="17"/>
      <c r="SY39" s="17"/>
      <c r="SZ39" s="17"/>
      <c r="TA39" s="17"/>
      <c r="TB39" s="17"/>
      <c r="TC39" s="17"/>
      <c r="TD39" s="17"/>
      <c r="TE39" s="17"/>
      <c r="TF39" s="17"/>
      <c r="TG39" s="17"/>
      <c r="TH39" s="17"/>
      <c r="TI39" s="17"/>
      <c r="TJ39" s="17"/>
      <c r="TK39" s="17"/>
      <c r="TL39" s="17"/>
      <c r="TM39" s="17"/>
      <c r="TN39" s="17"/>
      <c r="TO39" s="17"/>
      <c r="TP39" s="17"/>
      <c r="TQ39" s="17"/>
      <c r="TR39" s="17"/>
      <c r="TS39" s="17"/>
      <c r="TT39" s="17"/>
      <c r="TU39" s="17"/>
      <c r="TV39" s="17"/>
      <c r="TW39" s="17"/>
      <c r="TX39" s="17"/>
      <c r="TY39" s="17"/>
      <c r="TZ39" s="17"/>
      <c r="UA39" s="17"/>
      <c r="UB39" s="17"/>
      <c r="UC39" s="17"/>
      <c r="UD39" s="17"/>
      <c r="UE39" s="17"/>
      <c r="UF39" s="17"/>
      <c r="UG39" s="17"/>
      <c r="UH39" s="17"/>
      <c r="UI39" s="17"/>
      <c r="UJ39" s="17"/>
      <c r="UK39" s="17"/>
      <c r="UL39" s="17"/>
      <c r="UM39" s="17"/>
      <c r="UN39" s="17"/>
      <c r="UO39" s="17"/>
      <c r="UP39" s="17"/>
      <c r="UQ39" s="17"/>
      <c r="UR39" s="17"/>
      <c r="US39" s="17"/>
      <c r="UT39" s="17"/>
      <c r="UU39" s="17"/>
      <c r="UV39" s="17"/>
      <c r="UW39" s="17"/>
      <c r="UX39" s="17"/>
      <c r="UY39" s="17"/>
      <c r="UZ39" s="17"/>
      <c r="VA39" s="17"/>
      <c r="VB39" s="17"/>
      <c r="VC39" s="17"/>
      <c r="VD39" s="17"/>
      <c r="VE39" s="17"/>
      <c r="VF39" s="17"/>
      <c r="VG39" s="17"/>
      <c r="VH39" s="17"/>
      <c r="VI39" s="17"/>
      <c r="VJ39" s="17"/>
      <c r="VK39" s="17"/>
      <c r="VL39" s="17"/>
      <c r="VM39" s="17"/>
      <c r="VN39" s="17"/>
      <c r="VO39" s="17"/>
      <c r="VP39" s="17"/>
      <c r="VQ39" s="17"/>
      <c r="VR39" s="17"/>
      <c r="VS39" s="17"/>
      <c r="VT39" s="17"/>
      <c r="VU39" s="17"/>
      <c r="VV39" s="17"/>
      <c r="VW39" s="17"/>
      <c r="VX39" s="17"/>
      <c r="VY39" s="17"/>
      <c r="VZ39" s="17"/>
      <c r="WA39" s="17"/>
      <c r="WB39" s="17"/>
      <c r="WC39" s="17"/>
      <c r="WD39" s="17"/>
      <c r="WE39" s="17"/>
      <c r="WF39" s="17"/>
      <c r="WG39" s="17"/>
      <c r="WH39" s="17"/>
      <c r="WI39" s="17"/>
      <c r="WJ39" s="17"/>
      <c r="WK39" s="17"/>
      <c r="WL39" s="17"/>
      <c r="WM39" s="17"/>
      <c r="WN39" s="17"/>
      <c r="WO39" s="17"/>
      <c r="WP39" s="17"/>
      <c r="WQ39" s="17"/>
      <c r="WR39" s="17"/>
      <c r="WS39" s="17"/>
      <c r="WT39" s="17"/>
      <c r="WU39" s="17"/>
      <c r="WV39" s="17"/>
      <c r="WW39" s="17"/>
      <c r="WX39" s="17"/>
      <c r="WY39" s="17"/>
      <c r="WZ39" s="17"/>
      <c r="XA39" s="17"/>
      <c r="XB39" s="17"/>
      <c r="XC39" s="17"/>
      <c r="XD39" s="17"/>
      <c r="XE39" s="17"/>
      <c r="XF39" s="17"/>
      <c r="XG39" s="17"/>
      <c r="XH39" s="17"/>
      <c r="XI39" s="17"/>
      <c r="XJ39" s="17"/>
      <c r="XK39" s="17"/>
      <c r="XL39" s="17"/>
      <c r="XM39" s="17"/>
      <c r="XN39" s="17"/>
      <c r="XO39" s="17"/>
      <c r="XP39" s="17"/>
      <c r="XQ39" s="17"/>
      <c r="XR39" s="17"/>
      <c r="XS39" s="17"/>
      <c r="XT39" s="17"/>
      <c r="XU39" s="17"/>
      <c r="XV39" s="17"/>
      <c r="XW39" s="17"/>
      <c r="XX39" s="17"/>
      <c r="XY39" s="17"/>
      <c r="XZ39" s="17"/>
      <c r="YA39" s="17"/>
      <c r="YB39" s="17"/>
      <c r="YC39" s="17"/>
      <c r="YD39" s="17"/>
      <c r="YE39" s="17"/>
      <c r="YF39" s="17"/>
      <c r="YG39" s="17"/>
      <c r="YH39" s="17"/>
      <c r="YI39" s="17"/>
      <c r="YJ39" s="17"/>
      <c r="YK39" s="17"/>
      <c r="YL39" s="17"/>
      <c r="YM39" s="17"/>
      <c r="YN39" s="17"/>
      <c r="YO39" s="17"/>
      <c r="YP39" s="17"/>
      <c r="YQ39" s="17"/>
      <c r="YR39" s="17"/>
      <c r="YS39" s="17"/>
      <c r="YT39" s="17"/>
      <c r="YU39" s="17"/>
      <c r="YV39" s="17"/>
      <c r="YW39" s="17"/>
      <c r="YX39" s="17"/>
      <c r="YY39" s="17"/>
      <c r="YZ39" s="17"/>
      <c r="ZA39" s="17"/>
      <c r="ZB39" s="17"/>
      <c r="ZC39" s="17"/>
      <c r="ZD39" s="17"/>
      <c r="ZE39" s="17"/>
      <c r="ZF39" s="17"/>
      <c r="ZG39" s="17"/>
      <c r="ZH39" s="17"/>
      <c r="ZI39" s="17"/>
      <c r="ZJ39" s="17"/>
      <c r="ZK39" s="17"/>
    </row>
    <row r="40" spans="1:687" ht="126" customHeight="1" x14ac:dyDescent="0.25">
      <c r="A40" s="117" t="s">
        <v>47</v>
      </c>
      <c r="B40" s="117" t="s">
        <v>48</v>
      </c>
      <c r="C40" s="117" t="s">
        <v>49</v>
      </c>
      <c r="D40" s="117" t="s">
        <v>50</v>
      </c>
      <c r="E40" s="117" t="s">
        <v>90</v>
      </c>
      <c r="F40" s="117" t="s">
        <v>52</v>
      </c>
      <c r="G40" s="117" t="s">
        <v>53</v>
      </c>
      <c r="H40" s="117" t="s">
        <v>54</v>
      </c>
      <c r="I40" s="118" t="s">
        <v>55</v>
      </c>
      <c r="J40" s="377" t="s">
        <v>385</v>
      </c>
      <c r="K40" s="377" t="s">
        <v>366</v>
      </c>
      <c r="L40" s="377" t="s">
        <v>586</v>
      </c>
      <c r="M40" s="377" t="s">
        <v>587</v>
      </c>
      <c r="N40" s="377" t="s">
        <v>93</v>
      </c>
      <c r="O40" s="377"/>
      <c r="P40" s="72">
        <v>0.95</v>
      </c>
      <c r="Q40" s="690"/>
      <c r="R40" s="690"/>
      <c r="S40" s="690"/>
      <c r="T40" s="690"/>
      <c r="U40" s="690"/>
      <c r="V40" s="691">
        <v>53491184</v>
      </c>
      <c r="W40" s="692"/>
      <c r="X40" s="377" t="s">
        <v>369</v>
      </c>
      <c r="Y40" s="376">
        <v>0.92105263157894735</v>
      </c>
      <c r="Z40" s="72">
        <v>0.95</v>
      </c>
      <c r="AA40" s="376">
        <f>+Y40/Z40</f>
        <v>0.96952908587257625</v>
      </c>
      <c r="AB40" s="377" t="s">
        <v>588</v>
      </c>
      <c r="AC40" s="684"/>
      <c r="AD40" s="685"/>
      <c r="AE40" s="685"/>
      <c r="AF40" s="686"/>
      <c r="AG40" s="127">
        <v>0.90654205607476634</v>
      </c>
      <c r="AH40" s="72">
        <v>0.95</v>
      </c>
      <c r="AI40" s="376">
        <f>+AG40/AH40</f>
        <v>0.95425479586817519</v>
      </c>
      <c r="AJ40" s="128" t="s">
        <v>589</v>
      </c>
      <c r="AK40" s="684"/>
      <c r="AL40" s="685"/>
      <c r="AM40" s="685"/>
      <c r="AN40" s="686"/>
      <c r="AO40" s="129">
        <f>121/131</f>
        <v>0.92366412213740456</v>
      </c>
      <c r="AP40" s="72">
        <v>0.95</v>
      </c>
      <c r="AQ40" s="376">
        <f>+AO40/AP40</f>
        <v>0.97227802330253121</v>
      </c>
      <c r="AR40" s="128" t="s">
        <v>590</v>
      </c>
      <c r="AS40" s="684"/>
      <c r="AT40" s="685"/>
      <c r="AU40" s="685"/>
      <c r="AV40" s="686"/>
      <c r="AW40" s="376">
        <v>0.88549999999999995</v>
      </c>
      <c r="AX40" s="72">
        <v>0.95</v>
      </c>
      <c r="AY40" s="376">
        <v>0.93210526315789477</v>
      </c>
      <c r="AZ40" s="128" t="s">
        <v>591</v>
      </c>
      <c r="BA40" s="684"/>
      <c r="BB40" s="685"/>
      <c r="BC40" s="685"/>
      <c r="BD40" s="686"/>
      <c r="BE40" s="376">
        <v>0.81818181818181801</v>
      </c>
      <c r="BF40" s="72">
        <v>0.95</v>
      </c>
      <c r="BG40" s="376">
        <v>0.86124401913875581</v>
      </c>
      <c r="BH40" s="128" t="s">
        <v>592</v>
      </c>
      <c r="BI40" s="684"/>
      <c r="BJ40" s="685"/>
      <c r="BK40" s="685"/>
      <c r="BL40" s="686"/>
      <c r="BM40" s="376">
        <v>0.94736842105263153</v>
      </c>
      <c r="BN40" s="72">
        <v>0.95</v>
      </c>
      <c r="BO40" s="376">
        <v>0.99722991689750695</v>
      </c>
      <c r="BP40" s="128" t="s">
        <v>656</v>
      </c>
      <c r="BQ40" s="684"/>
      <c r="BR40" s="685"/>
      <c r="BS40" s="685"/>
      <c r="BT40" s="686"/>
    </row>
    <row r="41" spans="1:687" s="18" customFormat="1" ht="70.5" customHeight="1" x14ac:dyDescent="0.25">
      <c r="A41" s="39"/>
      <c r="B41" s="39"/>
      <c r="C41" s="39"/>
      <c r="D41" s="39"/>
      <c r="E41" s="39"/>
      <c r="F41" s="39"/>
      <c r="G41" s="39"/>
      <c r="H41" s="39"/>
      <c r="I41" s="39"/>
      <c r="J41" s="39"/>
      <c r="K41" s="39"/>
      <c r="L41" s="39"/>
      <c r="M41" s="39"/>
      <c r="N41" s="39"/>
      <c r="O41" s="39"/>
      <c r="P41" s="40"/>
      <c r="Q41" s="39"/>
      <c r="R41" s="39"/>
      <c r="S41" s="40"/>
      <c r="T41" s="39"/>
      <c r="U41" s="39"/>
      <c r="V41" s="77"/>
      <c r="W41" s="77"/>
      <c r="X41" s="39"/>
      <c r="Y41" s="382" t="s">
        <v>102</v>
      </c>
      <c r="Z41" s="382"/>
      <c r="AA41" s="42">
        <f>AVERAGE(AA40:AA40)</f>
        <v>0.96952908587257625</v>
      </c>
      <c r="AB41" s="73"/>
      <c r="AC41" s="382" t="s">
        <v>103</v>
      </c>
      <c r="AD41" s="382"/>
      <c r="AE41" s="43" t="s">
        <v>353</v>
      </c>
      <c r="AF41" s="40"/>
      <c r="AG41" s="382" t="s">
        <v>102</v>
      </c>
      <c r="AH41" s="382"/>
      <c r="AI41" s="42">
        <f>AVERAGE(AI40:AI40)</f>
        <v>0.95425479586817519</v>
      </c>
      <c r="AJ41" s="73"/>
      <c r="AK41" s="382" t="s">
        <v>103</v>
      </c>
      <c r="AL41" s="382"/>
      <c r="AM41" s="43" t="s">
        <v>353</v>
      </c>
      <c r="AN41" s="40"/>
      <c r="AO41" s="382" t="s">
        <v>102</v>
      </c>
      <c r="AP41" s="382"/>
      <c r="AQ41" s="42">
        <f>AVERAGE(AQ40:AQ40)</f>
        <v>0.97227802330253121</v>
      </c>
      <c r="AR41" s="73"/>
      <c r="AS41" s="382" t="s">
        <v>103</v>
      </c>
      <c r="AT41" s="382"/>
      <c r="AU41" s="43" t="s">
        <v>353</v>
      </c>
      <c r="AV41" s="40"/>
      <c r="AW41" s="382" t="s">
        <v>102</v>
      </c>
      <c r="AX41" s="382"/>
      <c r="AY41" s="42">
        <f>AVERAGE(AY40:AY40)</f>
        <v>0.93210526315789477</v>
      </c>
      <c r="AZ41" s="73"/>
      <c r="BA41" s="382" t="s">
        <v>103</v>
      </c>
      <c r="BB41" s="382"/>
      <c r="BC41" s="43" t="s">
        <v>353</v>
      </c>
      <c r="BD41" s="40"/>
      <c r="BE41" s="382" t="s">
        <v>102</v>
      </c>
      <c r="BF41" s="382"/>
      <c r="BG41" s="42">
        <v>0.86124401913875581</v>
      </c>
      <c r="BH41" s="73"/>
      <c r="BI41" s="382" t="s">
        <v>103</v>
      </c>
      <c r="BJ41" s="382"/>
      <c r="BK41" s="43" t="s">
        <v>353</v>
      </c>
      <c r="BL41" s="40"/>
      <c r="BM41" s="382" t="s">
        <v>102</v>
      </c>
      <c r="BN41" s="382"/>
      <c r="BO41" s="42">
        <v>0.99722991689750695</v>
      </c>
      <c r="BP41" s="134"/>
      <c r="BQ41" s="382" t="s">
        <v>103</v>
      </c>
      <c r="BR41" s="382"/>
      <c r="BS41" s="43" t="s">
        <v>353</v>
      </c>
      <c r="BT41" s="40"/>
      <c r="BU41" s="17"/>
      <c r="BV41" s="17"/>
      <c r="BW41" s="17"/>
      <c r="BX41" s="17"/>
      <c r="BY41" s="17"/>
      <c r="BZ41" s="17"/>
      <c r="CA41" s="17"/>
      <c r="CB41" s="17"/>
      <c r="CC41" s="17"/>
      <c r="CD41" s="17"/>
      <c r="CE41" s="17"/>
      <c r="CF41" s="17"/>
      <c r="CG41" s="17"/>
      <c r="CH41" s="17"/>
      <c r="CI41" s="17"/>
      <c r="CJ41" s="17"/>
      <c r="CK41" s="17"/>
      <c r="CL41" s="17"/>
      <c r="CM41" s="17"/>
      <c r="CN41" s="17"/>
      <c r="CO41" s="17"/>
      <c r="CP41" s="17"/>
      <c r="CQ41" s="17"/>
      <c r="CR41" s="17"/>
      <c r="CS41" s="17"/>
      <c r="CT41" s="17"/>
      <c r="CU41" s="17"/>
      <c r="CV41" s="17"/>
      <c r="CW41" s="17"/>
      <c r="CX41" s="17"/>
      <c r="CY41" s="17"/>
      <c r="CZ41" s="17"/>
      <c r="DA41" s="17"/>
      <c r="DB41" s="17"/>
      <c r="DC41" s="17"/>
      <c r="DD41" s="17"/>
      <c r="DE41" s="17"/>
      <c r="DF41" s="17"/>
      <c r="DG41" s="17"/>
      <c r="DH41" s="17"/>
      <c r="DI41" s="17"/>
      <c r="DJ41" s="17"/>
      <c r="DK41" s="17"/>
      <c r="DL41" s="17"/>
      <c r="DM41" s="17"/>
      <c r="DN41" s="17"/>
      <c r="DO41" s="17"/>
      <c r="DP41" s="17"/>
      <c r="DQ41" s="17"/>
      <c r="DR41" s="17"/>
      <c r="DS41" s="17"/>
      <c r="DT41" s="17"/>
      <c r="DU41" s="17"/>
      <c r="DV41" s="17"/>
      <c r="DW41" s="17"/>
      <c r="DX41" s="17"/>
      <c r="DY41" s="17"/>
      <c r="DZ41" s="17"/>
      <c r="EA41" s="17"/>
      <c r="EB41" s="17"/>
      <c r="EC41" s="17"/>
      <c r="ED41" s="17"/>
      <c r="EE41" s="17"/>
      <c r="EF41" s="17"/>
      <c r="EG41" s="17"/>
      <c r="EH41" s="17"/>
      <c r="EI41" s="17"/>
      <c r="EJ41" s="17"/>
      <c r="EK41" s="17"/>
      <c r="EL41" s="17"/>
      <c r="EM41" s="17"/>
      <c r="EN41" s="17"/>
      <c r="EO41" s="17"/>
      <c r="EP41" s="17"/>
      <c r="EQ41" s="17"/>
      <c r="ER41" s="17"/>
      <c r="ES41" s="17"/>
      <c r="ET41" s="17"/>
      <c r="EU41" s="17"/>
      <c r="EV41" s="17"/>
      <c r="EW41" s="17"/>
      <c r="EX41" s="17"/>
      <c r="EY41" s="17"/>
      <c r="EZ41" s="17"/>
      <c r="FA41" s="17"/>
      <c r="FB41" s="17"/>
      <c r="FC41" s="17"/>
      <c r="FD41" s="17"/>
      <c r="FE41" s="17"/>
      <c r="FF41" s="17"/>
      <c r="FG41" s="17"/>
      <c r="FH41" s="17"/>
      <c r="FI41" s="17"/>
      <c r="FJ41" s="17"/>
      <c r="FK41" s="17"/>
      <c r="FL41" s="17"/>
      <c r="FM41" s="17"/>
      <c r="FN41" s="17"/>
      <c r="FO41" s="17"/>
      <c r="FP41" s="17"/>
      <c r="FQ41" s="17"/>
      <c r="FR41" s="17"/>
      <c r="FS41" s="17"/>
      <c r="FT41" s="17"/>
      <c r="FU41" s="17"/>
      <c r="FV41" s="17"/>
      <c r="FW41" s="17"/>
      <c r="FX41" s="17"/>
      <c r="FY41" s="17"/>
      <c r="FZ41" s="17"/>
      <c r="GA41" s="17"/>
      <c r="GB41" s="17"/>
      <c r="GC41" s="17"/>
      <c r="GD41" s="17"/>
      <c r="GE41" s="17"/>
      <c r="GF41" s="17"/>
      <c r="GG41" s="17"/>
      <c r="GH41" s="17"/>
      <c r="GI41" s="17"/>
      <c r="GJ41" s="17"/>
      <c r="GK41" s="17"/>
      <c r="GL41" s="17"/>
      <c r="GM41" s="17"/>
      <c r="GN41" s="17"/>
      <c r="GO41" s="17"/>
      <c r="GP41" s="17"/>
      <c r="GQ41" s="17"/>
      <c r="GR41" s="17"/>
      <c r="GS41" s="17"/>
      <c r="GT41" s="17"/>
      <c r="GU41" s="17"/>
      <c r="GV41" s="17"/>
      <c r="GW41" s="17"/>
      <c r="GX41" s="17"/>
      <c r="GY41" s="17"/>
      <c r="GZ41" s="17"/>
      <c r="HA41" s="17"/>
      <c r="HB41" s="17"/>
      <c r="HC41" s="17"/>
      <c r="HD41" s="17"/>
      <c r="HE41" s="17"/>
      <c r="HF41" s="17"/>
      <c r="HG41" s="17"/>
      <c r="HH41" s="17"/>
      <c r="HI41" s="17"/>
      <c r="HJ41" s="17"/>
      <c r="HK41" s="17"/>
      <c r="HL41" s="17"/>
      <c r="HM41" s="17"/>
      <c r="HN41" s="17"/>
      <c r="HO41" s="17"/>
      <c r="HP41" s="17"/>
      <c r="HQ41" s="17"/>
      <c r="HR41" s="17"/>
      <c r="HS41" s="17"/>
      <c r="HT41" s="17"/>
      <c r="HU41" s="17"/>
      <c r="HV41" s="17"/>
      <c r="HW41" s="17"/>
      <c r="HX41" s="17"/>
      <c r="HY41" s="17"/>
      <c r="HZ41" s="17"/>
      <c r="IA41" s="17"/>
      <c r="IB41" s="17"/>
      <c r="IC41" s="17"/>
      <c r="ID41" s="17"/>
      <c r="IE41" s="17"/>
      <c r="IF41" s="17"/>
      <c r="IG41" s="17"/>
      <c r="IH41" s="17"/>
      <c r="II41" s="17"/>
      <c r="IJ41" s="17"/>
      <c r="IK41" s="17"/>
      <c r="IL41" s="17"/>
      <c r="IM41" s="17"/>
      <c r="IN41" s="17"/>
      <c r="IO41" s="17"/>
      <c r="IP41" s="17"/>
      <c r="IQ41" s="17"/>
      <c r="IR41" s="17"/>
      <c r="IS41" s="17"/>
      <c r="IT41" s="17"/>
      <c r="IU41" s="17"/>
      <c r="IV41" s="17"/>
      <c r="IW41" s="17"/>
      <c r="IX41" s="17"/>
      <c r="IY41" s="17"/>
      <c r="IZ41" s="17"/>
      <c r="JA41" s="17"/>
      <c r="JB41" s="17"/>
      <c r="JC41" s="17"/>
      <c r="JD41" s="17"/>
      <c r="JE41" s="17"/>
      <c r="JF41" s="17"/>
      <c r="JG41" s="17"/>
      <c r="JH41" s="17"/>
      <c r="JI41" s="17"/>
      <c r="JJ41" s="17"/>
      <c r="JK41" s="17"/>
      <c r="JL41" s="17"/>
      <c r="JM41" s="17"/>
      <c r="JN41" s="17"/>
      <c r="JO41" s="17"/>
      <c r="JP41" s="17"/>
      <c r="JQ41" s="17"/>
      <c r="JR41" s="17"/>
      <c r="JS41" s="17"/>
      <c r="JT41" s="17"/>
      <c r="JU41" s="17"/>
      <c r="JV41" s="17"/>
      <c r="JW41" s="17"/>
      <c r="JX41" s="17"/>
      <c r="JY41" s="17"/>
      <c r="JZ41" s="17"/>
      <c r="KA41" s="17"/>
      <c r="KB41" s="17"/>
      <c r="KC41" s="17"/>
      <c r="KD41" s="17"/>
      <c r="KE41" s="17"/>
      <c r="KF41" s="17"/>
      <c r="KG41" s="17"/>
      <c r="KH41" s="17"/>
      <c r="KI41" s="17"/>
      <c r="KJ41" s="17"/>
      <c r="KK41" s="17"/>
      <c r="KL41" s="17"/>
      <c r="KM41" s="17"/>
      <c r="KN41" s="17"/>
      <c r="KO41" s="17"/>
      <c r="KP41" s="17"/>
      <c r="KQ41" s="17"/>
      <c r="KR41" s="17"/>
      <c r="KS41" s="17"/>
      <c r="KT41" s="17"/>
      <c r="KU41" s="17"/>
      <c r="KV41" s="17"/>
      <c r="KW41" s="17"/>
      <c r="KX41" s="17"/>
      <c r="KY41" s="17"/>
      <c r="KZ41" s="17"/>
      <c r="LA41" s="17"/>
      <c r="LB41" s="17"/>
      <c r="LC41" s="17"/>
      <c r="LD41" s="17"/>
      <c r="LE41" s="17"/>
      <c r="LF41" s="17"/>
      <c r="LG41" s="17"/>
      <c r="LH41" s="17"/>
      <c r="LI41" s="17"/>
      <c r="LJ41" s="17"/>
      <c r="LK41" s="17"/>
      <c r="LL41" s="17"/>
      <c r="LM41" s="17"/>
      <c r="LN41" s="17"/>
      <c r="LO41" s="17"/>
      <c r="LP41" s="17"/>
      <c r="LQ41" s="17"/>
      <c r="LR41" s="17"/>
      <c r="LS41" s="17"/>
      <c r="LT41" s="17"/>
      <c r="LU41" s="17"/>
      <c r="LV41" s="17"/>
      <c r="LW41" s="17"/>
      <c r="LX41" s="17"/>
      <c r="LY41" s="17"/>
      <c r="LZ41" s="17"/>
      <c r="MA41" s="17"/>
      <c r="MB41" s="17"/>
      <c r="MC41" s="17"/>
      <c r="MD41" s="17"/>
      <c r="ME41" s="17"/>
      <c r="MF41" s="17"/>
      <c r="MG41" s="17"/>
      <c r="MH41" s="17"/>
      <c r="MI41" s="17"/>
      <c r="MJ41" s="17"/>
      <c r="MK41" s="17"/>
      <c r="ML41" s="17"/>
      <c r="MM41" s="17"/>
      <c r="MN41" s="17"/>
      <c r="MO41" s="17"/>
      <c r="MP41" s="17"/>
      <c r="MQ41" s="17"/>
      <c r="MR41" s="17"/>
      <c r="MS41" s="17"/>
      <c r="MT41" s="17"/>
      <c r="MU41" s="17"/>
      <c r="MV41" s="17"/>
      <c r="MW41" s="17"/>
      <c r="MX41" s="17"/>
      <c r="MY41" s="17"/>
      <c r="MZ41" s="17"/>
      <c r="NA41" s="17"/>
      <c r="NB41" s="17"/>
      <c r="NC41" s="17"/>
      <c r="ND41" s="17"/>
      <c r="NE41" s="17"/>
      <c r="NF41" s="17"/>
      <c r="NG41" s="17"/>
      <c r="NH41" s="17"/>
      <c r="NI41" s="17"/>
      <c r="NJ41" s="17"/>
      <c r="NK41" s="17"/>
      <c r="NL41" s="17"/>
      <c r="NM41" s="17"/>
      <c r="NN41" s="17"/>
      <c r="NO41" s="17"/>
      <c r="NP41" s="17"/>
      <c r="NQ41" s="17"/>
      <c r="NR41" s="17"/>
      <c r="NS41" s="17"/>
      <c r="NT41" s="17"/>
      <c r="NU41" s="17"/>
      <c r="NV41" s="17"/>
      <c r="NW41" s="17"/>
      <c r="NX41" s="17"/>
      <c r="NY41" s="17"/>
      <c r="NZ41" s="17"/>
      <c r="OA41" s="17"/>
      <c r="OB41" s="17"/>
      <c r="OC41" s="17"/>
      <c r="OD41" s="17"/>
      <c r="OE41" s="17"/>
      <c r="OF41" s="17"/>
      <c r="OG41" s="17"/>
      <c r="OH41" s="17"/>
      <c r="OI41" s="17"/>
      <c r="OJ41" s="17"/>
      <c r="OK41" s="17"/>
      <c r="OL41" s="17"/>
      <c r="OM41" s="17"/>
      <c r="ON41" s="17"/>
      <c r="OO41" s="17"/>
      <c r="OP41" s="17"/>
      <c r="OQ41" s="17"/>
      <c r="OR41" s="17"/>
      <c r="OS41" s="17"/>
      <c r="OT41" s="17"/>
      <c r="OU41" s="17"/>
      <c r="OV41" s="17"/>
      <c r="OW41" s="17"/>
      <c r="OX41" s="17"/>
      <c r="OY41" s="17"/>
      <c r="OZ41" s="17"/>
      <c r="PA41" s="17"/>
      <c r="PB41" s="17"/>
      <c r="PC41" s="17"/>
      <c r="PD41" s="17"/>
      <c r="PE41" s="17"/>
      <c r="PF41" s="17"/>
      <c r="PG41" s="17"/>
      <c r="PH41" s="17"/>
      <c r="PI41" s="17"/>
      <c r="PJ41" s="17"/>
      <c r="PK41" s="17"/>
      <c r="PL41" s="17"/>
      <c r="PM41" s="17"/>
      <c r="PN41" s="17"/>
      <c r="PO41" s="17"/>
      <c r="PP41" s="17"/>
      <c r="PQ41" s="17"/>
      <c r="PR41" s="17"/>
      <c r="PS41" s="17"/>
      <c r="PT41" s="17"/>
      <c r="PU41" s="17"/>
      <c r="PV41" s="17"/>
      <c r="PW41" s="17"/>
      <c r="PX41" s="17"/>
      <c r="PY41" s="17"/>
      <c r="PZ41" s="17"/>
      <c r="QA41" s="17"/>
      <c r="QB41" s="17"/>
      <c r="QC41" s="17"/>
      <c r="QD41" s="17"/>
      <c r="QE41" s="17"/>
      <c r="QF41" s="17"/>
      <c r="QG41" s="17"/>
      <c r="QH41" s="17"/>
      <c r="QI41" s="17"/>
      <c r="QJ41" s="17"/>
      <c r="QK41" s="17"/>
      <c r="QL41" s="17"/>
      <c r="QM41" s="17"/>
      <c r="QN41" s="17"/>
      <c r="QO41" s="17"/>
      <c r="QP41" s="17"/>
      <c r="QQ41" s="17"/>
      <c r="QR41" s="17"/>
      <c r="QS41" s="17"/>
      <c r="QT41" s="17"/>
      <c r="QU41" s="17"/>
      <c r="QV41" s="17"/>
      <c r="QW41" s="17"/>
      <c r="QX41" s="17"/>
      <c r="QY41" s="17"/>
      <c r="QZ41" s="17"/>
      <c r="RA41" s="17"/>
      <c r="RB41" s="17"/>
      <c r="RC41" s="17"/>
      <c r="RD41" s="17"/>
      <c r="RE41" s="17"/>
      <c r="RF41" s="17"/>
      <c r="RG41" s="17"/>
      <c r="RH41" s="17"/>
      <c r="RI41" s="17"/>
      <c r="RJ41" s="17"/>
      <c r="RK41" s="17"/>
      <c r="RL41" s="17"/>
      <c r="RM41" s="17"/>
      <c r="RN41" s="17"/>
      <c r="RO41" s="17"/>
      <c r="RP41" s="17"/>
      <c r="RQ41" s="17"/>
      <c r="RR41" s="17"/>
      <c r="RS41" s="17"/>
      <c r="RT41" s="17"/>
      <c r="RU41" s="17"/>
      <c r="RV41" s="17"/>
      <c r="RW41" s="17"/>
      <c r="RX41" s="17"/>
      <c r="RY41" s="17"/>
      <c r="RZ41" s="17"/>
      <c r="SA41" s="17"/>
      <c r="SB41" s="17"/>
      <c r="SC41" s="17"/>
      <c r="SD41" s="17"/>
      <c r="SE41" s="17"/>
      <c r="SF41" s="17"/>
      <c r="SG41" s="17"/>
      <c r="SH41" s="17"/>
      <c r="SI41" s="17"/>
      <c r="SJ41" s="17"/>
      <c r="SK41" s="17"/>
      <c r="SL41" s="17"/>
      <c r="SM41" s="17"/>
      <c r="SN41" s="17"/>
      <c r="SO41" s="17"/>
      <c r="SP41" s="17"/>
      <c r="SQ41" s="17"/>
      <c r="SR41" s="17"/>
      <c r="SS41" s="17"/>
      <c r="ST41" s="17"/>
      <c r="SU41" s="17"/>
      <c r="SV41" s="17"/>
      <c r="SW41" s="17"/>
      <c r="SX41" s="17"/>
      <c r="SY41" s="17"/>
      <c r="SZ41" s="17"/>
      <c r="TA41" s="17"/>
      <c r="TB41" s="17"/>
      <c r="TC41" s="17"/>
      <c r="TD41" s="17"/>
      <c r="TE41" s="17"/>
      <c r="TF41" s="17"/>
      <c r="TG41" s="17"/>
      <c r="TH41" s="17"/>
      <c r="TI41" s="17"/>
      <c r="TJ41" s="17"/>
      <c r="TK41" s="17"/>
      <c r="TL41" s="17"/>
      <c r="TM41" s="17"/>
      <c r="TN41" s="17"/>
      <c r="TO41" s="17"/>
      <c r="TP41" s="17"/>
      <c r="TQ41" s="17"/>
      <c r="TR41" s="17"/>
      <c r="TS41" s="17"/>
      <c r="TT41" s="17"/>
      <c r="TU41" s="17"/>
      <c r="TV41" s="17"/>
      <c r="TW41" s="17"/>
      <c r="TX41" s="17"/>
      <c r="TY41" s="17"/>
      <c r="TZ41" s="17"/>
      <c r="UA41" s="17"/>
      <c r="UB41" s="17"/>
      <c r="UC41" s="17"/>
      <c r="UD41" s="17"/>
      <c r="UE41" s="17"/>
      <c r="UF41" s="17"/>
      <c r="UG41" s="17"/>
      <c r="UH41" s="17"/>
      <c r="UI41" s="17"/>
      <c r="UJ41" s="17"/>
      <c r="UK41" s="17"/>
      <c r="UL41" s="17"/>
      <c r="UM41" s="17"/>
      <c r="UN41" s="17"/>
      <c r="UO41" s="17"/>
      <c r="UP41" s="17"/>
      <c r="UQ41" s="17"/>
      <c r="UR41" s="17"/>
      <c r="US41" s="17"/>
      <c r="UT41" s="17"/>
      <c r="UU41" s="17"/>
      <c r="UV41" s="17"/>
      <c r="UW41" s="17"/>
      <c r="UX41" s="17"/>
      <c r="UY41" s="17"/>
      <c r="UZ41" s="17"/>
      <c r="VA41" s="17"/>
      <c r="VB41" s="17"/>
      <c r="VC41" s="17"/>
      <c r="VD41" s="17"/>
      <c r="VE41" s="17"/>
      <c r="VF41" s="17"/>
      <c r="VG41" s="17"/>
      <c r="VH41" s="17"/>
      <c r="VI41" s="17"/>
      <c r="VJ41" s="17"/>
      <c r="VK41" s="17"/>
      <c r="VL41" s="17"/>
      <c r="VM41" s="17"/>
      <c r="VN41" s="17"/>
      <c r="VO41" s="17"/>
      <c r="VP41" s="17"/>
      <c r="VQ41" s="17"/>
      <c r="VR41" s="17"/>
      <c r="VS41" s="17"/>
      <c r="VT41" s="17"/>
      <c r="VU41" s="17"/>
      <c r="VV41" s="17"/>
      <c r="VW41" s="17"/>
      <c r="VX41" s="17"/>
      <c r="VY41" s="17"/>
      <c r="VZ41" s="17"/>
      <c r="WA41" s="17"/>
      <c r="WB41" s="17"/>
      <c r="WC41" s="17"/>
      <c r="WD41" s="17"/>
      <c r="WE41" s="17"/>
      <c r="WF41" s="17"/>
      <c r="WG41" s="17"/>
      <c r="WH41" s="17"/>
      <c r="WI41" s="17"/>
      <c r="WJ41" s="17"/>
      <c r="WK41" s="17"/>
      <c r="WL41" s="17"/>
      <c r="WM41" s="17"/>
      <c r="WN41" s="17"/>
      <c r="WO41" s="17"/>
      <c r="WP41" s="17"/>
      <c r="WQ41" s="17"/>
      <c r="WR41" s="17"/>
      <c r="WS41" s="17"/>
      <c r="WT41" s="17"/>
      <c r="WU41" s="17"/>
      <c r="WV41" s="17"/>
      <c r="WW41" s="17"/>
      <c r="WX41" s="17"/>
      <c r="WY41" s="17"/>
      <c r="WZ41" s="17"/>
      <c r="XA41" s="17"/>
      <c r="XB41" s="17"/>
      <c r="XC41" s="17"/>
      <c r="XD41" s="17"/>
      <c r="XE41" s="17"/>
      <c r="XF41" s="17"/>
      <c r="XG41" s="17"/>
      <c r="XH41" s="17"/>
      <c r="XI41" s="17"/>
      <c r="XJ41" s="17"/>
      <c r="XK41" s="17"/>
      <c r="XL41" s="17"/>
      <c r="XM41" s="17"/>
      <c r="XN41" s="17"/>
      <c r="XO41" s="17"/>
      <c r="XP41" s="17"/>
      <c r="XQ41" s="17"/>
      <c r="XR41" s="17"/>
      <c r="XS41" s="17"/>
      <c r="XT41" s="17"/>
      <c r="XU41" s="17"/>
      <c r="XV41" s="17"/>
      <c r="XW41" s="17"/>
      <c r="XX41" s="17"/>
      <c r="XY41" s="17"/>
      <c r="XZ41" s="17"/>
      <c r="YA41" s="17"/>
      <c r="YB41" s="17"/>
      <c r="YC41" s="17"/>
      <c r="YD41" s="17"/>
      <c r="YE41" s="17"/>
      <c r="YF41" s="17"/>
      <c r="YG41" s="17"/>
      <c r="YH41" s="17"/>
      <c r="YI41" s="17"/>
      <c r="YJ41" s="17"/>
      <c r="YK41" s="17"/>
      <c r="YL41" s="17"/>
      <c r="YM41" s="17"/>
      <c r="YN41" s="17"/>
      <c r="YO41" s="17"/>
      <c r="YP41" s="17"/>
      <c r="YQ41" s="17"/>
      <c r="YR41" s="17"/>
      <c r="YS41" s="17"/>
      <c r="YT41" s="17"/>
      <c r="YU41" s="17"/>
      <c r="YV41" s="17"/>
      <c r="YW41" s="17"/>
      <c r="YX41" s="17"/>
      <c r="YY41" s="17"/>
      <c r="YZ41" s="17"/>
      <c r="ZA41" s="17"/>
      <c r="ZB41" s="17"/>
      <c r="ZC41" s="17"/>
      <c r="ZD41" s="17"/>
      <c r="ZE41" s="17"/>
      <c r="ZF41" s="17"/>
      <c r="ZG41" s="17"/>
      <c r="ZH41" s="17"/>
      <c r="ZI41" s="17"/>
      <c r="ZJ41" s="17"/>
      <c r="ZK41" s="17"/>
    </row>
    <row r="42" spans="1:687" ht="22.5" customHeight="1" x14ac:dyDescent="0.25">
      <c r="A42" s="94"/>
      <c r="B42" s="94"/>
      <c r="C42" s="94"/>
      <c r="D42" s="94"/>
      <c r="E42" s="94"/>
      <c r="F42" s="94"/>
      <c r="G42" s="94"/>
      <c r="H42" s="94"/>
      <c r="I42" s="94"/>
      <c r="J42" s="94"/>
      <c r="K42" s="94"/>
      <c r="L42" s="94"/>
      <c r="M42" s="94"/>
      <c r="N42" s="94"/>
      <c r="O42" s="94"/>
      <c r="P42" s="94"/>
      <c r="Q42" s="94"/>
      <c r="R42" s="94"/>
      <c r="S42" s="95"/>
      <c r="T42" s="94"/>
      <c r="U42" s="94"/>
      <c r="V42" s="96"/>
      <c r="W42" s="96"/>
      <c r="X42" s="94"/>
      <c r="Y42" s="94"/>
      <c r="Z42" s="94"/>
      <c r="AA42" s="94"/>
      <c r="AB42" s="94"/>
      <c r="AC42" s="94"/>
      <c r="AD42" s="94"/>
      <c r="AE42" s="94"/>
      <c r="AF42" s="95"/>
      <c r="AG42" s="94"/>
      <c r="AH42" s="94"/>
      <c r="AI42" s="94"/>
      <c r="AJ42" s="94"/>
      <c r="AK42" s="94"/>
      <c r="AL42" s="94"/>
      <c r="AM42" s="94"/>
      <c r="AN42" s="95"/>
      <c r="AO42" s="94"/>
      <c r="AP42" s="94"/>
      <c r="AQ42" s="94"/>
      <c r="AR42" s="94"/>
      <c r="AS42" s="94"/>
      <c r="AT42" s="94"/>
      <c r="AU42" s="94"/>
      <c r="AV42" s="95"/>
      <c r="AW42" s="94"/>
      <c r="AX42" s="94"/>
      <c r="AY42" s="94"/>
      <c r="AZ42" s="94"/>
      <c r="BA42" s="94"/>
      <c r="BB42" s="94"/>
      <c r="BC42" s="94"/>
      <c r="BD42" s="95"/>
      <c r="BE42" s="94"/>
      <c r="BF42" s="94"/>
      <c r="BG42" s="94"/>
      <c r="BH42" s="94"/>
      <c r="BI42" s="94"/>
      <c r="BJ42" s="94"/>
      <c r="BK42" s="94"/>
      <c r="BL42" s="95"/>
      <c r="BM42" s="94"/>
      <c r="BN42" s="94"/>
      <c r="BO42" s="94"/>
      <c r="BP42" s="94"/>
      <c r="BQ42" s="94"/>
      <c r="BR42" s="94"/>
      <c r="BS42" s="94"/>
      <c r="BT42" s="95"/>
    </row>
    <row r="43" spans="1:687" ht="22.5" customHeight="1" x14ac:dyDescent="0.25">
      <c r="A43" s="94"/>
      <c r="B43" s="94"/>
      <c r="C43" s="94"/>
      <c r="D43" s="94"/>
      <c r="E43" s="94"/>
      <c r="F43" s="94"/>
      <c r="G43" s="94"/>
      <c r="H43" s="94"/>
      <c r="I43" s="94"/>
      <c r="J43" s="94"/>
      <c r="K43" s="94"/>
      <c r="L43" s="94"/>
      <c r="M43" s="94"/>
      <c r="N43" s="94"/>
      <c r="O43" s="94"/>
      <c r="P43" s="94"/>
      <c r="Q43" s="94"/>
      <c r="R43" s="94"/>
      <c r="S43" s="95"/>
      <c r="T43" s="94"/>
      <c r="U43" s="94"/>
      <c r="V43" s="96"/>
      <c r="W43" s="96"/>
      <c r="X43" s="94"/>
      <c r="Y43" s="94"/>
      <c r="Z43" s="94"/>
      <c r="AA43" s="94"/>
      <c r="AB43" s="94"/>
      <c r="AC43" s="94"/>
      <c r="AD43" s="94"/>
      <c r="AE43" s="94"/>
      <c r="AF43" s="95"/>
      <c r="AG43" s="94"/>
      <c r="AH43" s="94"/>
      <c r="AI43" s="94"/>
      <c r="AJ43" s="94"/>
      <c r="AK43" s="94"/>
      <c r="AL43" s="94"/>
      <c r="AM43" s="94"/>
      <c r="AN43" s="95"/>
      <c r="AO43" s="94"/>
      <c r="AP43" s="94"/>
      <c r="AQ43" s="94"/>
      <c r="AR43" s="94"/>
      <c r="AS43" s="94"/>
      <c r="AT43" s="94"/>
      <c r="AU43" s="94"/>
      <c r="AV43" s="95"/>
      <c r="AW43" s="94"/>
      <c r="AX43" s="94"/>
      <c r="AY43" s="94"/>
      <c r="AZ43" s="94"/>
      <c r="BA43" s="94"/>
      <c r="BB43" s="94"/>
      <c r="BC43" s="94"/>
      <c r="BD43" s="95"/>
      <c r="BE43" s="94"/>
      <c r="BF43" s="94"/>
      <c r="BG43" s="94"/>
      <c r="BH43" s="94"/>
      <c r="BI43" s="94"/>
      <c r="BJ43" s="94"/>
      <c r="BK43" s="94"/>
      <c r="BL43" s="95"/>
      <c r="BM43" s="94"/>
      <c r="BN43" s="94"/>
      <c r="BO43" s="94"/>
      <c r="BP43" s="94"/>
      <c r="BQ43" s="94"/>
      <c r="BR43" s="94"/>
      <c r="BS43" s="94"/>
      <c r="BT43" s="95"/>
    </row>
    <row r="44" spans="1:687" ht="69.75" customHeight="1" x14ac:dyDescent="0.25">
      <c r="A44" s="17"/>
      <c r="B44" s="17"/>
      <c r="C44" s="17"/>
      <c r="D44" s="17"/>
      <c r="E44" s="17"/>
      <c r="F44" s="17"/>
      <c r="G44" s="17"/>
      <c r="H44" s="17"/>
      <c r="I44" s="17"/>
      <c r="J44" s="17"/>
      <c r="K44" s="17"/>
      <c r="L44" s="17"/>
      <c r="M44" s="17"/>
      <c r="N44" s="17"/>
      <c r="O44" s="17"/>
      <c r="P44" s="17"/>
      <c r="Q44" s="17"/>
      <c r="R44" s="17"/>
      <c r="S44" s="1"/>
      <c r="T44" s="17"/>
      <c r="U44" s="17"/>
      <c r="V44" s="99"/>
      <c r="W44" s="99"/>
      <c r="Y44" s="382" t="s">
        <v>378</v>
      </c>
      <c r="Z44" s="382"/>
      <c r="AA44" s="42">
        <f>AVERAGE(AA10,AA14,AA18,AA22,AA26,AA28,AA32,AA35,AA39,AA41)</f>
        <v>0.28675824510735387</v>
      </c>
      <c r="AC44" s="382" t="s">
        <v>379</v>
      </c>
      <c r="AD44" s="382"/>
      <c r="AE44" s="42">
        <f>AVERAGE(AE10,AE14,AE18,AE22,AE26,AE28,AE35)</f>
        <v>0.35959197331959869</v>
      </c>
      <c r="AG44" s="382" t="s">
        <v>378</v>
      </c>
      <c r="AH44" s="382"/>
      <c r="AI44" s="42">
        <f>AVERAGE(AI10,AI14,AI18,AI22,AI26,AI28,AI32,AI35,AI39,AI41)</f>
        <v>0.35773411917775177</v>
      </c>
      <c r="AK44" s="382" t="s">
        <v>379</v>
      </c>
      <c r="AL44" s="382"/>
      <c r="AM44" s="42">
        <f>AVERAGE(AM10,AM14,AM18,AM22,AM26,AM28,AM35)</f>
        <v>0.57237631414596446</v>
      </c>
      <c r="AO44" s="382" t="s">
        <v>593</v>
      </c>
      <c r="AP44" s="382"/>
      <c r="AQ44" s="42">
        <f>AVERAGE(AQ10,AQ14,AQ18,AQ22,AQ26,AQ28,AQ32,AQ35,AQ39,AQ41)</f>
        <v>0.46949004309029652</v>
      </c>
      <c r="AS44" s="382" t="s">
        <v>594</v>
      </c>
      <c r="AT44" s="382"/>
      <c r="AU44" s="42">
        <f>AVERAGE(AU10,AU14,AU18,AU22,AU26,AU28,AU35)</f>
        <v>0.82699459146277099</v>
      </c>
      <c r="AW44" s="382" t="s">
        <v>378</v>
      </c>
      <c r="AX44" s="382"/>
      <c r="AY44" s="42">
        <f>AVERAGE(AY10,AY14,AY18,AY22,AY26,AY28,AY32,AY35,AY39,AY41)</f>
        <v>0.5698310750467771</v>
      </c>
      <c r="BA44" s="382" t="s">
        <v>379</v>
      </c>
      <c r="BB44" s="382"/>
      <c r="BC44" s="42">
        <f>AVERAGE(BC10,BC14,BC18,BC22,BC26,BC28,BC35)</f>
        <v>1.0719792288383805</v>
      </c>
      <c r="BE44" s="382" t="s">
        <v>378</v>
      </c>
      <c r="BF44" s="382"/>
      <c r="BG44" s="42">
        <v>0.64996505653086611</v>
      </c>
      <c r="BI44" s="382" t="s">
        <v>379</v>
      </c>
      <c r="BJ44" s="382"/>
      <c r="BK44" s="42">
        <v>1.3032708591274047</v>
      </c>
      <c r="BM44" s="382" t="s">
        <v>593</v>
      </c>
      <c r="BN44" s="382"/>
      <c r="BO44" s="42">
        <v>0.77383491770624702</v>
      </c>
      <c r="BQ44" s="382" t="s">
        <v>594</v>
      </c>
      <c r="BR44" s="382"/>
      <c r="BS44" s="42">
        <v>1.4728513917616559</v>
      </c>
    </row>
    <row r="45" spans="1:687" s="17" customFormat="1" ht="22.5" customHeight="1" x14ac:dyDescent="0.25">
      <c r="S45" s="1"/>
      <c r="V45" s="99"/>
      <c r="W45" s="99"/>
      <c r="AF45" s="1"/>
      <c r="AN45" s="1"/>
      <c r="AV45" s="1"/>
      <c r="BD45" s="1"/>
      <c r="BL45" s="1"/>
      <c r="BT45" s="1"/>
    </row>
    <row r="46" spans="1:687" s="17" customFormat="1" ht="22.5" customHeight="1" x14ac:dyDescent="0.25">
      <c r="S46" s="1"/>
      <c r="V46" s="99"/>
      <c r="W46" s="99"/>
      <c r="AF46" s="1"/>
      <c r="AN46" s="1"/>
      <c r="AV46" s="1"/>
      <c r="BD46" s="1"/>
      <c r="BL46" s="1"/>
      <c r="BT46" s="1"/>
    </row>
    <row r="47" spans="1:687" s="17" customFormat="1" ht="22.5" customHeight="1" x14ac:dyDescent="0.25">
      <c r="S47" s="1"/>
      <c r="V47" s="99"/>
      <c r="W47" s="99"/>
      <c r="AF47" s="1"/>
      <c r="AN47" s="1"/>
      <c r="AV47" s="1"/>
      <c r="BD47" s="1"/>
      <c r="BL47" s="1"/>
      <c r="BT47" s="1"/>
    </row>
    <row r="48" spans="1:687" s="17" customFormat="1" ht="22.5" customHeight="1" x14ac:dyDescent="0.25">
      <c r="S48" s="1"/>
      <c r="V48" s="99"/>
      <c r="W48" s="99"/>
      <c r="AF48" s="1"/>
      <c r="AN48" s="1"/>
      <c r="AV48" s="1"/>
      <c r="BD48" s="1"/>
      <c r="BL48" s="1"/>
      <c r="BT48" s="1"/>
    </row>
    <row r="49" spans="19:72" s="17" customFormat="1" ht="22.5" customHeight="1" x14ac:dyDescent="0.25">
      <c r="S49" s="1"/>
      <c r="V49" s="99"/>
      <c r="W49" s="99"/>
      <c r="AF49" s="1"/>
      <c r="AN49" s="1"/>
      <c r="AV49" s="1"/>
      <c r="BD49" s="1"/>
      <c r="BL49" s="1"/>
      <c r="BT49" s="1"/>
    </row>
    <row r="50" spans="19:72" s="17" customFormat="1" ht="22.5" customHeight="1" x14ac:dyDescent="0.25">
      <c r="S50" s="1"/>
      <c r="V50" s="99"/>
      <c r="W50" s="99"/>
      <c r="AF50" s="1"/>
      <c r="AN50" s="1"/>
      <c r="AV50" s="1"/>
      <c r="BD50" s="1"/>
      <c r="BL50" s="1"/>
      <c r="BT50" s="1"/>
    </row>
    <row r="51" spans="19:72" s="17" customFormat="1" ht="22.5" customHeight="1" x14ac:dyDescent="0.25">
      <c r="S51" s="1"/>
      <c r="V51" s="99"/>
      <c r="W51" s="99"/>
      <c r="AF51" s="1"/>
      <c r="AN51" s="1"/>
      <c r="AV51" s="1"/>
      <c r="BD51" s="1"/>
      <c r="BL51" s="1"/>
      <c r="BT51" s="1"/>
    </row>
    <row r="52" spans="19:72" s="17" customFormat="1" ht="22.5" customHeight="1" x14ac:dyDescent="0.25">
      <c r="S52" s="1"/>
      <c r="V52" s="99"/>
      <c r="W52" s="99"/>
      <c r="AF52" s="1"/>
      <c r="AN52" s="1"/>
      <c r="AV52" s="1"/>
      <c r="BD52" s="1"/>
      <c r="BL52" s="1"/>
      <c r="BT52" s="1"/>
    </row>
    <row r="53" spans="19:72" s="17" customFormat="1" ht="22.5" customHeight="1" x14ac:dyDescent="0.25">
      <c r="S53" s="1"/>
      <c r="V53" s="99"/>
      <c r="W53" s="99"/>
      <c r="AF53" s="1"/>
      <c r="AN53" s="1"/>
      <c r="AV53" s="1"/>
      <c r="BD53" s="1"/>
      <c r="BL53" s="1"/>
      <c r="BT53" s="1"/>
    </row>
    <row r="54" spans="19:72" s="17" customFormat="1" ht="22.5" customHeight="1" x14ac:dyDescent="0.25">
      <c r="S54" s="1"/>
      <c r="V54" s="99"/>
      <c r="W54" s="99"/>
      <c r="AF54" s="1"/>
      <c r="AN54" s="1"/>
      <c r="AV54" s="1"/>
      <c r="BD54" s="1"/>
      <c r="BL54" s="1"/>
      <c r="BT54" s="1"/>
    </row>
    <row r="55" spans="19:72" s="17" customFormat="1" ht="22.5" customHeight="1" x14ac:dyDescent="0.25">
      <c r="S55" s="1"/>
      <c r="V55" s="99"/>
      <c r="W55" s="99"/>
      <c r="AF55" s="1"/>
      <c r="AN55" s="1"/>
      <c r="AV55" s="1"/>
      <c r="BD55" s="1"/>
      <c r="BL55" s="1"/>
      <c r="BT55" s="1"/>
    </row>
    <row r="56" spans="19:72" s="17" customFormat="1" ht="22.5" customHeight="1" x14ac:dyDescent="0.25">
      <c r="S56" s="1"/>
      <c r="V56" s="99"/>
      <c r="W56" s="99"/>
      <c r="AF56" s="1"/>
      <c r="AN56" s="1"/>
      <c r="AV56" s="1"/>
      <c r="BD56" s="1"/>
      <c r="BL56" s="1"/>
      <c r="BT56" s="1"/>
    </row>
    <row r="57" spans="19:72" s="17" customFormat="1" ht="22.5" customHeight="1" x14ac:dyDescent="0.25">
      <c r="S57" s="1"/>
      <c r="V57" s="99"/>
      <c r="W57" s="99"/>
      <c r="AF57" s="1"/>
      <c r="AN57" s="1"/>
      <c r="AV57" s="1"/>
      <c r="BD57" s="1"/>
      <c r="BL57" s="1"/>
      <c r="BT57" s="1"/>
    </row>
    <row r="58" spans="19:72" s="17" customFormat="1" ht="22.5" customHeight="1" x14ac:dyDescent="0.25">
      <c r="S58" s="1"/>
      <c r="V58" s="99"/>
      <c r="W58" s="99"/>
      <c r="AF58" s="1"/>
      <c r="AN58" s="1"/>
      <c r="AV58" s="1"/>
      <c r="BD58" s="1"/>
      <c r="BL58" s="1"/>
      <c r="BT58" s="1"/>
    </row>
    <row r="59" spans="19:72" s="17" customFormat="1" ht="22.5" customHeight="1" x14ac:dyDescent="0.25">
      <c r="S59" s="1"/>
      <c r="V59" s="99"/>
      <c r="W59" s="99"/>
      <c r="AF59" s="1"/>
      <c r="AN59" s="1"/>
      <c r="AV59" s="1"/>
      <c r="BD59" s="1"/>
      <c r="BL59" s="1"/>
      <c r="BT59" s="1"/>
    </row>
    <row r="60" spans="19:72" s="17" customFormat="1" ht="22.5" customHeight="1" x14ac:dyDescent="0.25">
      <c r="S60" s="1"/>
      <c r="V60" s="99"/>
      <c r="W60" s="99"/>
      <c r="AF60" s="1"/>
      <c r="AN60" s="1"/>
      <c r="AV60" s="1"/>
      <c r="BD60" s="1"/>
      <c r="BL60" s="1"/>
      <c r="BT60" s="1"/>
    </row>
    <row r="61" spans="19:72" s="17" customFormat="1" ht="22.5" customHeight="1" x14ac:dyDescent="0.25">
      <c r="S61" s="1"/>
      <c r="V61" s="99"/>
      <c r="W61" s="99"/>
      <c r="AF61" s="1"/>
      <c r="AN61" s="1"/>
      <c r="AV61" s="1"/>
      <c r="BD61" s="1"/>
      <c r="BL61" s="1"/>
      <c r="BT61" s="1"/>
    </row>
    <row r="62" spans="19:72" s="17" customFormat="1" ht="22.5" customHeight="1" x14ac:dyDescent="0.25">
      <c r="S62" s="1"/>
      <c r="V62" s="99"/>
      <c r="W62" s="99"/>
      <c r="AF62" s="1"/>
      <c r="AN62" s="1"/>
      <c r="AV62" s="1"/>
      <c r="BD62" s="1"/>
      <c r="BL62" s="1"/>
      <c r="BT62" s="1"/>
    </row>
    <row r="63" spans="19:72" s="17" customFormat="1" ht="22.5" customHeight="1" x14ac:dyDescent="0.25">
      <c r="S63" s="1"/>
      <c r="V63" s="99"/>
      <c r="W63" s="99"/>
      <c r="AF63" s="1"/>
      <c r="AN63" s="1"/>
      <c r="AV63" s="1"/>
      <c r="BD63" s="1"/>
      <c r="BL63" s="1"/>
      <c r="BT63" s="1"/>
    </row>
    <row r="64" spans="19:72" s="17" customFormat="1" ht="22.5" customHeight="1" x14ac:dyDescent="0.25">
      <c r="S64" s="1"/>
      <c r="V64" s="99"/>
      <c r="W64" s="99"/>
      <c r="AF64" s="1"/>
      <c r="AN64" s="1"/>
      <c r="AV64" s="1"/>
      <c r="BD64" s="1"/>
      <c r="BL64" s="1"/>
      <c r="BT64" s="1"/>
    </row>
    <row r="65" spans="19:72" s="17" customFormat="1" ht="22.5" customHeight="1" x14ac:dyDescent="0.25">
      <c r="S65" s="1"/>
      <c r="V65" s="99"/>
      <c r="W65" s="99"/>
      <c r="AF65" s="1"/>
      <c r="AN65" s="1"/>
      <c r="AV65" s="1"/>
      <c r="BD65" s="1"/>
      <c r="BL65" s="1"/>
      <c r="BT65" s="1"/>
    </row>
    <row r="66" spans="19:72" s="17" customFormat="1" ht="22.5" customHeight="1" x14ac:dyDescent="0.25">
      <c r="S66" s="1"/>
      <c r="V66" s="99"/>
      <c r="W66" s="99"/>
      <c r="AF66" s="1"/>
      <c r="AN66" s="1"/>
      <c r="AV66" s="1"/>
      <c r="BD66" s="1"/>
      <c r="BL66" s="1"/>
      <c r="BT66" s="1"/>
    </row>
    <row r="67" spans="19:72" s="17" customFormat="1" ht="22.5" customHeight="1" x14ac:dyDescent="0.25">
      <c r="S67" s="1"/>
      <c r="V67" s="99"/>
      <c r="W67" s="99"/>
      <c r="AF67" s="1"/>
      <c r="AN67" s="1"/>
      <c r="AV67" s="1"/>
      <c r="BD67" s="1"/>
      <c r="BL67" s="1"/>
      <c r="BT67" s="1"/>
    </row>
    <row r="68" spans="19:72" s="17" customFormat="1" ht="22.5" customHeight="1" x14ac:dyDescent="0.25">
      <c r="S68" s="1"/>
      <c r="V68" s="99"/>
      <c r="W68" s="99"/>
      <c r="AF68" s="1"/>
      <c r="AN68" s="1"/>
      <c r="AV68" s="1"/>
      <c r="BD68" s="1"/>
      <c r="BL68" s="1"/>
      <c r="BT68" s="1"/>
    </row>
    <row r="69" spans="19:72" s="17" customFormat="1" ht="22.5" customHeight="1" x14ac:dyDescent="0.25">
      <c r="S69" s="1"/>
      <c r="V69" s="99"/>
      <c r="W69" s="99"/>
      <c r="AF69" s="1"/>
      <c r="AN69" s="1"/>
      <c r="AV69" s="1"/>
      <c r="BD69" s="1"/>
      <c r="BL69" s="1"/>
      <c r="BT69" s="1"/>
    </row>
    <row r="70" spans="19:72" s="17" customFormat="1" ht="22.5" customHeight="1" x14ac:dyDescent="0.25">
      <c r="S70" s="1"/>
      <c r="V70" s="99"/>
      <c r="W70" s="99"/>
      <c r="AF70" s="1"/>
      <c r="AN70" s="1"/>
      <c r="AV70" s="1"/>
      <c r="BD70" s="1"/>
      <c r="BL70" s="1"/>
      <c r="BT70" s="1"/>
    </row>
    <row r="71" spans="19:72" s="17" customFormat="1" ht="22.5" customHeight="1" x14ac:dyDescent="0.25">
      <c r="S71" s="1"/>
      <c r="V71" s="99"/>
      <c r="W71" s="99"/>
      <c r="AF71" s="1"/>
      <c r="AN71" s="1"/>
      <c r="AV71" s="1"/>
      <c r="BD71" s="1"/>
      <c r="BL71" s="1"/>
      <c r="BT71" s="1"/>
    </row>
    <row r="72" spans="19:72" s="17" customFormat="1" ht="22.5" customHeight="1" x14ac:dyDescent="0.25">
      <c r="S72" s="1"/>
      <c r="V72" s="99"/>
      <c r="W72" s="99"/>
      <c r="AF72" s="1"/>
      <c r="AN72" s="1"/>
      <c r="AV72" s="1"/>
      <c r="BD72" s="1"/>
      <c r="BL72" s="1"/>
      <c r="BT72" s="1"/>
    </row>
    <row r="73" spans="19:72" s="17" customFormat="1" ht="22.5" customHeight="1" x14ac:dyDescent="0.25">
      <c r="S73" s="1"/>
      <c r="V73" s="99"/>
      <c r="W73" s="99"/>
      <c r="AF73" s="1"/>
      <c r="AN73" s="1"/>
      <c r="AV73" s="1"/>
      <c r="BD73" s="1"/>
      <c r="BL73" s="1"/>
      <c r="BT73" s="1"/>
    </row>
    <row r="74" spans="19:72" s="17" customFormat="1" ht="22.5" customHeight="1" x14ac:dyDescent="0.25">
      <c r="S74" s="1"/>
      <c r="V74" s="99"/>
      <c r="W74" s="99"/>
      <c r="AF74" s="1"/>
      <c r="AN74" s="1"/>
      <c r="AV74" s="1"/>
      <c r="BD74" s="1"/>
      <c r="BL74" s="1"/>
      <c r="BT74" s="1"/>
    </row>
    <row r="75" spans="19:72" s="17" customFormat="1" ht="22.5" customHeight="1" x14ac:dyDescent="0.25">
      <c r="S75" s="1"/>
      <c r="V75" s="99"/>
      <c r="W75" s="99"/>
      <c r="AF75" s="1"/>
      <c r="AN75" s="1"/>
      <c r="AV75" s="1"/>
      <c r="BD75" s="1"/>
      <c r="BL75" s="1"/>
      <c r="BT75" s="1"/>
    </row>
    <row r="76" spans="19:72" s="17" customFormat="1" ht="22.5" customHeight="1" x14ac:dyDescent="0.25">
      <c r="S76" s="1"/>
      <c r="V76" s="99"/>
      <c r="W76" s="99"/>
      <c r="AF76" s="1"/>
      <c r="AN76" s="1"/>
      <c r="AV76" s="1"/>
      <c r="BD76" s="1"/>
      <c r="BL76" s="1"/>
      <c r="BT76" s="1"/>
    </row>
    <row r="77" spans="19:72" s="17" customFormat="1" ht="22.5" customHeight="1" x14ac:dyDescent="0.25">
      <c r="S77" s="1"/>
      <c r="V77" s="99"/>
      <c r="W77" s="99"/>
      <c r="AF77" s="1"/>
      <c r="AN77" s="1"/>
      <c r="AV77" s="1"/>
      <c r="BD77" s="1"/>
      <c r="BL77" s="1"/>
      <c r="BT77" s="1"/>
    </row>
    <row r="78" spans="19:72" s="17" customFormat="1" ht="22.5" customHeight="1" x14ac:dyDescent="0.25">
      <c r="S78" s="1"/>
      <c r="V78" s="99"/>
      <c r="W78" s="99"/>
      <c r="AF78" s="1"/>
      <c r="AN78" s="1"/>
      <c r="AV78" s="1"/>
      <c r="BD78" s="1"/>
      <c r="BL78" s="1"/>
      <c r="BT78" s="1"/>
    </row>
    <row r="79" spans="19:72" s="17" customFormat="1" ht="22.5" customHeight="1" x14ac:dyDescent="0.25">
      <c r="S79" s="1"/>
      <c r="V79" s="99"/>
      <c r="W79" s="99"/>
      <c r="AF79" s="1"/>
      <c r="AN79" s="1"/>
      <c r="AV79" s="1"/>
      <c r="BD79" s="1"/>
      <c r="BL79" s="1"/>
      <c r="BT79" s="1"/>
    </row>
    <row r="80" spans="19:72" s="17" customFormat="1" ht="22.5" customHeight="1" x14ac:dyDescent="0.25">
      <c r="S80" s="1"/>
      <c r="V80" s="99"/>
      <c r="W80" s="99"/>
      <c r="AF80" s="1"/>
      <c r="AN80" s="1"/>
      <c r="AV80" s="1"/>
      <c r="BD80" s="1"/>
      <c r="BL80" s="1"/>
      <c r="BT80" s="1"/>
    </row>
    <row r="81" spans="19:72" s="17" customFormat="1" ht="22.5" customHeight="1" x14ac:dyDescent="0.25">
      <c r="S81" s="1"/>
      <c r="V81" s="99"/>
      <c r="W81" s="99"/>
      <c r="AF81" s="1"/>
      <c r="AN81" s="1"/>
      <c r="AV81" s="1"/>
      <c r="BD81" s="1"/>
      <c r="BL81" s="1"/>
      <c r="BT81" s="1"/>
    </row>
    <row r="82" spans="19:72" s="17" customFormat="1" ht="22.5" customHeight="1" x14ac:dyDescent="0.25">
      <c r="S82" s="1"/>
      <c r="V82" s="99"/>
      <c r="W82" s="99"/>
      <c r="AF82" s="1"/>
      <c r="AN82" s="1"/>
      <c r="AV82" s="1"/>
      <c r="BD82" s="1"/>
      <c r="BL82" s="1"/>
      <c r="BT82" s="1"/>
    </row>
    <row r="83" spans="19:72" s="17" customFormat="1" ht="22.5" customHeight="1" x14ac:dyDescent="0.25">
      <c r="S83" s="1"/>
      <c r="V83" s="99"/>
      <c r="W83" s="99"/>
      <c r="AF83" s="1"/>
      <c r="AN83" s="1"/>
      <c r="AV83" s="1"/>
      <c r="BD83" s="1"/>
      <c r="BL83" s="1"/>
      <c r="BT83" s="1"/>
    </row>
    <row r="84" spans="19:72" s="17" customFormat="1" ht="22.5" customHeight="1" x14ac:dyDescent="0.25">
      <c r="S84" s="1"/>
      <c r="V84" s="99"/>
      <c r="W84" s="99"/>
      <c r="AF84" s="1"/>
      <c r="AN84" s="1"/>
      <c r="AV84" s="1"/>
      <c r="BD84" s="1"/>
      <c r="BL84" s="1"/>
      <c r="BT84" s="1"/>
    </row>
    <row r="85" spans="19:72" s="17" customFormat="1" ht="22.5" customHeight="1" x14ac:dyDescent="0.25">
      <c r="S85" s="1"/>
      <c r="V85" s="99"/>
      <c r="W85" s="99"/>
      <c r="AF85" s="1"/>
      <c r="AN85" s="1"/>
      <c r="AV85" s="1"/>
      <c r="BD85" s="1"/>
      <c r="BL85" s="1"/>
      <c r="BT85" s="1"/>
    </row>
    <row r="86" spans="19:72" s="17" customFormat="1" ht="22.5" customHeight="1" x14ac:dyDescent="0.25">
      <c r="S86" s="1"/>
      <c r="V86" s="99"/>
      <c r="W86" s="99"/>
      <c r="AF86" s="1"/>
      <c r="AN86" s="1"/>
      <c r="AV86" s="1"/>
      <c r="BD86" s="1"/>
      <c r="BL86" s="1"/>
      <c r="BT86" s="1"/>
    </row>
    <row r="87" spans="19:72" s="17" customFormat="1" ht="22.5" customHeight="1" x14ac:dyDescent="0.25">
      <c r="S87" s="1"/>
      <c r="V87" s="99"/>
      <c r="W87" s="99"/>
      <c r="AF87" s="1"/>
      <c r="AN87" s="1"/>
      <c r="AV87" s="1"/>
      <c r="BD87" s="1"/>
      <c r="BL87" s="1"/>
      <c r="BT87" s="1"/>
    </row>
    <row r="88" spans="19:72" s="17" customFormat="1" ht="22.5" customHeight="1" x14ac:dyDescent="0.25">
      <c r="S88" s="1"/>
      <c r="V88" s="99"/>
      <c r="W88" s="99"/>
      <c r="AF88" s="1"/>
      <c r="AN88" s="1"/>
      <c r="AV88" s="1"/>
      <c r="BD88" s="1"/>
      <c r="BL88" s="1"/>
      <c r="BT88" s="1"/>
    </row>
    <row r="89" spans="19:72" s="17" customFormat="1" ht="22.5" customHeight="1" x14ac:dyDescent="0.25">
      <c r="S89" s="1"/>
      <c r="V89" s="99"/>
      <c r="W89" s="99"/>
      <c r="AF89" s="1"/>
      <c r="AN89" s="1"/>
      <c r="AV89" s="1"/>
      <c r="BD89" s="1"/>
      <c r="BL89" s="1"/>
      <c r="BT89" s="1"/>
    </row>
    <row r="90" spans="19:72" s="17" customFormat="1" ht="22.5" customHeight="1" x14ac:dyDescent="0.25">
      <c r="S90" s="1"/>
      <c r="V90" s="99"/>
      <c r="W90" s="99"/>
      <c r="AF90" s="1"/>
      <c r="AN90" s="1"/>
      <c r="AV90" s="1"/>
      <c r="BD90" s="1"/>
      <c r="BL90" s="1"/>
      <c r="BT90" s="1"/>
    </row>
    <row r="91" spans="19:72" s="17" customFormat="1" ht="22.5" customHeight="1" x14ac:dyDescent="0.25">
      <c r="S91" s="1"/>
      <c r="V91" s="99"/>
      <c r="W91" s="99"/>
      <c r="AF91" s="1"/>
      <c r="AN91" s="1"/>
      <c r="AV91" s="1"/>
      <c r="BD91" s="1"/>
      <c r="BL91" s="1"/>
      <c r="BT91" s="1"/>
    </row>
    <row r="92" spans="19:72" s="17" customFormat="1" ht="22.5" customHeight="1" x14ac:dyDescent="0.25">
      <c r="S92" s="1"/>
      <c r="V92" s="99"/>
      <c r="W92" s="99"/>
      <c r="AF92" s="1"/>
      <c r="AN92" s="1"/>
      <c r="AV92" s="1"/>
      <c r="BD92" s="1"/>
      <c r="BL92" s="1"/>
      <c r="BT92" s="1"/>
    </row>
    <row r="93" spans="19:72" s="17" customFormat="1" ht="22.5" customHeight="1" x14ac:dyDescent="0.25">
      <c r="S93" s="1"/>
      <c r="V93" s="99"/>
      <c r="W93" s="99"/>
      <c r="AF93" s="1"/>
      <c r="AN93" s="1"/>
      <c r="AV93" s="1"/>
      <c r="BD93" s="1"/>
      <c r="BL93" s="1"/>
      <c r="BT93" s="1"/>
    </row>
    <row r="94" spans="19:72" s="17" customFormat="1" ht="22.5" customHeight="1" x14ac:dyDescent="0.25">
      <c r="S94" s="1"/>
      <c r="V94" s="99"/>
      <c r="W94" s="99"/>
      <c r="AF94" s="1"/>
      <c r="AN94" s="1"/>
      <c r="AV94" s="1"/>
      <c r="BD94" s="1"/>
      <c r="BL94" s="1"/>
      <c r="BT94" s="1"/>
    </row>
    <row r="95" spans="19:72" s="17" customFormat="1" ht="22.5" customHeight="1" x14ac:dyDescent="0.25">
      <c r="S95" s="1"/>
      <c r="V95" s="99"/>
      <c r="W95" s="99"/>
      <c r="AF95" s="1"/>
      <c r="AN95" s="1"/>
      <c r="AV95" s="1"/>
      <c r="BD95" s="1"/>
      <c r="BL95" s="1"/>
      <c r="BT95" s="1"/>
    </row>
    <row r="96" spans="19:72" s="17" customFormat="1" ht="22.5" customHeight="1" x14ac:dyDescent="0.25">
      <c r="S96" s="1"/>
      <c r="V96" s="99"/>
      <c r="W96" s="99"/>
      <c r="AF96" s="1"/>
      <c r="AN96" s="1"/>
      <c r="AV96" s="1"/>
      <c r="BD96" s="1"/>
      <c r="BL96" s="1"/>
      <c r="BT96" s="1"/>
    </row>
    <row r="97" spans="19:72" s="17" customFormat="1" ht="22.5" customHeight="1" x14ac:dyDescent="0.25">
      <c r="S97" s="1"/>
      <c r="V97" s="99"/>
      <c r="W97" s="99"/>
      <c r="AF97" s="1"/>
      <c r="AN97" s="1"/>
      <c r="AV97" s="1"/>
      <c r="BD97" s="1"/>
      <c r="BL97" s="1"/>
      <c r="BT97" s="1"/>
    </row>
    <row r="98" spans="19:72" s="17" customFormat="1" ht="22.5" customHeight="1" x14ac:dyDescent="0.25">
      <c r="S98" s="1"/>
      <c r="V98" s="99"/>
      <c r="W98" s="99"/>
      <c r="AF98" s="1"/>
      <c r="AN98" s="1"/>
      <c r="AV98" s="1"/>
      <c r="BD98" s="1"/>
      <c r="BL98" s="1"/>
      <c r="BT98" s="1"/>
    </row>
    <row r="99" spans="19:72" s="17" customFormat="1" ht="22.5" customHeight="1" x14ac:dyDescent="0.25">
      <c r="S99" s="1"/>
      <c r="V99" s="99"/>
      <c r="W99" s="99"/>
      <c r="AF99" s="1"/>
      <c r="AN99" s="1"/>
      <c r="AV99" s="1"/>
      <c r="BD99" s="1"/>
      <c r="BL99" s="1"/>
      <c r="BT99" s="1"/>
    </row>
    <row r="100" spans="19:72" s="17" customFormat="1" ht="22.5" customHeight="1" x14ac:dyDescent="0.25">
      <c r="S100" s="1"/>
      <c r="V100" s="99"/>
      <c r="W100" s="99"/>
      <c r="AF100" s="1"/>
      <c r="AN100" s="1"/>
      <c r="AV100" s="1"/>
      <c r="BD100" s="1"/>
      <c r="BL100" s="1"/>
      <c r="BT100" s="1"/>
    </row>
    <row r="101" spans="19:72" s="17" customFormat="1" ht="22.5" customHeight="1" x14ac:dyDescent="0.25">
      <c r="S101" s="1"/>
      <c r="V101" s="99"/>
      <c r="W101" s="99"/>
      <c r="AF101" s="1"/>
      <c r="AN101" s="1"/>
      <c r="AV101" s="1"/>
      <c r="BD101" s="1"/>
      <c r="BL101" s="1"/>
      <c r="BT101" s="1"/>
    </row>
    <row r="102" spans="19:72" s="17" customFormat="1" ht="22.5" customHeight="1" x14ac:dyDescent="0.25">
      <c r="S102" s="1"/>
      <c r="V102" s="99"/>
      <c r="W102" s="99"/>
      <c r="AF102" s="1"/>
      <c r="AN102" s="1"/>
      <c r="AV102" s="1"/>
      <c r="BD102" s="1"/>
      <c r="BL102" s="1"/>
      <c r="BT102" s="1"/>
    </row>
    <row r="103" spans="19:72" s="17" customFormat="1" ht="22.5" customHeight="1" x14ac:dyDescent="0.25">
      <c r="S103" s="1"/>
      <c r="V103" s="99"/>
      <c r="W103" s="99"/>
      <c r="AF103" s="1"/>
      <c r="AN103" s="1"/>
      <c r="AV103" s="1"/>
      <c r="BD103" s="1"/>
      <c r="BL103" s="1"/>
      <c r="BT103" s="1"/>
    </row>
    <row r="104" spans="19:72" s="17" customFormat="1" ht="22.5" customHeight="1" x14ac:dyDescent="0.25">
      <c r="S104" s="1"/>
      <c r="V104" s="99"/>
      <c r="W104" s="99"/>
      <c r="AF104" s="1"/>
      <c r="AN104" s="1"/>
      <c r="AV104" s="1"/>
      <c r="BD104" s="1"/>
      <c r="BL104" s="1"/>
      <c r="BT104" s="1"/>
    </row>
    <row r="105" spans="19:72" s="17" customFormat="1" ht="22.5" customHeight="1" x14ac:dyDescent="0.25">
      <c r="S105" s="1"/>
      <c r="V105" s="99"/>
      <c r="W105" s="99"/>
      <c r="AF105" s="1"/>
      <c r="AN105" s="1"/>
      <c r="AV105" s="1"/>
      <c r="BD105" s="1"/>
      <c r="BL105" s="1"/>
      <c r="BT105" s="1"/>
    </row>
    <row r="106" spans="19:72" s="17" customFormat="1" ht="22.5" customHeight="1" x14ac:dyDescent="0.25">
      <c r="S106" s="1"/>
      <c r="V106" s="99"/>
      <c r="W106" s="99"/>
      <c r="AF106" s="1"/>
      <c r="AN106" s="1"/>
      <c r="AV106" s="1"/>
      <c r="BD106" s="1"/>
      <c r="BL106" s="1"/>
      <c r="BT106" s="1"/>
    </row>
    <row r="107" spans="19:72" s="17" customFormat="1" ht="22.5" customHeight="1" x14ac:dyDescent="0.25">
      <c r="S107" s="1"/>
      <c r="V107" s="99"/>
      <c r="W107" s="99"/>
      <c r="AF107" s="1"/>
      <c r="AN107" s="1"/>
      <c r="AV107" s="1"/>
      <c r="BD107" s="1"/>
      <c r="BL107" s="1"/>
      <c r="BT107" s="1"/>
    </row>
    <row r="108" spans="19:72" s="17" customFormat="1" ht="22.5" customHeight="1" x14ac:dyDescent="0.25">
      <c r="S108" s="1"/>
      <c r="V108" s="99"/>
      <c r="W108" s="99"/>
      <c r="AF108" s="1"/>
      <c r="AN108" s="1"/>
      <c r="AV108" s="1"/>
      <c r="BD108" s="1"/>
      <c r="BL108" s="1"/>
      <c r="BT108" s="1"/>
    </row>
    <row r="109" spans="19:72" s="17" customFormat="1" ht="22.5" customHeight="1" x14ac:dyDescent="0.25">
      <c r="S109" s="1"/>
      <c r="V109" s="99"/>
      <c r="W109" s="99"/>
      <c r="AF109" s="1"/>
      <c r="AN109" s="1"/>
      <c r="AV109" s="1"/>
      <c r="BD109" s="1"/>
      <c r="BL109" s="1"/>
      <c r="BT109" s="1"/>
    </row>
    <row r="110" spans="19:72" s="17" customFormat="1" ht="22.5" customHeight="1" x14ac:dyDescent="0.25">
      <c r="S110" s="1"/>
      <c r="V110" s="99"/>
      <c r="W110" s="99"/>
      <c r="AF110" s="1"/>
      <c r="AN110" s="1"/>
      <c r="AV110" s="1"/>
      <c r="BD110" s="1"/>
      <c r="BL110" s="1"/>
      <c r="BT110" s="1"/>
    </row>
    <row r="111" spans="19:72" s="17" customFormat="1" ht="22.5" customHeight="1" x14ac:dyDescent="0.25">
      <c r="S111" s="1"/>
      <c r="V111" s="99"/>
      <c r="W111" s="99"/>
      <c r="AF111" s="1"/>
      <c r="AN111" s="1"/>
      <c r="AV111" s="1"/>
      <c r="BD111" s="1"/>
      <c r="BL111" s="1"/>
      <c r="BT111" s="1"/>
    </row>
    <row r="112" spans="19:72" s="17" customFormat="1" ht="22.5" customHeight="1" x14ac:dyDescent="0.25">
      <c r="S112" s="1"/>
      <c r="V112" s="99"/>
      <c r="W112" s="99"/>
      <c r="AF112" s="1"/>
      <c r="AN112" s="1"/>
      <c r="AV112" s="1"/>
      <c r="BD112" s="1"/>
      <c r="BL112" s="1"/>
      <c r="BT112" s="1"/>
    </row>
    <row r="113" spans="19:72" s="17" customFormat="1" ht="22.5" customHeight="1" x14ac:dyDescent="0.25">
      <c r="S113" s="1"/>
      <c r="V113" s="99"/>
      <c r="W113" s="99"/>
      <c r="AF113" s="1"/>
      <c r="AN113" s="1"/>
      <c r="AV113" s="1"/>
      <c r="BD113" s="1"/>
      <c r="BL113" s="1"/>
      <c r="BT113" s="1"/>
    </row>
    <row r="114" spans="19:72" s="17" customFormat="1" ht="22.5" customHeight="1" x14ac:dyDescent="0.25">
      <c r="S114" s="1"/>
      <c r="V114" s="99"/>
      <c r="W114" s="99"/>
      <c r="AF114" s="1"/>
      <c r="AN114" s="1"/>
      <c r="AV114" s="1"/>
      <c r="BD114" s="1"/>
      <c r="BL114" s="1"/>
      <c r="BT114" s="1"/>
    </row>
    <row r="115" spans="19:72" s="17" customFormat="1" ht="22.5" customHeight="1" x14ac:dyDescent="0.25">
      <c r="S115" s="1"/>
      <c r="V115" s="99"/>
      <c r="W115" s="99"/>
      <c r="AF115" s="1"/>
      <c r="AN115" s="1"/>
      <c r="AV115" s="1"/>
      <c r="BD115" s="1"/>
      <c r="BL115" s="1"/>
      <c r="BT115" s="1"/>
    </row>
    <row r="116" spans="19:72" s="17" customFormat="1" ht="22.5" customHeight="1" x14ac:dyDescent="0.25">
      <c r="S116" s="1"/>
      <c r="V116" s="99"/>
      <c r="W116" s="99"/>
      <c r="AF116" s="1"/>
      <c r="AN116" s="1"/>
      <c r="AV116" s="1"/>
      <c r="BD116" s="1"/>
      <c r="BL116" s="1"/>
      <c r="BT116" s="1"/>
    </row>
    <row r="117" spans="19:72" s="17" customFormat="1" ht="22.5" customHeight="1" x14ac:dyDescent="0.25">
      <c r="S117" s="1"/>
      <c r="V117" s="99"/>
      <c r="W117" s="99"/>
      <c r="AF117" s="1"/>
      <c r="AN117" s="1"/>
      <c r="AV117" s="1"/>
      <c r="BD117" s="1"/>
      <c r="BL117" s="1"/>
      <c r="BT117" s="1"/>
    </row>
    <row r="118" spans="19:72" s="17" customFormat="1" ht="22.5" customHeight="1" x14ac:dyDescent="0.25">
      <c r="S118" s="1"/>
      <c r="V118" s="99"/>
      <c r="W118" s="99"/>
      <c r="AF118" s="1"/>
      <c r="AN118" s="1"/>
      <c r="AV118" s="1"/>
      <c r="BD118" s="1"/>
      <c r="BL118" s="1"/>
      <c r="BT118" s="1"/>
    </row>
    <row r="119" spans="19:72" s="17" customFormat="1" ht="22.5" customHeight="1" x14ac:dyDescent="0.25">
      <c r="S119" s="1"/>
      <c r="V119" s="99"/>
      <c r="W119" s="99"/>
      <c r="AF119" s="1"/>
      <c r="AN119" s="1"/>
      <c r="AV119" s="1"/>
      <c r="BD119" s="1"/>
      <c r="BL119" s="1"/>
      <c r="BT119" s="1"/>
    </row>
    <row r="120" spans="19:72" s="17" customFormat="1" ht="22.5" customHeight="1" x14ac:dyDescent="0.25">
      <c r="S120" s="1"/>
      <c r="V120" s="99"/>
      <c r="W120" s="99"/>
      <c r="AF120" s="1"/>
      <c r="AN120" s="1"/>
      <c r="AV120" s="1"/>
      <c r="BD120" s="1"/>
      <c r="BL120" s="1"/>
      <c r="BT120" s="1"/>
    </row>
    <row r="121" spans="19:72" s="17" customFormat="1" ht="22.5" customHeight="1" x14ac:dyDescent="0.25">
      <c r="S121" s="1"/>
      <c r="V121" s="99"/>
      <c r="W121" s="99"/>
      <c r="AF121" s="1"/>
      <c r="AN121" s="1"/>
      <c r="AV121" s="1"/>
      <c r="BD121" s="1"/>
      <c r="BL121" s="1"/>
      <c r="BT121" s="1"/>
    </row>
    <row r="122" spans="19:72" s="17" customFormat="1" ht="22.5" customHeight="1" x14ac:dyDescent="0.25">
      <c r="S122" s="1"/>
      <c r="V122" s="99"/>
      <c r="W122" s="99"/>
      <c r="AF122" s="1"/>
      <c r="AN122" s="1"/>
      <c r="AV122" s="1"/>
      <c r="BD122" s="1"/>
      <c r="BL122" s="1"/>
      <c r="BT122" s="1"/>
    </row>
    <row r="123" spans="19:72" s="17" customFormat="1" ht="22.5" customHeight="1" x14ac:dyDescent="0.25">
      <c r="S123" s="1"/>
      <c r="V123" s="99"/>
      <c r="W123" s="99"/>
      <c r="AF123" s="1"/>
      <c r="AN123" s="1"/>
      <c r="AV123" s="1"/>
      <c r="BD123" s="1"/>
      <c r="BL123" s="1"/>
      <c r="BT123" s="1"/>
    </row>
    <row r="124" spans="19:72" s="17" customFormat="1" ht="22.5" customHeight="1" x14ac:dyDescent="0.25">
      <c r="S124" s="1"/>
      <c r="V124" s="99"/>
      <c r="W124" s="99"/>
      <c r="AF124" s="1"/>
      <c r="AN124" s="1"/>
      <c r="AV124" s="1"/>
      <c r="BD124" s="1"/>
      <c r="BL124" s="1"/>
      <c r="BT124" s="1"/>
    </row>
    <row r="125" spans="19:72" s="17" customFormat="1" ht="22.5" customHeight="1" x14ac:dyDescent="0.25">
      <c r="S125" s="1"/>
      <c r="V125" s="99"/>
      <c r="W125" s="99"/>
      <c r="AF125" s="1"/>
      <c r="AN125" s="1"/>
      <c r="AV125" s="1"/>
      <c r="BD125" s="1"/>
      <c r="BL125" s="1"/>
      <c r="BT125" s="1"/>
    </row>
    <row r="126" spans="19:72" s="17" customFormat="1" ht="22.5" customHeight="1" x14ac:dyDescent="0.25">
      <c r="S126" s="1"/>
      <c r="V126" s="99"/>
      <c r="W126" s="99"/>
      <c r="AF126" s="1"/>
      <c r="AN126" s="1"/>
      <c r="AV126" s="1"/>
      <c r="BD126" s="1"/>
      <c r="BL126" s="1"/>
      <c r="BT126" s="1"/>
    </row>
    <row r="127" spans="19:72" s="17" customFormat="1" ht="22.5" customHeight="1" x14ac:dyDescent="0.25">
      <c r="S127" s="1"/>
      <c r="V127" s="99"/>
      <c r="W127" s="99"/>
      <c r="AF127" s="1"/>
      <c r="AN127" s="1"/>
      <c r="AV127" s="1"/>
      <c r="BD127" s="1"/>
      <c r="BL127" s="1"/>
      <c r="BT127" s="1"/>
    </row>
    <row r="128" spans="19:72" s="17" customFormat="1" ht="22.5" customHeight="1" x14ac:dyDescent="0.25">
      <c r="S128" s="1"/>
      <c r="V128" s="99"/>
      <c r="W128" s="99"/>
      <c r="AF128" s="1"/>
      <c r="AN128" s="1"/>
      <c r="AV128" s="1"/>
      <c r="BD128" s="1"/>
      <c r="BL128" s="1"/>
      <c r="BT128" s="1"/>
    </row>
    <row r="129" spans="19:72" s="17" customFormat="1" ht="22.5" customHeight="1" x14ac:dyDescent="0.25">
      <c r="S129" s="1"/>
      <c r="V129" s="99"/>
      <c r="W129" s="99"/>
      <c r="AF129" s="1"/>
      <c r="AN129" s="1"/>
      <c r="AV129" s="1"/>
      <c r="BD129" s="1"/>
      <c r="BL129" s="1"/>
      <c r="BT129" s="1"/>
    </row>
    <row r="130" spans="19:72" s="17" customFormat="1" ht="22.5" customHeight="1" x14ac:dyDescent="0.25">
      <c r="S130" s="1"/>
      <c r="V130" s="99"/>
      <c r="W130" s="99"/>
      <c r="AF130" s="1"/>
      <c r="AN130" s="1"/>
      <c r="AV130" s="1"/>
      <c r="BD130" s="1"/>
      <c r="BL130" s="1"/>
      <c r="BT130" s="1"/>
    </row>
    <row r="131" spans="19:72" s="17" customFormat="1" ht="22.5" customHeight="1" x14ac:dyDescent="0.25">
      <c r="S131" s="1"/>
      <c r="V131" s="99"/>
      <c r="W131" s="99"/>
      <c r="AF131" s="1"/>
      <c r="AN131" s="1"/>
      <c r="AV131" s="1"/>
      <c r="BD131" s="1"/>
      <c r="BL131" s="1"/>
      <c r="BT131" s="1"/>
    </row>
    <row r="132" spans="19:72" s="17" customFormat="1" ht="22.5" customHeight="1" x14ac:dyDescent="0.25">
      <c r="S132" s="1"/>
      <c r="V132" s="99"/>
      <c r="W132" s="99"/>
      <c r="AF132" s="1"/>
      <c r="AN132" s="1"/>
      <c r="AV132" s="1"/>
      <c r="BD132" s="1"/>
      <c r="BL132" s="1"/>
      <c r="BT132" s="1"/>
    </row>
    <row r="133" spans="19:72" s="17" customFormat="1" ht="22.5" customHeight="1" x14ac:dyDescent="0.25">
      <c r="S133" s="1"/>
      <c r="V133" s="99"/>
      <c r="W133" s="99"/>
      <c r="AF133" s="1"/>
      <c r="AN133" s="1"/>
      <c r="AV133" s="1"/>
      <c r="BD133" s="1"/>
      <c r="BL133" s="1"/>
      <c r="BT133" s="1"/>
    </row>
    <row r="134" spans="19:72" s="17" customFormat="1" ht="22.5" customHeight="1" x14ac:dyDescent="0.25">
      <c r="S134" s="1"/>
      <c r="V134" s="99"/>
      <c r="W134" s="99"/>
      <c r="AF134" s="1"/>
      <c r="AN134" s="1"/>
      <c r="AV134" s="1"/>
      <c r="BD134" s="1"/>
      <c r="BL134" s="1"/>
      <c r="BT134" s="1"/>
    </row>
    <row r="135" spans="19:72" s="17" customFormat="1" ht="22.5" customHeight="1" x14ac:dyDescent="0.25">
      <c r="S135" s="1"/>
      <c r="V135" s="99"/>
      <c r="W135" s="99"/>
      <c r="AF135" s="1"/>
      <c r="AN135" s="1"/>
      <c r="AV135" s="1"/>
      <c r="BD135" s="1"/>
      <c r="BL135" s="1"/>
      <c r="BT135" s="1"/>
    </row>
    <row r="136" spans="19:72" s="17" customFormat="1" ht="22.5" customHeight="1" x14ac:dyDescent="0.25">
      <c r="S136" s="1"/>
      <c r="V136" s="99"/>
      <c r="W136" s="99"/>
      <c r="AF136" s="1"/>
      <c r="AN136" s="1"/>
      <c r="AV136" s="1"/>
      <c r="BD136" s="1"/>
      <c r="BL136" s="1"/>
      <c r="BT136" s="1"/>
    </row>
    <row r="137" spans="19:72" s="17" customFormat="1" ht="22.5" customHeight="1" x14ac:dyDescent="0.25">
      <c r="S137" s="1"/>
      <c r="V137" s="99"/>
      <c r="W137" s="99"/>
      <c r="AF137" s="1"/>
      <c r="AN137" s="1"/>
      <c r="AV137" s="1"/>
      <c r="BD137" s="1"/>
      <c r="BL137" s="1"/>
      <c r="BT137" s="1"/>
    </row>
    <row r="138" spans="19:72" s="17" customFormat="1" ht="22.5" customHeight="1" x14ac:dyDescent="0.25">
      <c r="S138" s="1"/>
      <c r="V138" s="99"/>
      <c r="W138" s="99"/>
      <c r="AF138" s="1"/>
      <c r="AN138" s="1"/>
      <c r="AV138" s="1"/>
      <c r="BD138" s="1"/>
      <c r="BL138" s="1"/>
      <c r="BT138" s="1"/>
    </row>
    <row r="139" spans="19:72" s="17" customFormat="1" ht="22.5" customHeight="1" x14ac:dyDescent="0.25">
      <c r="S139" s="1"/>
      <c r="V139" s="99"/>
      <c r="W139" s="99"/>
      <c r="AF139" s="1"/>
      <c r="AN139" s="1"/>
      <c r="AV139" s="1"/>
      <c r="BD139" s="1"/>
      <c r="BL139" s="1"/>
      <c r="BT139" s="1"/>
    </row>
    <row r="140" spans="19:72" s="17" customFormat="1" ht="22.5" customHeight="1" x14ac:dyDescent="0.25">
      <c r="S140" s="1"/>
      <c r="V140" s="99"/>
      <c r="W140" s="99"/>
      <c r="AF140" s="1"/>
      <c r="AN140" s="1"/>
      <c r="AV140" s="1"/>
      <c r="BD140" s="1"/>
      <c r="BL140" s="1"/>
      <c r="BT140" s="1"/>
    </row>
    <row r="141" spans="19:72" s="17" customFormat="1" ht="22.5" customHeight="1" x14ac:dyDescent="0.25">
      <c r="S141" s="1"/>
      <c r="V141" s="99"/>
      <c r="W141" s="99"/>
      <c r="AF141" s="1"/>
      <c r="AN141" s="1"/>
      <c r="AV141" s="1"/>
      <c r="BD141" s="1"/>
      <c r="BL141" s="1"/>
      <c r="BT141" s="1"/>
    </row>
    <row r="142" spans="19:72" s="17" customFormat="1" ht="22.5" customHeight="1" x14ac:dyDescent="0.25">
      <c r="S142" s="1"/>
      <c r="V142" s="99"/>
      <c r="W142" s="99"/>
      <c r="AF142" s="1"/>
      <c r="AN142" s="1"/>
      <c r="AV142" s="1"/>
      <c r="BD142" s="1"/>
      <c r="BL142" s="1"/>
      <c r="BT142" s="1"/>
    </row>
    <row r="143" spans="19:72" s="17" customFormat="1" ht="22.5" customHeight="1" x14ac:dyDescent="0.25">
      <c r="S143" s="1"/>
      <c r="V143" s="99"/>
      <c r="W143" s="99"/>
      <c r="AF143" s="1"/>
      <c r="AN143" s="1"/>
      <c r="AV143" s="1"/>
      <c r="BD143" s="1"/>
      <c r="BL143" s="1"/>
      <c r="BT143" s="1"/>
    </row>
    <row r="144" spans="19:72" s="17" customFormat="1" ht="22.5" customHeight="1" x14ac:dyDescent="0.25">
      <c r="S144" s="1"/>
      <c r="V144" s="99"/>
      <c r="W144" s="99"/>
      <c r="AF144" s="1"/>
      <c r="AN144" s="1"/>
      <c r="AV144" s="1"/>
      <c r="BD144" s="1"/>
      <c r="BL144" s="1"/>
      <c r="BT144" s="1"/>
    </row>
    <row r="145" spans="19:72" s="17" customFormat="1" ht="22.5" customHeight="1" x14ac:dyDescent="0.25">
      <c r="S145" s="1"/>
      <c r="V145" s="99"/>
      <c r="W145" s="99"/>
      <c r="AF145" s="1"/>
      <c r="AN145" s="1"/>
      <c r="AV145" s="1"/>
      <c r="BD145" s="1"/>
      <c r="BL145" s="1"/>
      <c r="BT145" s="1"/>
    </row>
    <row r="146" spans="19:72" s="17" customFormat="1" ht="22.5" customHeight="1" x14ac:dyDescent="0.25">
      <c r="S146" s="1"/>
      <c r="V146" s="99"/>
      <c r="W146" s="99"/>
      <c r="AF146" s="1"/>
      <c r="AN146" s="1"/>
      <c r="AV146" s="1"/>
      <c r="BD146" s="1"/>
      <c r="BL146" s="1"/>
      <c r="BT146" s="1"/>
    </row>
    <row r="147" spans="19:72" s="17" customFormat="1" ht="22.5" customHeight="1" x14ac:dyDescent="0.25">
      <c r="S147" s="1"/>
      <c r="V147" s="99"/>
      <c r="W147" s="99"/>
      <c r="AF147" s="1"/>
      <c r="AN147" s="1"/>
      <c r="AV147" s="1"/>
      <c r="BD147" s="1"/>
      <c r="BL147" s="1"/>
      <c r="BT147" s="1"/>
    </row>
    <row r="148" spans="19:72" s="17" customFormat="1" ht="22.5" customHeight="1" x14ac:dyDescent="0.25">
      <c r="S148" s="1"/>
      <c r="V148" s="99"/>
      <c r="W148" s="99"/>
      <c r="AF148" s="1"/>
      <c r="AN148" s="1"/>
      <c r="AV148" s="1"/>
      <c r="BD148" s="1"/>
      <c r="BL148" s="1"/>
      <c r="BT148" s="1"/>
    </row>
    <row r="149" spans="19:72" s="17" customFormat="1" ht="22.5" customHeight="1" x14ac:dyDescent="0.25">
      <c r="S149" s="1"/>
      <c r="V149" s="99"/>
      <c r="W149" s="99"/>
      <c r="AF149" s="1"/>
      <c r="AN149" s="1"/>
      <c r="AV149" s="1"/>
      <c r="BD149" s="1"/>
      <c r="BL149" s="1"/>
      <c r="BT149" s="1"/>
    </row>
    <row r="150" spans="19:72" s="17" customFormat="1" ht="22.5" customHeight="1" x14ac:dyDescent="0.25">
      <c r="S150" s="1"/>
      <c r="V150" s="99"/>
      <c r="W150" s="99"/>
      <c r="AF150" s="1"/>
      <c r="AN150" s="1"/>
      <c r="AV150" s="1"/>
      <c r="BD150" s="1"/>
      <c r="BL150" s="1"/>
      <c r="BT150" s="1"/>
    </row>
    <row r="151" spans="19:72" s="17" customFormat="1" ht="22.5" customHeight="1" x14ac:dyDescent="0.25">
      <c r="S151" s="1"/>
      <c r="V151" s="99"/>
      <c r="W151" s="99"/>
      <c r="AF151" s="1"/>
      <c r="AN151" s="1"/>
      <c r="AV151" s="1"/>
      <c r="BD151" s="1"/>
      <c r="BL151" s="1"/>
      <c r="BT151" s="1"/>
    </row>
    <row r="152" spans="19:72" s="17" customFormat="1" ht="22.5" customHeight="1" x14ac:dyDescent="0.25">
      <c r="S152" s="1"/>
      <c r="V152" s="99"/>
      <c r="W152" s="99"/>
      <c r="AF152" s="1"/>
      <c r="AN152" s="1"/>
      <c r="AV152" s="1"/>
      <c r="BD152" s="1"/>
      <c r="BL152" s="1"/>
      <c r="BT152" s="1"/>
    </row>
    <row r="153" spans="19:72" s="17" customFormat="1" ht="22.5" customHeight="1" x14ac:dyDescent="0.25">
      <c r="S153" s="1"/>
      <c r="V153" s="99"/>
      <c r="W153" s="99"/>
      <c r="AF153" s="1"/>
      <c r="AN153" s="1"/>
      <c r="AV153" s="1"/>
      <c r="BD153" s="1"/>
      <c r="BL153" s="1"/>
      <c r="BT153" s="1"/>
    </row>
    <row r="154" spans="19:72" s="17" customFormat="1" ht="22.5" customHeight="1" x14ac:dyDescent="0.25">
      <c r="S154" s="1"/>
      <c r="V154" s="99"/>
      <c r="W154" s="99"/>
      <c r="AF154" s="1"/>
      <c r="AN154" s="1"/>
      <c r="AV154" s="1"/>
      <c r="BD154" s="1"/>
      <c r="BL154" s="1"/>
      <c r="BT154" s="1"/>
    </row>
    <row r="155" spans="19:72" s="17" customFormat="1" ht="22.5" customHeight="1" x14ac:dyDescent="0.25">
      <c r="S155" s="1"/>
      <c r="V155" s="99"/>
      <c r="W155" s="99"/>
      <c r="AF155" s="1"/>
      <c r="AN155" s="1"/>
      <c r="AV155" s="1"/>
      <c r="BD155" s="1"/>
      <c r="BL155" s="1"/>
      <c r="BT155" s="1"/>
    </row>
    <row r="156" spans="19:72" s="17" customFormat="1" ht="22.5" customHeight="1" x14ac:dyDescent="0.25">
      <c r="S156" s="1"/>
      <c r="V156" s="99"/>
      <c r="W156" s="99"/>
      <c r="AF156" s="1"/>
      <c r="AN156" s="1"/>
      <c r="AV156" s="1"/>
      <c r="BD156" s="1"/>
      <c r="BL156" s="1"/>
      <c r="BT156" s="1"/>
    </row>
    <row r="157" spans="19:72" s="17" customFormat="1" ht="22.5" customHeight="1" x14ac:dyDescent="0.25">
      <c r="S157" s="1"/>
      <c r="V157" s="99"/>
      <c r="W157" s="99"/>
      <c r="AF157" s="1"/>
      <c r="AN157" s="1"/>
      <c r="AV157" s="1"/>
      <c r="BD157" s="1"/>
      <c r="BL157" s="1"/>
      <c r="BT157" s="1"/>
    </row>
    <row r="158" spans="19:72" s="17" customFormat="1" ht="22.5" customHeight="1" x14ac:dyDescent="0.25">
      <c r="S158" s="1"/>
      <c r="V158" s="99"/>
      <c r="W158" s="99"/>
      <c r="AF158" s="1"/>
      <c r="AN158" s="1"/>
      <c r="AV158" s="1"/>
      <c r="BD158" s="1"/>
      <c r="BL158" s="1"/>
      <c r="BT158" s="1"/>
    </row>
    <row r="159" spans="19:72" s="17" customFormat="1" ht="22.5" customHeight="1" x14ac:dyDescent="0.25">
      <c r="S159" s="1"/>
      <c r="V159" s="99"/>
      <c r="W159" s="99"/>
      <c r="AF159" s="1"/>
      <c r="AN159" s="1"/>
      <c r="AV159" s="1"/>
      <c r="BD159" s="1"/>
      <c r="BL159" s="1"/>
      <c r="BT159" s="1"/>
    </row>
    <row r="160" spans="19:72" s="17" customFormat="1" ht="22.5" customHeight="1" x14ac:dyDescent="0.25">
      <c r="S160" s="1"/>
      <c r="V160" s="99"/>
      <c r="W160" s="99"/>
      <c r="AF160" s="1"/>
      <c r="AN160" s="1"/>
      <c r="AV160" s="1"/>
      <c r="BD160" s="1"/>
      <c r="BL160" s="1"/>
      <c r="BT160" s="1"/>
    </row>
    <row r="161" spans="19:72" s="17" customFormat="1" ht="22.5" customHeight="1" x14ac:dyDescent="0.25">
      <c r="S161" s="1"/>
      <c r="V161" s="99"/>
      <c r="W161" s="99"/>
      <c r="AF161" s="1"/>
      <c r="AN161" s="1"/>
      <c r="AV161" s="1"/>
      <c r="BD161" s="1"/>
      <c r="BL161" s="1"/>
      <c r="BT161" s="1"/>
    </row>
    <row r="162" spans="19:72" s="17" customFormat="1" ht="22.5" customHeight="1" x14ac:dyDescent="0.25">
      <c r="S162" s="1"/>
      <c r="V162" s="99"/>
      <c r="W162" s="99"/>
      <c r="AF162" s="1"/>
      <c r="AN162" s="1"/>
      <c r="AV162" s="1"/>
      <c r="BD162" s="1"/>
      <c r="BL162" s="1"/>
      <c r="BT162" s="1"/>
    </row>
    <row r="163" spans="19:72" s="17" customFormat="1" ht="22.5" customHeight="1" x14ac:dyDescent="0.25">
      <c r="S163" s="1"/>
      <c r="V163" s="99"/>
      <c r="W163" s="99"/>
      <c r="AF163" s="1"/>
      <c r="AN163" s="1"/>
      <c r="AV163" s="1"/>
      <c r="BD163" s="1"/>
      <c r="BL163" s="1"/>
      <c r="BT163" s="1"/>
    </row>
    <row r="164" spans="19:72" s="17" customFormat="1" ht="22.5" customHeight="1" x14ac:dyDescent="0.25">
      <c r="S164" s="1"/>
      <c r="V164" s="99"/>
      <c r="W164" s="99"/>
      <c r="AF164" s="1"/>
      <c r="AN164" s="1"/>
      <c r="AV164" s="1"/>
      <c r="BD164" s="1"/>
      <c r="BL164" s="1"/>
      <c r="BT164" s="1"/>
    </row>
    <row r="165" spans="19:72" s="17" customFormat="1" ht="22.5" customHeight="1" x14ac:dyDescent="0.25">
      <c r="S165" s="1"/>
      <c r="V165" s="99"/>
      <c r="W165" s="99"/>
      <c r="AF165" s="1"/>
      <c r="AN165" s="1"/>
      <c r="AV165" s="1"/>
      <c r="BD165" s="1"/>
      <c r="BL165" s="1"/>
      <c r="BT165" s="1"/>
    </row>
    <row r="166" spans="19:72" s="17" customFormat="1" ht="22.5" customHeight="1" x14ac:dyDescent="0.25">
      <c r="S166" s="1"/>
      <c r="V166" s="99"/>
      <c r="W166" s="99"/>
      <c r="AF166" s="1"/>
      <c r="AN166" s="1"/>
      <c r="AV166" s="1"/>
      <c r="BD166" s="1"/>
      <c r="BL166" s="1"/>
      <c r="BT166" s="1"/>
    </row>
    <row r="167" spans="19:72" s="17" customFormat="1" ht="22.5" customHeight="1" x14ac:dyDescent="0.25">
      <c r="S167" s="1"/>
      <c r="V167" s="99"/>
      <c r="W167" s="99"/>
      <c r="AF167" s="1"/>
      <c r="AN167" s="1"/>
      <c r="AV167" s="1"/>
      <c r="BD167" s="1"/>
      <c r="BL167" s="1"/>
      <c r="BT167" s="1"/>
    </row>
    <row r="168" spans="19:72" s="17" customFormat="1" ht="22.5" customHeight="1" x14ac:dyDescent="0.25">
      <c r="S168" s="1"/>
      <c r="V168" s="99"/>
      <c r="W168" s="99"/>
      <c r="AF168" s="1"/>
      <c r="AN168" s="1"/>
      <c r="AV168" s="1"/>
      <c r="BD168" s="1"/>
      <c r="BL168" s="1"/>
      <c r="BT168" s="1"/>
    </row>
    <row r="169" spans="19:72" s="17" customFormat="1" ht="22.5" customHeight="1" x14ac:dyDescent="0.25">
      <c r="S169" s="1"/>
      <c r="V169" s="99"/>
      <c r="W169" s="99"/>
      <c r="AF169" s="1"/>
      <c r="AN169" s="1"/>
      <c r="AV169" s="1"/>
      <c r="BD169" s="1"/>
      <c r="BL169" s="1"/>
      <c r="BT169" s="1"/>
    </row>
    <row r="170" spans="19:72" s="17" customFormat="1" ht="22.5" customHeight="1" x14ac:dyDescent="0.25">
      <c r="S170" s="1"/>
      <c r="V170" s="99"/>
      <c r="W170" s="99"/>
      <c r="AF170" s="1"/>
      <c r="AN170" s="1"/>
      <c r="AV170" s="1"/>
      <c r="BD170" s="1"/>
      <c r="BL170" s="1"/>
      <c r="BT170" s="1"/>
    </row>
    <row r="171" spans="19:72" s="17" customFormat="1" ht="22.5" customHeight="1" x14ac:dyDescent="0.25">
      <c r="S171" s="1"/>
      <c r="V171" s="99"/>
      <c r="W171" s="99"/>
      <c r="AF171" s="1"/>
      <c r="AN171" s="1"/>
      <c r="AV171" s="1"/>
      <c r="BD171" s="1"/>
      <c r="BL171" s="1"/>
      <c r="BT171" s="1"/>
    </row>
    <row r="172" spans="19:72" s="17" customFormat="1" ht="22.5" customHeight="1" x14ac:dyDescent="0.25">
      <c r="S172" s="1"/>
      <c r="V172" s="99"/>
      <c r="W172" s="99"/>
      <c r="AF172" s="1"/>
      <c r="AN172" s="1"/>
      <c r="AV172" s="1"/>
      <c r="BD172" s="1"/>
      <c r="BL172" s="1"/>
      <c r="BT172" s="1"/>
    </row>
    <row r="173" spans="19:72" s="17" customFormat="1" ht="22.5" customHeight="1" x14ac:dyDescent="0.25">
      <c r="S173" s="1"/>
      <c r="V173" s="99"/>
      <c r="W173" s="99"/>
      <c r="AF173" s="1"/>
      <c r="AN173" s="1"/>
      <c r="AV173" s="1"/>
      <c r="BD173" s="1"/>
      <c r="BL173" s="1"/>
      <c r="BT173" s="1"/>
    </row>
    <row r="174" spans="19:72" s="17" customFormat="1" ht="22.5" customHeight="1" x14ac:dyDescent="0.25">
      <c r="S174" s="1"/>
      <c r="V174" s="99"/>
      <c r="W174" s="99"/>
      <c r="AF174" s="1"/>
      <c r="AN174" s="1"/>
      <c r="AV174" s="1"/>
      <c r="BD174" s="1"/>
      <c r="BL174" s="1"/>
      <c r="BT174" s="1"/>
    </row>
    <row r="175" spans="19:72" s="17" customFormat="1" ht="22.5" customHeight="1" x14ac:dyDescent="0.25">
      <c r="S175" s="1"/>
      <c r="V175" s="99"/>
      <c r="W175" s="99"/>
      <c r="AF175" s="1"/>
      <c r="AN175" s="1"/>
      <c r="AV175" s="1"/>
      <c r="BD175" s="1"/>
      <c r="BL175" s="1"/>
      <c r="BT175" s="1"/>
    </row>
    <row r="176" spans="19:72" s="17" customFormat="1" ht="22.5" customHeight="1" x14ac:dyDescent="0.25">
      <c r="S176" s="1"/>
      <c r="V176" s="99"/>
      <c r="W176" s="99"/>
      <c r="AF176" s="1"/>
      <c r="AN176" s="1"/>
      <c r="AV176" s="1"/>
      <c r="BD176" s="1"/>
      <c r="BL176" s="1"/>
      <c r="BT176" s="1"/>
    </row>
    <row r="177" spans="19:72" s="17" customFormat="1" ht="22.5" customHeight="1" x14ac:dyDescent="0.25">
      <c r="S177" s="1"/>
      <c r="V177" s="99"/>
      <c r="W177" s="99"/>
      <c r="AF177" s="1"/>
      <c r="AN177" s="1"/>
      <c r="AV177" s="1"/>
      <c r="BD177" s="1"/>
      <c r="BL177" s="1"/>
      <c r="BT177" s="1"/>
    </row>
    <row r="178" spans="19:72" s="17" customFormat="1" ht="22.5" customHeight="1" x14ac:dyDescent="0.25">
      <c r="S178" s="1"/>
      <c r="V178" s="99"/>
      <c r="W178" s="99"/>
      <c r="AF178" s="1"/>
      <c r="AN178" s="1"/>
      <c r="AV178" s="1"/>
      <c r="BD178" s="1"/>
      <c r="BL178" s="1"/>
      <c r="BT178" s="1"/>
    </row>
    <row r="179" spans="19:72" s="17" customFormat="1" ht="22.5" customHeight="1" x14ac:dyDescent="0.25">
      <c r="S179" s="1"/>
      <c r="V179" s="99"/>
      <c r="W179" s="99"/>
      <c r="AF179" s="1"/>
      <c r="AN179" s="1"/>
      <c r="AV179" s="1"/>
      <c r="BD179" s="1"/>
      <c r="BL179" s="1"/>
      <c r="BT179" s="1"/>
    </row>
    <row r="180" spans="19:72" s="17" customFormat="1" ht="22.5" customHeight="1" x14ac:dyDescent="0.25">
      <c r="S180" s="1"/>
      <c r="V180" s="99"/>
      <c r="W180" s="99"/>
      <c r="AF180" s="1"/>
      <c r="AN180" s="1"/>
      <c r="AV180" s="1"/>
      <c r="BD180" s="1"/>
      <c r="BL180" s="1"/>
      <c r="BT180" s="1"/>
    </row>
    <row r="181" spans="19:72" s="17" customFormat="1" ht="22.5" customHeight="1" x14ac:dyDescent="0.25">
      <c r="S181" s="1"/>
      <c r="V181" s="99"/>
      <c r="W181" s="99"/>
      <c r="AF181" s="1"/>
      <c r="AN181" s="1"/>
      <c r="AV181" s="1"/>
      <c r="BD181" s="1"/>
      <c r="BL181" s="1"/>
      <c r="BT181" s="1"/>
    </row>
    <row r="182" spans="19:72" s="17" customFormat="1" ht="22.5" customHeight="1" x14ac:dyDescent="0.25">
      <c r="S182" s="1"/>
      <c r="V182" s="99"/>
      <c r="W182" s="99"/>
      <c r="AF182" s="1"/>
      <c r="AN182" s="1"/>
      <c r="AV182" s="1"/>
      <c r="BD182" s="1"/>
      <c r="BL182" s="1"/>
      <c r="BT182" s="1"/>
    </row>
    <row r="183" spans="19:72" s="17" customFormat="1" ht="22.5" customHeight="1" x14ac:dyDescent="0.25">
      <c r="S183" s="1"/>
      <c r="V183" s="99"/>
      <c r="W183" s="99"/>
      <c r="AF183" s="1"/>
      <c r="AN183" s="1"/>
      <c r="AV183" s="1"/>
      <c r="BD183" s="1"/>
      <c r="BL183" s="1"/>
      <c r="BT183" s="1"/>
    </row>
    <row r="184" spans="19:72" s="17" customFormat="1" ht="22.5" customHeight="1" x14ac:dyDescent="0.25">
      <c r="S184" s="1"/>
      <c r="V184" s="99"/>
      <c r="W184" s="99"/>
      <c r="AF184" s="1"/>
      <c r="AN184" s="1"/>
      <c r="AV184" s="1"/>
      <c r="BD184" s="1"/>
      <c r="BL184" s="1"/>
      <c r="BT184" s="1"/>
    </row>
    <row r="185" spans="19:72" s="17" customFormat="1" ht="22.5" customHeight="1" x14ac:dyDescent="0.25">
      <c r="S185" s="1"/>
      <c r="V185" s="99"/>
      <c r="W185" s="99"/>
      <c r="AF185" s="1"/>
      <c r="AN185" s="1"/>
      <c r="AV185" s="1"/>
      <c r="BD185" s="1"/>
      <c r="BL185" s="1"/>
      <c r="BT185" s="1"/>
    </row>
    <row r="186" spans="19:72" s="17" customFormat="1" ht="22.5" customHeight="1" x14ac:dyDescent="0.25">
      <c r="S186" s="1"/>
      <c r="V186" s="99"/>
      <c r="W186" s="99"/>
      <c r="AF186" s="1"/>
      <c r="AN186" s="1"/>
      <c r="AV186" s="1"/>
      <c r="BD186" s="1"/>
      <c r="BL186" s="1"/>
      <c r="BT186" s="1"/>
    </row>
    <row r="187" spans="19:72" s="17" customFormat="1" ht="22.5" customHeight="1" x14ac:dyDescent="0.25">
      <c r="S187" s="1"/>
      <c r="V187" s="99"/>
      <c r="W187" s="99"/>
      <c r="AF187" s="1"/>
      <c r="AN187" s="1"/>
      <c r="AV187" s="1"/>
      <c r="BD187" s="1"/>
      <c r="BL187" s="1"/>
      <c r="BT187" s="1"/>
    </row>
    <row r="188" spans="19:72" s="17" customFormat="1" ht="22.5" customHeight="1" x14ac:dyDescent="0.25">
      <c r="S188" s="1"/>
      <c r="V188" s="99"/>
      <c r="W188" s="99"/>
      <c r="AF188" s="1"/>
      <c r="AN188" s="1"/>
      <c r="AV188" s="1"/>
      <c r="BD188" s="1"/>
      <c r="BL188" s="1"/>
      <c r="BT188" s="1"/>
    </row>
    <row r="189" spans="19:72" s="17" customFormat="1" ht="22.5" customHeight="1" x14ac:dyDescent="0.25">
      <c r="S189" s="1"/>
      <c r="V189" s="99"/>
      <c r="W189" s="99"/>
      <c r="AF189" s="1"/>
      <c r="AN189" s="1"/>
      <c r="AV189" s="1"/>
      <c r="BD189" s="1"/>
      <c r="BL189" s="1"/>
      <c r="BT189" s="1"/>
    </row>
    <row r="190" spans="19:72" s="17" customFormat="1" ht="22.5" customHeight="1" x14ac:dyDescent="0.25">
      <c r="S190" s="1"/>
      <c r="V190" s="99"/>
      <c r="W190" s="99"/>
      <c r="AF190" s="1"/>
      <c r="AN190" s="1"/>
      <c r="AV190" s="1"/>
      <c r="BD190" s="1"/>
      <c r="BL190" s="1"/>
      <c r="BT190" s="1"/>
    </row>
    <row r="191" spans="19:72" s="17" customFormat="1" ht="22.5" customHeight="1" x14ac:dyDescent="0.25">
      <c r="S191" s="1"/>
      <c r="V191" s="99"/>
      <c r="W191" s="99"/>
      <c r="AF191" s="1"/>
      <c r="AN191" s="1"/>
      <c r="AV191" s="1"/>
      <c r="BD191" s="1"/>
      <c r="BL191" s="1"/>
      <c r="BT191" s="1"/>
    </row>
    <row r="192" spans="19:72" s="17" customFormat="1" ht="22.5" customHeight="1" x14ac:dyDescent="0.25">
      <c r="S192" s="1"/>
      <c r="V192" s="99"/>
      <c r="W192" s="99"/>
      <c r="AF192" s="1"/>
      <c r="AN192" s="1"/>
      <c r="AV192" s="1"/>
      <c r="BD192" s="1"/>
      <c r="BL192" s="1"/>
      <c r="BT192" s="1"/>
    </row>
    <row r="193" spans="19:72" s="17" customFormat="1" ht="22.5" customHeight="1" x14ac:dyDescent="0.25">
      <c r="S193" s="1"/>
      <c r="V193" s="99"/>
      <c r="W193" s="99"/>
      <c r="AF193" s="1"/>
      <c r="AN193" s="1"/>
      <c r="AV193" s="1"/>
      <c r="BD193" s="1"/>
      <c r="BL193" s="1"/>
      <c r="BT193" s="1"/>
    </row>
    <row r="194" spans="19:72" s="17" customFormat="1" ht="22.5" customHeight="1" x14ac:dyDescent="0.25">
      <c r="S194" s="1"/>
      <c r="V194" s="99"/>
      <c r="W194" s="99"/>
      <c r="AF194" s="1"/>
      <c r="AN194" s="1"/>
      <c r="AV194" s="1"/>
      <c r="BD194" s="1"/>
      <c r="BL194" s="1"/>
      <c r="BT194" s="1"/>
    </row>
    <row r="195" spans="19:72" s="17" customFormat="1" ht="22.5" customHeight="1" x14ac:dyDescent="0.25">
      <c r="S195" s="1"/>
      <c r="V195" s="99"/>
      <c r="W195" s="99"/>
      <c r="AF195" s="1"/>
      <c r="AN195" s="1"/>
      <c r="AV195" s="1"/>
      <c r="BD195" s="1"/>
      <c r="BL195" s="1"/>
      <c r="BT195" s="1"/>
    </row>
    <row r="196" spans="19:72" s="17" customFormat="1" ht="22.5" customHeight="1" x14ac:dyDescent="0.25">
      <c r="S196" s="1"/>
      <c r="V196" s="99"/>
      <c r="W196" s="99"/>
      <c r="AF196" s="1"/>
      <c r="AN196" s="1"/>
      <c r="AV196" s="1"/>
      <c r="BD196" s="1"/>
      <c r="BL196" s="1"/>
      <c r="BT196" s="1"/>
    </row>
    <row r="197" spans="19:72" s="17" customFormat="1" ht="22.5" customHeight="1" x14ac:dyDescent="0.25">
      <c r="S197" s="1"/>
      <c r="V197" s="99"/>
      <c r="W197" s="99"/>
      <c r="AF197" s="1"/>
      <c r="AN197" s="1"/>
      <c r="AV197" s="1"/>
      <c r="BD197" s="1"/>
      <c r="BL197" s="1"/>
      <c r="BT197" s="1"/>
    </row>
    <row r="198" spans="19:72" s="17" customFormat="1" ht="22.5" customHeight="1" x14ac:dyDescent="0.25">
      <c r="S198" s="1"/>
      <c r="V198" s="99"/>
      <c r="W198" s="99"/>
      <c r="AF198" s="1"/>
      <c r="AN198" s="1"/>
      <c r="AV198" s="1"/>
      <c r="BD198" s="1"/>
      <c r="BL198" s="1"/>
      <c r="BT198" s="1"/>
    </row>
    <row r="199" spans="19:72" s="17" customFormat="1" ht="22.5" customHeight="1" x14ac:dyDescent="0.25">
      <c r="S199" s="1"/>
      <c r="V199" s="99"/>
      <c r="W199" s="99"/>
      <c r="AF199" s="1"/>
      <c r="AN199" s="1"/>
      <c r="AV199" s="1"/>
      <c r="BD199" s="1"/>
      <c r="BL199" s="1"/>
      <c r="BT199" s="1"/>
    </row>
    <row r="200" spans="19:72" s="17" customFormat="1" ht="22.5" customHeight="1" x14ac:dyDescent="0.25">
      <c r="S200" s="1"/>
      <c r="V200" s="99"/>
      <c r="W200" s="99"/>
      <c r="AF200" s="1"/>
      <c r="AN200" s="1"/>
      <c r="AV200" s="1"/>
      <c r="BD200" s="1"/>
      <c r="BL200" s="1"/>
      <c r="BT200" s="1"/>
    </row>
    <row r="201" spans="19:72" s="17" customFormat="1" ht="22.5" customHeight="1" x14ac:dyDescent="0.25">
      <c r="S201" s="1"/>
      <c r="V201" s="99"/>
      <c r="W201" s="99"/>
      <c r="AF201" s="1"/>
      <c r="AN201" s="1"/>
      <c r="AV201" s="1"/>
      <c r="BD201" s="1"/>
      <c r="BL201" s="1"/>
      <c r="BT201" s="1"/>
    </row>
    <row r="202" spans="19:72" s="17" customFormat="1" ht="22.5" customHeight="1" x14ac:dyDescent="0.25">
      <c r="S202" s="1"/>
      <c r="V202" s="99"/>
      <c r="W202" s="99"/>
      <c r="AF202" s="1"/>
      <c r="AN202" s="1"/>
      <c r="AV202" s="1"/>
      <c r="BD202" s="1"/>
      <c r="BL202" s="1"/>
      <c r="BT202" s="1"/>
    </row>
    <row r="203" spans="19:72" s="17" customFormat="1" ht="22.5" customHeight="1" x14ac:dyDescent="0.25">
      <c r="S203" s="1"/>
      <c r="V203" s="99"/>
      <c r="W203" s="99"/>
      <c r="AF203" s="1"/>
      <c r="AN203" s="1"/>
      <c r="AV203" s="1"/>
      <c r="BD203" s="1"/>
      <c r="BL203" s="1"/>
      <c r="BT203" s="1"/>
    </row>
    <row r="204" spans="19:72" s="17" customFormat="1" ht="22.5" customHeight="1" x14ac:dyDescent="0.25">
      <c r="S204" s="1"/>
      <c r="V204" s="99"/>
      <c r="W204" s="99"/>
      <c r="AF204" s="1"/>
      <c r="AN204" s="1"/>
      <c r="AV204" s="1"/>
      <c r="BD204" s="1"/>
      <c r="BL204" s="1"/>
      <c r="BT204" s="1"/>
    </row>
    <row r="205" spans="19:72" s="17" customFormat="1" ht="22.5" customHeight="1" x14ac:dyDescent="0.25">
      <c r="S205" s="1"/>
      <c r="V205" s="99"/>
      <c r="W205" s="99"/>
      <c r="AF205" s="1"/>
      <c r="AN205" s="1"/>
      <c r="AV205" s="1"/>
      <c r="BD205" s="1"/>
      <c r="BL205" s="1"/>
      <c r="BT205" s="1"/>
    </row>
    <row r="206" spans="19:72" s="17" customFormat="1" ht="22.5" customHeight="1" x14ac:dyDescent="0.25">
      <c r="S206" s="1"/>
      <c r="V206" s="99"/>
      <c r="W206" s="99"/>
      <c r="AF206" s="1"/>
      <c r="AN206" s="1"/>
      <c r="AV206" s="1"/>
      <c r="BD206" s="1"/>
      <c r="BL206" s="1"/>
      <c r="BT206" s="1"/>
    </row>
    <row r="207" spans="19:72" s="17" customFormat="1" ht="22.5" customHeight="1" x14ac:dyDescent="0.25">
      <c r="S207" s="1"/>
      <c r="V207" s="99"/>
      <c r="W207" s="99"/>
      <c r="AF207" s="1"/>
      <c r="AN207" s="1"/>
      <c r="AV207" s="1"/>
      <c r="BD207" s="1"/>
      <c r="BL207" s="1"/>
      <c r="BT207" s="1"/>
    </row>
    <row r="208" spans="19:72" s="17" customFormat="1" ht="22.5" customHeight="1" x14ac:dyDescent="0.25">
      <c r="S208" s="1"/>
      <c r="V208" s="99"/>
      <c r="W208" s="99"/>
      <c r="AF208" s="1"/>
      <c r="AN208" s="1"/>
      <c r="AV208" s="1"/>
      <c r="BD208" s="1"/>
      <c r="BL208" s="1"/>
      <c r="BT208" s="1"/>
    </row>
    <row r="209" spans="19:72" s="17" customFormat="1" ht="22.5" customHeight="1" x14ac:dyDescent="0.25">
      <c r="S209" s="1"/>
      <c r="V209" s="99"/>
      <c r="W209" s="99"/>
      <c r="AF209" s="1"/>
      <c r="AN209" s="1"/>
      <c r="AV209" s="1"/>
      <c r="BD209" s="1"/>
      <c r="BL209" s="1"/>
      <c r="BT209" s="1"/>
    </row>
    <row r="210" spans="19:72" s="17" customFormat="1" ht="22.5" customHeight="1" x14ac:dyDescent="0.25">
      <c r="S210" s="1"/>
      <c r="V210" s="99"/>
      <c r="W210" s="99"/>
      <c r="AF210" s="1"/>
      <c r="AN210" s="1"/>
      <c r="AV210" s="1"/>
      <c r="BD210" s="1"/>
      <c r="BL210" s="1"/>
      <c r="BT210" s="1"/>
    </row>
    <row r="211" spans="19:72" s="17" customFormat="1" ht="22.5" customHeight="1" x14ac:dyDescent="0.25">
      <c r="S211" s="1"/>
      <c r="V211" s="99"/>
      <c r="W211" s="99"/>
      <c r="AF211" s="1"/>
      <c r="AN211" s="1"/>
      <c r="AV211" s="1"/>
      <c r="BD211" s="1"/>
      <c r="BL211" s="1"/>
      <c r="BT211" s="1"/>
    </row>
    <row r="212" spans="19:72" s="17" customFormat="1" ht="22.5" customHeight="1" x14ac:dyDescent="0.25">
      <c r="S212" s="1"/>
      <c r="V212" s="99"/>
      <c r="W212" s="99"/>
      <c r="AF212" s="1"/>
      <c r="AN212" s="1"/>
      <c r="AV212" s="1"/>
      <c r="BD212" s="1"/>
      <c r="BL212" s="1"/>
      <c r="BT212" s="1"/>
    </row>
    <row r="213" spans="19:72" s="17" customFormat="1" ht="22.5" customHeight="1" x14ac:dyDescent="0.25">
      <c r="S213" s="1"/>
      <c r="V213" s="99"/>
      <c r="W213" s="99"/>
      <c r="AF213" s="1"/>
      <c r="AN213" s="1"/>
      <c r="AV213" s="1"/>
      <c r="BD213" s="1"/>
      <c r="BL213" s="1"/>
      <c r="BT213" s="1"/>
    </row>
    <row r="214" spans="19:72" s="17" customFormat="1" ht="22.5" customHeight="1" x14ac:dyDescent="0.25">
      <c r="S214" s="1"/>
      <c r="V214" s="99"/>
      <c r="W214" s="99"/>
      <c r="AF214" s="1"/>
      <c r="AN214" s="1"/>
      <c r="AV214" s="1"/>
      <c r="BD214" s="1"/>
      <c r="BL214" s="1"/>
      <c r="BT214" s="1"/>
    </row>
    <row r="215" spans="19:72" s="17" customFormat="1" ht="22.5" customHeight="1" x14ac:dyDescent="0.25">
      <c r="S215" s="1"/>
      <c r="V215" s="99"/>
      <c r="W215" s="99"/>
      <c r="AF215" s="1"/>
      <c r="AN215" s="1"/>
      <c r="AV215" s="1"/>
      <c r="BD215" s="1"/>
      <c r="BL215" s="1"/>
      <c r="BT215" s="1"/>
    </row>
    <row r="216" spans="19:72" s="17" customFormat="1" ht="22.5" customHeight="1" x14ac:dyDescent="0.25">
      <c r="S216" s="1"/>
      <c r="V216" s="99"/>
      <c r="W216" s="99"/>
      <c r="AF216" s="1"/>
      <c r="AN216" s="1"/>
      <c r="AV216" s="1"/>
      <c r="BD216" s="1"/>
      <c r="BL216" s="1"/>
      <c r="BT216" s="1"/>
    </row>
    <row r="217" spans="19:72" s="17" customFormat="1" ht="22.5" customHeight="1" x14ac:dyDescent="0.25">
      <c r="S217" s="1"/>
      <c r="V217" s="99"/>
      <c r="W217" s="99"/>
      <c r="AF217" s="1"/>
      <c r="AN217" s="1"/>
      <c r="AV217" s="1"/>
      <c r="BD217" s="1"/>
      <c r="BL217" s="1"/>
      <c r="BT217" s="1"/>
    </row>
    <row r="218" spans="19:72" s="17" customFormat="1" ht="22.5" customHeight="1" x14ac:dyDescent="0.25">
      <c r="S218" s="1"/>
      <c r="V218" s="99"/>
      <c r="W218" s="99"/>
      <c r="AF218" s="1"/>
      <c r="AN218" s="1"/>
      <c r="AV218" s="1"/>
      <c r="BD218" s="1"/>
      <c r="BL218" s="1"/>
      <c r="BT218" s="1"/>
    </row>
    <row r="219" spans="19:72" s="17" customFormat="1" ht="22.5" customHeight="1" x14ac:dyDescent="0.25">
      <c r="S219" s="1"/>
      <c r="V219" s="99"/>
      <c r="W219" s="99"/>
      <c r="AF219" s="1"/>
      <c r="AN219" s="1"/>
      <c r="AV219" s="1"/>
      <c r="BD219" s="1"/>
      <c r="BL219" s="1"/>
      <c r="BT219" s="1"/>
    </row>
    <row r="220" spans="19:72" s="17" customFormat="1" ht="22.5" customHeight="1" x14ac:dyDescent="0.25">
      <c r="S220" s="1"/>
      <c r="V220" s="99"/>
      <c r="W220" s="99"/>
      <c r="AF220" s="1"/>
      <c r="AN220" s="1"/>
      <c r="AV220" s="1"/>
      <c r="BD220" s="1"/>
      <c r="BL220" s="1"/>
      <c r="BT220" s="1"/>
    </row>
    <row r="221" spans="19:72" s="17" customFormat="1" ht="22.5" customHeight="1" x14ac:dyDescent="0.25">
      <c r="S221" s="1"/>
      <c r="V221" s="99"/>
      <c r="W221" s="99"/>
      <c r="AF221" s="1"/>
      <c r="AN221" s="1"/>
      <c r="AV221" s="1"/>
      <c r="BD221" s="1"/>
      <c r="BL221" s="1"/>
      <c r="BT221" s="1"/>
    </row>
    <row r="222" spans="19:72" s="17" customFormat="1" ht="22.5" customHeight="1" x14ac:dyDescent="0.25">
      <c r="S222" s="1"/>
      <c r="V222" s="99"/>
      <c r="W222" s="99"/>
      <c r="AF222" s="1"/>
      <c r="AN222" s="1"/>
      <c r="AV222" s="1"/>
      <c r="BD222" s="1"/>
      <c r="BL222" s="1"/>
      <c r="BT222" s="1"/>
    </row>
    <row r="223" spans="19:72" s="17" customFormat="1" ht="22.5" customHeight="1" x14ac:dyDescent="0.25">
      <c r="S223" s="1"/>
      <c r="V223" s="99"/>
      <c r="W223" s="99"/>
      <c r="AF223" s="1"/>
      <c r="AN223" s="1"/>
      <c r="AV223" s="1"/>
      <c r="BD223" s="1"/>
      <c r="BL223" s="1"/>
      <c r="BT223" s="1"/>
    </row>
    <row r="224" spans="19:72" s="17" customFormat="1" ht="22.5" customHeight="1" x14ac:dyDescent="0.25">
      <c r="S224" s="1"/>
      <c r="V224" s="99"/>
      <c r="W224" s="99"/>
      <c r="AF224" s="1"/>
      <c r="AN224" s="1"/>
      <c r="AV224" s="1"/>
      <c r="BD224" s="1"/>
      <c r="BL224" s="1"/>
      <c r="BT224" s="1"/>
    </row>
    <row r="225" spans="19:72" s="17" customFormat="1" ht="22.5" customHeight="1" x14ac:dyDescent="0.25">
      <c r="S225" s="1"/>
      <c r="V225" s="99"/>
      <c r="W225" s="99"/>
      <c r="AF225" s="1"/>
      <c r="AN225" s="1"/>
      <c r="AV225" s="1"/>
      <c r="BD225" s="1"/>
      <c r="BL225" s="1"/>
      <c r="BT225" s="1"/>
    </row>
    <row r="226" spans="19:72" s="17" customFormat="1" ht="22.5" customHeight="1" x14ac:dyDescent="0.25">
      <c r="S226" s="1"/>
      <c r="V226" s="99"/>
      <c r="W226" s="99"/>
      <c r="AF226" s="1"/>
      <c r="AN226" s="1"/>
      <c r="AV226" s="1"/>
      <c r="BD226" s="1"/>
      <c r="BL226" s="1"/>
      <c r="BT226" s="1"/>
    </row>
    <row r="227" spans="19:72" s="17" customFormat="1" ht="22.5" customHeight="1" x14ac:dyDescent="0.25">
      <c r="S227" s="1"/>
      <c r="V227" s="99"/>
      <c r="W227" s="99"/>
      <c r="AF227" s="1"/>
      <c r="AN227" s="1"/>
      <c r="AV227" s="1"/>
      <c r="BD227" s="1"/>
      <c r="BL227" s="1"/>
      <c r="BT227" s="1"/>
    </row>
    <row r="228" spans="19:72" s="17" customFormat="1" ht="22.5" customHeight="1" x14ac:dyDescent="0.25">
      <c r="S228" s="1"/>
      <c r="V228" s="99"/>
      <c r="W228" s="99"/>
      <c r="AF228" s="1"/>
      <c r="AN228" s="1"/>
      <c r="AV228" s="1"/>
      <c r="BD228" s="1"/>
      <c r="BL228" s="1"/>
      <c r="BT228" s="1"/>
    </row>
    <row r="229" spans="19:72" s="17" customFormat="1" ht="22.5" customHeight="1" x14ac:dyDescent="0.25">
      <c r="S229" s="1"/>
      <c r="V229" s="99"/>
      <c r="W229" s="99"/>
      <c r="AF229" s="1"/>
      <c r="AN229" s="1"/>
      <c r="AV229" s="1"/>
      <c r="BD229" s="1"/>
      <c r="BL229" s="1"/>
      <c r="BT229" s="1"/>
    </row>
    <row r="230" spans="19:72" s="17" customFormat="1" ht="22.5" customHeight="1" x14ac:dyDescent="0.25">
      <c r="S230" s="1"/>
      <c r="V230" s="99"/>
      <c r="W230" s="99"/>
      <c r="AF230" s="1"/>
      <c r="AN230" s="1"/>
      <c r="AV230" s="1"/>
      <c r="BD230" s="1"/>
      <c r="BL230" s="1"/>
      <c r="BT230" s="1"/>
    </row>
    <row r="231" spans="19:72" s="17" customFormat="1" ht="22.5" customHeight="1" x14ac:dyDescent="0.25">
      <c r="S231" s="1"/>
      <c r="V231" s="99"/>
      <c r="W231" s="99"/>
      <c r="AF231" s="1"/>
      <c r="AN231" s="1"/>
      <c r="AV231" s="1"/>
      <c r="BD231" s="1"/>
      <c r="BL231" s="1"/>
      <c r="BT231" s="1"/>
    </row>
    <row r="232" spans="19:72" s="17" customFormat="1" ht="22.5" customHeight="1" x14ac:dyDescent="0.25">
      <c r="S232" s="1"/>
      <c r="V232" s="99"/>
      <c r="W232" s="99"/>
      <c r="AF232" s="1"/>
      <c r="AN232" s="1"/>
      <c r="AV232" s="1"/>
      <c r="BD232" s="1"/>
      <c r="BL232" s="1"/>
      <c r="BT232" s="1"/>
    </row>
    <row r="233" spans="19:72" s="17" customFormat="1" ht="22.5" customHeight="1" x14ac:dyDescent="0.25">
      <c r="S233" s="1"/>
      <c r="V233" s="99"/>
      <c r="W233" s="99"/>
      <c r="AF233" s="1"/>
      <c r="AN233" s="1"/>
      <c r="AV233" s="1"/>
      <c r="BD233" s="1"/>
      <c r="BL233" s="1"/>
      <c r="BT233" s="1"/>
    </row>
    <row r="234" spans="19:72" s="17" customFormat="1" ht="22.5" customHeight="1" x14ac:dyDescent="0.25">
      <c r="S234" s="1"/>
      <c r="V234" s="99"/>
      <c r="W234" s="99"/>
      <c r="AF234" s="1"/>
      <c r="AN234" s="1"/>
      <c r="AV234" s="1"/>
      <c r="BD234" s="1"/>
      <c r="BL234" s="1"/>
      <c r="BT234" s="1"/>
    </row>
    <row r="235" spans="19:72" s="17" customFormat="1" ht="22.5" customHeight="1" x14ac:dyDescent="0.25">
      <c r="S235" s="1"/>
      <c r="V235" s="99"/>
      <c r="W235" s="99"/>
      <c r="AF235" s="1"/>
      <c r="AN235" s="1"/>
      <c r="AV235" s="1"/>
      <c r="BD235" s="1"/>
      <c r="BL235" s="1"/>
      <c r="BT235" s="1"/>
    </row>
    <row r="236" spans="19:72" s="17" customFormat="1" ht="22.5" customHeight="1" x14ac:dyDescent="0.25">
      <c r="S236" s="1"/>
      <c r="V236" s="99"/>
      <c r="W236" s="99"/>
      <c r="AF236" s="1"/>
      <c r="AN236" s="1"/>
      <c r="AV236" s="1"/>
      <c r="BD236" s="1"/>
      <c r="BL236" s="1"/>
      <c r="BT236" s="1"/>
    </row>
    <row r="237" spans="19:72" s="17" customFormat="1" ht="22.5" customHeight="1" x14ac:dyDescent="0.25">
      <c r="S237" s="1"/>
      <c r="V237" s="99"/>
      <c r="W237" s="99"/>
      <c r="AF237" s="1"/>
      <c r="AN237" s="1"/>
      <c r="AV237" s="1"/>
      <c r="BD237" s="1"/>
      <c r="BL237" s="1"/>
      <c r="BT237" s="1"/>
    </row>
    <row r="238" spans="19:72" s="17" customFormat="1" ht="22.5" customHeight="1" x14ac:dyDescent="0.25">
      <c r="S238" s="1"/>
      <c r="V238" s="99"/>
      <c r="W238" s="99"/>
      <c r="AF238" s="1"/>
      <c r="AN238" s="1"/>
      <c r="AV238" s="1"/>
      <c r="BD238" s="1"/>
      <c r="BL238" s="1"/>
      <c r="BT238" s="1"/>
    </row>
    <row r="239" spans="19:72" s="17" customFormat="1" ht="22.5" customHeight="1" x14ac:dyDescent="0.25">
      <c r="S239" s="1"/>
      <c r="V239" s="99"/>
      <c r="W239" s="99"/>
      <c r="AF239" s="1"/>
      <c r="AN239" s="1"/>
      <c r="AV239" s="1"/>
      <c r="BD239" s="1"/>
      <c r="BL239" s="1"/>
      <c r="BT239" s="1"/>
    </row>
    <row r="240" spans="19:72" s="17" customFormat="1" ht="22.5" customHeight="1" x14ac:dyDescent="0.25">
      <c r="S240" s="1"/>
      <c r="V240" s="99"/>
      <c r="W240" s="99"/>
      <c r="AF240" s="1"/>
      <c r="AN240" s="1"/>
      <c r="AV240" s="1"/>
      <c r="BD240" s="1"/>
      <c r="BL240" s="1"/>
      <c r="BT240" s="1"/>
    </row>
    <row r="241" spans="19:72" s="17" customFormat="1" ht="22.5" customHeight="1" x14ac:dyDescent="0.25">
      <c r="S241" s="1"/>
      <c r="V241" s="99"/>
      <c r="W241" s="99"/>
      <c r="AF241" s="1"/>
      <c r="AN241" s="1"/>
      <c r="AV241" s="1"/>
      <c r="BD241" s="1"/>
      <c r="BL241" s="1"/>
      <c r="BT241" s="1"/>
    </row>
    <row r="242" spans="19:72" s="17" customFormat="1" ht="22.5" customHeight="1" x14ac:dyDescent="0.25">
      <c r="S242" s="1"/>
      <c r="V242" s="99"/>
      <c r="W242" s="99"/>
      <c r="AF242" s="1"/>
      <c r="AN242" s="1"/>
      <c r="AV242" s="1"/>
      <c r="BD242" s="1"/>
      <c r="BL242" s="1"/>
      <c r="BT242" s="1"/>
    </row>
    <row r="243" spans="19:72" s="17" customFormat="1" ht="22.5" customHeight="1" x14ac:dyDescent="0.25">
      <c r="S243" s="1"/>
      <c r="V243" s="99"/>
      <c r="W243" s="99"/>
      <c r="AF243" s="1"/>
      <c r="AN243" s="1"/>
      <c r="AV243" s="1"/>
      <c r="BD243" s="1"/>
      <c r="BL243" s="1"/>
      <c r="BT243" s="1"/>
    </row>
    <row r="244" spans="19:72" s="17" customFormat="1" ht="22.5" customHeight="1" x14ac:dyDescent="0.25">
      <c r="S244" s="1"/>
      <c r="V244" s="99"/>
      <c r="W244" s="99"/>
      <c r="AF244" s="1"/>
      <c r="AN244" s="1"/>
      <c r="AV244" s="1"/>
      <c r="BD244" s="1"/>
      <c r="BL244" s="1"/>
      <c r="BT244" s="1"/>
    </row>
    <row r="245" spans="19:72" s="17" customFormat="1" ht="22.5" customHeight="1" x14ac:dyDescent="0.25">
      <c r="S245" s="1"/>
      <c r="V245" s="99"/>
      <c r="W245" s="99"/>
      <c r="AF245" s="1"/>
      <c r="AN245" s="1"/>
      <c r="AV245" s="1"/>
      <c r="BD245" s="1"/>
      <c r="BL245" s="1"/>
      <c r="BT245" s="1"/>
    </row>
    <row r="246" spans="19:72" s="17" customFormat="1" ht="22.5" customHeight="1" x14ac:dyDescent="0.25">
      <c r="S246" s="1"/>
      <c r="V246" s="99"/>
      <c r="W246" s="99"/>
      <c r="AF246" s="1"/>
      <c r="AN246" s="1"/>
      <c r="AV246" s="1"/>
      <c r="BD246" s="1"/>
      <c r="BL246" s="1"/>
      <c r="BT246" s="1"/>
    </row>
    <row r="247" spans="19:72" s="17" customFormat="1" ht="22.5" customHeight="1" x14ac:dyDescent="0.25">
      <c r="S247" s="1"/>
      <c r="V247" s="99"/>
      <c r="W247" s="99"/>
      <c r="AF247" s="1"/>
      <c r="AN247" s="1"/>
      <c r="AV247" s="1"/>
      <c r="BD247" s="1"/>
      <c r="BL247" s="1"/>
      <c r="BT247" s="1"/>
    </row>
    <row r="248" spans="19:72" s="17" customFormat="1" ht="22.5" customHeight="1" x14ac:dyDescent="0.25">
      <c r="S248" s="1"/>
      <c r="V248" s="99"/>
      <c r="W248" s="99"/>
      <c r="AF248" s="1"/>
      <c r="AN248" s="1"/>
      <c r="AV248" s="1"/>
      <c r="BD248" s="1"/>
      <c r="BL248" s="1"/>
      <c r="BT248" s="1"/>
    </row>
    <row r="249" spans="19:72" s="17" customFormat="1" ht="22.5" customHeight="1" x14ac:dyDescent="0.25">
      <c r="S249" s="1"/>
      <c r="V249" s="99"/>
      <c r="W249" s="99"/>
      <c r="AF249" s="1"/>
      <c r="AN249" s="1"/>
      <c r="AV249" s="1"/>
      <c r="BD249" s="1"/>
      <c r="BL249" s="1"/>
      <c r="BT249" s="1"/>
    </row>
    <row r="250" spans="19:72" s="17" customFormat="1" ht="22.5" customHeight="1" x14ac:dyDescent="0.25">
      <c r="S250" s="1"/>
      <c r="V250" s="99"/>
      <c r="W250" s="99"/>
      <c r="AF250" s="1"/>
      <c r="AN250" s="1"/>
      <c r="AV250" s="1"/>
      <c r="BD250" s="1"/>
      <c r="BL250" s="1"/>
      <c r="BT250" s="1"/>
    </row>
    <row r="251" spans="19:72" s="17" customFormat="1" ht="22.5" customHeight="1" x14ac:dyDescent="0.25">
      <c r="S251" s="1"/>
      <c r="V251" s="99"/>
      <c r="W251" s="99"/>
      <c r="AF251" s="1"/>
      <c r="AN251" s="1"/>
      <c r="AV251" s="1"/>
      <c r="BD251" s="1"/>
      <c r="BL251" s="1"/>
      <c r="BT251" s="1"/>
    </row>
    <row r="252" spans="19:72" s="17" customFormat="1" ht="22.5" customHeight="1" x14ac:dyDescent="0.25">
      <c r="S252" s="1"/>
      <c r="V252" s="99"/>
      <c r="W252" s="99"/>
      <c r="AF252" s="1"/>
      <c r="AN252" s="1"/>
      <c r="AV252" s="1"/>
      <c r="BD252" s="1"/>
      <c r="BL252" s="1"/>
      <c r="BT252" s="1"/>
    </row>
    <row r="253" spans="19:72" s="17" customFormat="1" ht="22.5" customHeight="1" x14ac:dyDescent="0.25">
      <c r="S253" s="1"/>
      <c r="V253" s="99"/>
      <c r="W253" s="99"/>
      <c r="AF253" s="1"/>
      <c r="AN253" s="1"/>
      <c r="AV253" s="1"/>
      <c r="BD253" s="1"/>
      <c r="BL253" s="1"/>
      <c r="BT253" s="1"/>
    </row>
    <row r="254" spans="19:72" s="17" customFormat="1" ht="22.5" customHeight="1" x14ac:dyDescent="0.25">
      <c r="S254" s="1"/>
      <c r="V254" s="99"/>
      <c r="W254" s="99"/>
      <c r="AF254" s="1"/>
      <c r="AN254" s="1"/>
      <c r="AV254" s="1"/>
      <c r="BD254" s="1"/>
      <c r="BL254" s="1"/>
      <c r="BT254" s="1"/>
    </row>
    <row r="255" spans="19:72" s="17" customFormat="1" ht="22.5" customHeight="1" x14ac:dyDescent="0.25">
      <c r="S255" s="1"/>
      <c r="V255" s="99"/>
      <c r="W255" s="99"/>
      <c r="AF255" s="1"/>
      <c r="AN255" s="1"/>
      <c r="AV255" s="1"/>
      <c r="BD255" s="1"/>
      <c r="BL255" s="1"/>
      <c r="BT255" s="1"/>
    </row>
    <row r="256" spans="19:72" s="17" customFormat="1" ht="22.5" customHeight="1" x14ac:dyDescent="0.25">
      <c r="S256" s="1"/>
      <c r="V256" s="99"/>
      <c r="W256" s="99"/>
      <c r="AF256" s="1"/>
      <c r="AN256" s="1"/>
      <c r="AV256" s="1"/>
      <c r="BD256" s="1"/>
      <c r="BL256" s="1"/>
      <c r="BT256" s="1"/>
    </row>
    <row r="257" spans="19:72" s="17" customFormat="1" ht="22.5" customHeight="1" x14ac:dyDescent="0.25">
      <c r="S257" s="1"/>
      <c r="V257" s="99"/>
      <c r="W257" s="99"/>
      <c r="AF257" s="1"/>
      <c r="AN257" s="1"/>
      <c r="AV257" s="1"/>
      <c r="BD257" s="1"/>
      <c r="BL257" s="1"/>
      <c r="BT257" s="1"/>
    </row>
    <row r="258" spans="19:72" s="17" customFormat="1" ht="22.5" customHeight="1" x14ac:dyDescent="0.25">
      <c r="S258" s="1"/>
      <c r="V258" s="99"/>
      <c r="W258" s="99"/>
      <c r="AF258" s="1"/>
      <c r="AN258" s="1"/>
      <c r="AV258" s="1"/>
      <c r="BD258" s="1"/>
      <c r="BL258" s="1"/>
      <c r="BT258" s="1"/>
    </row>
    <row r="259" spans="19:72" s="17" customFormat="1" ht="22.5" customHeight="1" x14ac:dyDescent="0.25">
      <c r="S259" s="1"/>
      <c r="V259" s="99"/>
      <c r="W259" s="99"/>
      <c r="AF259" s="1"/>
      <c r="AN259" s="1"/>
      <c r="AV259" s="1"/>
      <c r="BD259" s="1"/>
      <c r="BL259" s="1"/>
      <c r="BT259" s="1"/>
    </row>
    <row r="260" spans="19:72" s="17" customFormat="1" ht="22.5" customHeight="1" x14ac:dyDescent="0.25">
      <c r="S260" s="1"/>
      <c r="V260" s="99"/>
      <c r="W260" s="99"/>
      <c r="AF260" s="1"/>
      <c r="AN260" s="1"/>
      <c r="AV260" s="1"/>
      <c r="BD260" s="1"/>
      <c r="BL260" s="1"/>
      <c r="BT260" s="1"/>
    </row>
    <row r="261" spans="19:72" s="17" customFormat="1" ht="22.5" customHeight="1" x14ac:dyDescent="0.25">
      <c r="S261" s="1"/>
      <c r="V261" s="99"/>
      <c r="W261" s="99"/>
      <c r="AF261" s="1"/>
      <c r="AN261" s="1"/>
      <c r="AV261" s="1"/>
      <c r="BD261" s="1"/>
      <c r="BL261" s="1"/>
      <c r="BT261" s="1"/>
    </row>
    <row r="262" spans="19:72" s="17" customFormat="1" ht="22.5" customHeight="1" x14ac:dyDescent="0.25">
      <c r="S262" s="1"/>
      <c r="V262" s="99"/>
      <c r="W262" s="99"/>
      <c r="AF262" s="1"/>
      <c r="AN262" s="1"/>
      <c r="AV262" s="1"/>
      <c r="BD262" s="1"/>
      <c r="BL262" s="1"/>
      <c r="BT262" s="1"/>
    </row>
    <row r="263" spans="19:72" s="17" customFormat="1" ht="22.5" customHeight="1" x14ac:dyDescent="0.25">
      <c r="S263" s="1"/>
      <c r="V263" s="99"/>
      <c r="W263" s="99"/>
      <c r="AF263" s="1"/>
      <c r="AN263" s="1"/>
      <c r="AV263" s="1"/>
      <c r="BD263" s="1"/>
      <c r="BL263" s="1"/>
      <c r="BT263" s="1"/>
    </row>
    <row r="264" spans="19:72" s="17" customFormat="1" ht="22.5" customHeight="1" x14ac:dyDescent="0.25">
      <c r="S264" s="1"/>
      <c r="V264" s="99"/>
      <c r="W264" s="99"/>
      <c r="AF264" s="1"/>
      <c r="AN264" s="1"/>
      <c r="AV264" s="1"/>
      <c r="BD264" s="1"/>
      <c r="BL264" s="1"/>
      <c r="BT264" s="1"/>
    </row>
    <row r="265" spans="19:72" s="17" customFormat="1" ht="22.5" customHeight="1" x14ac:dyDescent="0.25">
      <c r="S265" s="1"/>
      <c r="V265" s="99"/>
      <c r="W265" s="99"/>
      <c r="AF265" s="1"/>
      <c r="AN265" s="1"/>
      <c r="AV265" s="1"/>
      <c r="BD265" s="1"/>
      <c r="BL265" s="1"/>
      <c r="BT265" s="1"/>
    </row>
    <row r="266" spans="19:72" s="17" customFormat="1" ht="22.5" customHeight="1" x14ac:dyDescent="0.25">
      <c r="S266" s="1"/>
      <c r="V266" s="99"/>
      <c r="W266" s="99"/>
      <c r="AF266" s="1"/>
      <c r="AN266" s="1"/>
      <c r="AV266" s="1"/>
      <c r="BD266" s="1"/>
      <c r="BL266" s="1"/>
      <c r="BT266" s="1"/>
    </row>
    <row r="267" spans="19:72" s="17" customFormat="1" ht="22.5" customHeight="1" x14ac:dyDescent="0.25">
      <c r="S267" s="1"/>
      <c r="V267" s="99"/>
      <c r="W267" s="99"/>
      <c r="AF267" s="1"/>
      <c r="AN267" s="1"/>
      <c r="AV267" s="1"/>
      <c r="BD267" s="1"/>
      <c r="BL267" s="1"/>
      <c r="BT267" s="1"/>
    </row>
    <row r="268" spans="19:72" s="17" customFormat="1" ht="22.5" customHeight="1" x14ac:dyDescent="0.25">
      <c r="S268" s="1"/>
      <c r="V268" s="99"/>
      <c r="W268" s="99"/>
      <c r="AF268" s="1"/>
      <c r="AN268" s="1"/>
      <c r="AV268" s="1"/>
      <c r="BD268" s="1"/>
      <c r="BL268" s="1"/>
      <c r="BT268" s="1"/>
    </row>
    <row r="269" spans="19:72" s="17" customFormat="1" ht="22.5" customHeight="1" x14ac:dyDescent="0.25">
      <c r="S269" s="1"/>
      <c r="V269" s="99"/>
      <c r="W269" s="99"/>
      <c r="AF269" s="1"/>
      <c r="AN269" s="1"/>
      <c r="AV269" s="1"/>
      <c r="BD269" s="1"/>
      <c r="BL269" s="1"/>
      <c r="BT269" s="1"/>
    </row>
    <row r="270" spans="19:72" s="17" customFormat="1" ht="22.5" customHeight="1" x14ac:dyDescent="0.25">
      <c r="S270" s="1"/>
      <c r="V270" s="99"/>
      <c r="W270" s="99"/>
      <c r="AF270" s="1"/>
      <c r="AN270" s="1"/>
      <c r="AV270" s="1"/>
      <c r="BD270" s="1"/>
      <c r="BL270" s="1"/>
      <c r="BT270" s="1"/>
    </row>
    <row r="271" spans="19:72" s="17" customFormat="1" ht="22.5" customHeight="1" x14ac:dyDescent="0.25">
      <c r="S271" s="1"/>
      <c r="V271" s="99"/>
      <c r="W271" s="99"/>
      <c r="AF271" s="1"/>
      <c r="AN271" s="1"/>
      <c r="AV271" s="1"/>
      <c r="BD271" s="1"/>
      <c r="BL271" s="1"/>
      <c r="BT271" s="1"/>
    </row>
    <row r="272" spans="19:72" s="17" customFormat="1" ht="22.5" customHeight="1" x14ac:dyDescent="0.25">
      <c r="S272" s="1"/>
      <c r="V272" s="99"/>
      <c r="W272" s="99"/>
      <c r="AF272" s="1"/>
      <c r="AN272" s="1"/>
      <c r="AV272" s="1"/>
      <c r="BD272" s="1"/>
      <c r="BL272" s="1"/>
      <c r="BT272" s="1"/>
    </row>
    <row r="273" spans="19:72" s="17" customFormat="1" ht="22.5" customHeight="1" x14ac:dyDescent="0.25">
      <c r="S273" s="1"/>
      <c r="V273" s="99"/>
      <c r="W273" s="99"/>
      <c r="AF273" s="1"/>
      <c r="AN273" s="1"/>
      <c r="AV273" s="1"/>
      <c r="BD273" s="1"/>
      <c r="BL273" s="1"/>
      <c r="BT273" s="1"/>
    </row>
    <row r="274" spans="19:72" s="17" customFormat="1" ht="22.5" customHeight="1" x14ac:dyDescent="0.25">
      <c r="S274" s="1"/>
      <c r="V274" s="99"/>
      <c r="W274" s="99"/>
      <c r="AF274" s="1"/>
      <c r="AN274" s="1"/>
      <c r="AV274" s="1"/>
      <c r="BD274" s="1"/>
      <c r="BL274" s="1"/>
      <c r="BT274" s="1"/>
    </row>
    <row r="275" spans="19:72" s="17" customFormat="1" ht="22.5" customHeight="1" x14ac:dyDescent="0.25">
      <c r="S275" s="1"/>
      <c r="V275" s="99"/>
      <c r="W275" s="99"/>
      <c r="AF275" s="1"/>
      <c r="AN275" s="1"/>
      <c r="AV275" s="1"/>
      <c r="BD275" s="1"/>
      <c r="BL275" s="1"/>
      <c r="BT275" s="1"/>
    </row>
    <row r="276" spans="19:72" s="17" customFormat="1" ht="22.5" customHeight="1" x14ac:dyDescent="0.25">
      <c r="S276" s="1"/>
      <c r="V276" s="99"/>
      <c r="W276" s="99"/>
      <c r="AF276" s="1"/>
      <c r="AN276" s="1"/>
      <c r="AV276" s="1"/>
      <c r="BD276" s="1"/>
      <c r="BL276" s="1"/>
      <c r="BT276" s="1"/>
    </row>
    <row r="277" spans="19:72" s="17" customFormat="1" ht="22.5" customHeight="1" x14ac:dyDescent="0.25">
      <c r="S277" s="1"/>
      <c r="V277" s="99"/>
      <c r="W277" s="99"/>
      <c r="AF277" s="1"/>
      <c r="AN277" s="1"/>
      <c r="AV277" s="1"/>
      <c r="BD277" s="1"/>
      <c r="BL277" s="1"/>
      <c r="BT277" s="1"/>
    </row>
    <row r="278" spans="19:72" s="17" customFormat="1" ht="22.5" customHeight="1" x14ac:dyDescent="0.25">
      <c r="S278" s="1"/>
      <c r="V278" s="99"/>
      <c r="W278" s="99"/>
      <c r="AF278" s="1"/>
      <c r="AN278" s="1"/>
      <c r="AV278" s="1"/>
      <c r="BD278" s="1"/>
      <c r="BL278" s="1"/>
      <c r="BT278" s="1"/>
    </row>
    <row r="279" spans="19:72" s="17" customFormat="1" ht="22.5" customHeight="1" x14ac:dyDescent="0.25">
      <c r="S279" s="1"/>
      <c r="V279" s="99"/>
      <c r="W279" s="99"/>
      <c r="AF279" s="1"/>
      <c r="AN279" s="1"/>
      <c r="AV279" s="1"/>
      <c r="BD279" s="1"/>
      <c r="BL279" s="1"/>
      <c r="BT279" s="1"/>
    </row>
    <row r="280" spans="19:72" s="17" customFormat="1" ht="22.5" customHeight="1" x14ac:dyDescent="0.25">
      <c r="S280" s="1"/>
      <c r="V280" s="99"/>
      <c r="W280" s="99"/>
      <c r="AF280" s="1"/>
      <c r="AN280" s="1"/>
      <c r="AV280" s="1"/>
      <c r="BD280" s="1"/>
      <c r="BL280" s="1"/>
      <c r="BT280" s="1"/>
    </row>
    <row r="281" spans="19:72" s="17" customFormat="1" ht="22.5" customHeight="1" x14ac:dyDescent="0.25">
      <c r="S281" s="1"/>
      <c r="V281" s="99"/>
      <c r="W281" s="99"/>
      <c r="AF281" s="1"/>
      <c r="AN281" s="1"/>
      <c r="AV281" s="1"/>
      <c r="BD281" s="1"/>
      <c r="BL281" s="1"/>
      <c r="BT281" s="1"/>
    </row>
    <row r="282" spans="19:72" s="17" customFormat="1" ht="22.5" customHeight="1" x14ac:dyDescent="0.25">
      <c r="S282" s="1"/>
      <c r="V282" s="99"/>
      <c r="W282" s="99"/>
      <c r="AF282" s="1"/>
      <c r="AN282" s="1"/>
      <c r="AV282" s="1"/>
      <c r="BD282" s="1"/>
      <c r="BL282" s="1"/>
      <c r="BT282" s="1"/>
    </row>
    <row r="283" spans="19:72" s="17" customFormat="1" ht="22.5" customHeight="1" x14ac:dyDescent="0.25">
      <c r="S283" s="1"/>
      <c r="V283" s="99"/>
      <c r="W283" s="99"/>
      <c r="AF283" s="1"/>
      <c r="AN283" s="1"/>
      <c r="AV283" s="1"/>
      <c r="BD283" s="1"/>
      <c r="BL283" s="1"/>
      <c r="BT283" s="1"/>
    </row>
    <row r="284" spans="19:72" s="17" customFormat="1" ht="22.5" customHeight="1" x14ac:dyDescent="0.25">
      <c r="S284" s="1"/>
      <c r="V284" s="99"/>
      <c r="W284" s="99"/>
      <c r="AF284" s="1"/>
      <c r="AN284" s="1"/>
      <c r="AV284" s="1"/>
      <c r="BD284" s="1"/>
      <c r="BL284" s="1"/>
      <c r="BT284" s="1"/>
    </row>
    <row r="285" spans="19:72" s="17" customFormat="1" ht="22.5" customHeight="1" x14ac:dyDescent="0.25">
      <c r="S285" s="1"/>
      <c r="V285" s="99"/>
      <c r="W285" s="99"/>
      <c r="AF285" s="1"/>
      <c r="AN285" s="1"/>
      <c r="AV285" s="1"/>
      <c r="BD285" s="1"/>
      <c r="BL285" s="1"/>
      <c r="BT285" s="1"/>
    </row>
    <row r="286" spans="19:72" s="17" customFormat="1" ht="22.5" customHeight="1" x14ac:dyDescent="0.25">
      <c r="S286" s="1"/>
      <c r="V286" s="99"/>
      <c r="W286" s="99"/>
      <c r="AF286" s="1"/>
      <c r="AN286" s="1"/>
      <c r="AV286" s="1"/>
      <c r="BD286" s="1"/>
      <c r="BL286" s="1"/>
      <c r="BT286" s="1"/>
    </row>
    <row r="287" spans="19:72" s="17" customFormat="1" ht="22.5" customHeight="1" x14ac:dyDescent="0.25">
      <c r="S287" s="1"/>
      <c r="V287" s="99"/>
      <c r="W287" s="99"/>
      <c r="AF287" s="1"/>
      <c r="AN287" s="1"/>
      <c r="AV287" s="1"/>
      <c r="BD287" s="1"/>
      <c r="BL287" s="1"/>
      <c r="BT287" s="1"/>
    </row>
    <row r="288" spans="19:72" s="17" customFormat="1" ht="22.5" customHeight="1" x14ac:dyDescent="0.25">
      <c r="S288" s="1"/>
      <c r="V288" s="99"/>
      <c r="W288" s="99"/>
      <c r="AF288" s="1"/>
      <c r="AN288" s="1"/>
      <c r="AV288" s="1"/>
      <c r="BD288" s="1"/>
      <c r="BL288" s="1"/>
      <c r="BT288" s="1"/>
    </row>
    <row r="289" spans="19:72" s="17" customFormat="1" ht="22.5" customHeight="1" x14ac:dyDescent="0.25">
      <c r="S289" s="1"/>
      <c r="V289" s="99"/>
      <c r="W289" s="99"/>
      <c r="AF289" s="1"/>
      <c r="AN289" s="1"/>
      <c r="AV289" s="1"/>
      <c r="BD289" s="1"/>
      <c r="BL289" s="1"/>
      <c r="BT289" s="1"/>
    </row>
    <row r="290" spans="19:72" s="17" customFormat="1" ht="22.5" customHeight="1" x14ac:dyDescent="0.25">
      <c r="S290" s="1"/>
      <c r="V290" s="99"/>
      <c r="W290" s="99"/>
      <c r="AF290" s="1"/>
      <c r="AN290" s="1"/>
      <c r="AV290" s="1"/>
      <c r="BD290" s="1"/>
      <c r="BL290" s="1"/>
      <c r="BT290" s="1"/>
    </row>
    <row r="291" spans="19:72" s="17" customFormat="1" ht="22.5" customHeight="1" x14ac:dyDescent="0.25">
      <c r="S291" s="1"/>
      <c r="V291" s="99"/>
      <c r="W291" s="99"/>
      <c r="AF291" s="1"/>
      <c r="AN291" s="1"/>
      <c r="AV291" s="1"/>
      <c r="BD291" s="1"/>
      <c r="BL291" s="1"/>
      <c r="BT291" s="1"/>
    </row>
    <row r="292" spans="19:72" s="17" customFormat="1" ht="22.5" customHeight="1" x14ac:dyDescent="0.25">
      <c r="S292" s="1"/>
      <c r="V292" s="99"/>
      <c r="W292" s="99"/>
      <c r="AF292" s="1"/>
      <c r="AN292" s="1"/>
      <c r="AV292" s="1"/>
      <c r="BD292" s="1"/>
      <c r="BL292" s="1"/>
      <c r="BT292" s="1"/>
    </row>
    <row r="293" spans="19:72" s="17" customFormat="1" ht="22.5" customHeight="1" x14ac:dyDescent="0.25">
      <c r="S293" s="1"/>
      <c r="V293" s="99"/>
      <c r="W293" s="99"/>
      <c r="AF293" s="1"/>
      <c r="AN293" s="1"/>
      <c r="AV293" s="1"/>
      <c r="BD293" s="1"/>
      <c r="BL293" s="1"/>
      <c r="BT293" s="1"/>
    </row>
    <row r="294" spans="19:72" s="17" customFormat="1" ht="22.5" customHeight="1" x14ac:dyDescent="0.25">
      <c r="S294" s="1"/>
      <c r="V294" s="99"/>
      <c r="W294" s="99"/>
      <c r="AF294" s="1"/>
      <c r="AN294" s="1"/>
      <c r="AV294" s="1"/>
      <c r="BD294" s="1"/>
      <c r="BL294" s="1"/>
      <c r="BT294" s="1"/>
    </row>
    <row r="295" spans="19:72" s="17" customFormat="1" ht="22.5" customHeight="1" x14ac:dyDescent="0.25">
      <c r="S295" s="1"/>
      <c r="V295" s="99"/>
      <c r="W295" s="99"/>
      <c r="AF295" s="1"/>
      <c r="AN295" s="1"/>
      <c r="AV295" s="1"/>
      <c r="BD295" s="1"/>
      <c r="BL295" s="1"/>
      <c r="BT295" s="1"/>
    </row>
    <row r="296" spans="19:72" s="17" customFormat="1" ht="22.5" customHeight="1" x14ac:dyDescent="0.25">
      <c r="S296" s="1"/>
      <c r="V296" s="99"/>
      <c r="W296" s="99"/>
      <c r="AF296" s="1"/>
      <c r="AN296" s="1"/>
      <c r="AV296" s="1"/>
      <c r="BD296" s="1"/>
      <c r="BL296" s="1"/>
      <c r="BT296" s="1"/>
    </row>
    <row r="297" spans="19:72" s="17" customFormat="1" ht="22.5" customHeight="1" x14ac:dyDescent="0.25">
      <c r="S297" s="1"/>
      <c r="V297" s="99"/>
      <c r="W297" s="99"/>
      <c r="AF297" s="1"/>
      <c r="AN297" s="1"/>
      <c r="AV297" s="1"/>
      <c r="BD297" s="1"/>
      <c r="BL297" s="1"/>
      <c r="BT297" s="1"/>
    </row>
    <row r="298" spans="19:72" s="17" customFormat="1" ht="22.5" customHeight="1" x14ac:dyDescent="0.25">
      <c r="S298" s="1"/>
      <c r="V298" s="99"/>
      <c r="W298" s="99"/>
      <c r="AF298" s="1"/>
      <c r="AN298" s="1"/>
      <c r="AV298" s="1"/>
      <c r="BD298" s="1"/>
      <c r="BL298" s="1"/>
      <c r="BT298" s="1"/>
    </row>
    <row r="299" spans="19:72" s="17" customFormat="1" ht="22.5" customHeight="1" x14ac:dyDescent="0.25">
      <c r="S299" s="1"/>
      <c r="V299" s="99"/>
      <c r="W299" s="99"/>
      <c r="AF299" s="1"/>
      <c r="AN299" s="1"/>
      <c r="AV299" s="1"/>
      <c r="BD299" s="1"/>
      <c r="BL299" s="1"/>
      <c r="BT299" s="1"/>
    </row>
    <row r="300" spans="19:72" s="17" customFormat="1" ht="22.5" customHeight="1" x14ac:dyDescent="0.25">
      <c r="S300" s="1"/>
      <c r="V300" s="99"/>
      <c r="W300" s="99"/>
      <c r="AF300" s="1"/>
      <c r="AN300" s="1"/>
      <c r="AV300" s="1"/>
      <c r="BD300" s="1"/>
      <c r="BL300" s="1"/>
      <c r="BT300" s="1"/>
    </row>
    <row r="301" spans="19:72" s="17" customFormat="1" ht="22.5" customHeight="1" x14ac:dyDescent="0.25">
      <c r="S301" s="1"/>
      <c r="V301" s="99"/>
      <c r="W301" s="99"/>
      <c r="AF301" s="1"/>
      <c r="AN301" s="1"/>
      <c r="AV301" s="1"/>
      <c r="BD301" s="1"/>
      <c r="BL301" s="1"/>
      <c r="BT301" s="1"/>
    </row>
    <row r="302" spans="19:72" s="17" customFormat="1" ht="22.5" customHeight="1" x14ac:dyDescent="0.25">
      <c r="S302" s="1"/>
      <c r="V302" s="99"/>
      <c r="W302" s="99"/>
      <c r="AF302" s="1"/>
      <c r="AN302" s="1"/>
      <c r="AV302" s="1"/>
      <c r="BD302" s="1"/>
      <c r="BL302" s="1"/>
      <c r="BT302" s="1"/>
    </row>
    <row r="303" spans="19:72" s="17" customFormat="1" ht="22.5" customHeight="1" x14ac:dyDescent="0.25">
      <c r="S303" s="1"/>
      <c r="V303" s="99"/>
      <c r="W303" s="99"/>
      <c r="AF303" s="1"/>
      <c r="AN303" s="1"/>
      <c r="AV303" s="1"/>
      <c r="BD303" s="1"/>
      <c r="BL303" s="1"/>
      <c r="BT303" s="1"/>
    </row>
    <row r="304" spans="19:72" s="17" customFormat="1" ht="22.5" customHeight="1" x14ac:dyDescent="0.25">
      <c r="S304" s="1"/>
      <c r="V304" s="99"/>
      <c r="W304" s="99"/>
      <c r="AF304" s="1"/>
      <c r="AN304" s="1"/>
      <c r="AV304" s="1"/>
      <c r="BD304" s="1"/>
      <c r="BL304" s="1"/>
      <c r="BT304" s="1"/>
    </row>
    <row r="305" spans="19:72" s="17" customFormat="1" ht="22.5" customHeight="1" x14ac:dyDescent="0.25">
      <c r="S305" s="1"/>
      <c r="V305" s="99"/>
      <c r="W305" s="99"/>
      <c r="AF305" s="1"/>
      <c r="AN305" s="1"/>
      <c r="AV305" s="1"/>
      <c r="BD305" s="1"/>
      <c r="BL305" s="1"/>
      <c r="BT305" s="1"/>
    </row>
    <row r="306" spans="19:72" s="17" customFormat="1" ht="22.5" customHeight="1" x14ac:dyDescent="0.25">
      <c r="S306" s="1"/>
      <c r="V306" s="99"/>
      <c r="W306" s="99"/>
      <c r="AF306" s="1"/>
      <c r="AN306" s="1"/>
      <c r="AV306" s="1"/>
      <c r="BD306" s="1"/>
      <c r="BL306" s="1"/>
      <c r="BT306" s="1"/>
    </row>
    <row r="307" spans="19:72" s="17" customFormat="1" ht="22.5" customHeight="1" x14ac:dyDescent="0.25">
      <c r="S307" s="1"/>
      <c r="V307" s="99"/>
      <c r="W307" s="99"/>
      <c r="AF307" s="1"/>
      <c r="AN307" s="1"/>
      <c r="AV307" s="1"/>
      <c r="BD307" s="1"/>
      <c r="BL307" s="1"/>
      <c r="BT307" s="1"/>
    </row>
    <row r="308" spans="19:72" s="17" customFormat="1" ht="22.5" customHeight="1" x14ac:dyDescent="0.25">
      <c r="S308" s="1"/>
      <c r="V308" s="99"/>
      <c r="W308" s="99"/>
      <c r="AF308" s="1"/>
      <c r="AN308" s="1"/>
      <c r="AV308" s="1"/>
      <c r="BD308" s="1"/>
      <c r="BL308" s="1"/>
      <c r="BT308" s="1"/>
    </row>
    <row r="309" spans="19:72" s="17" customFormat="1" ht="22.5" customHeight="1" x14ac:dyDescent="0.25">
      <c r="S309" s="1"/>
      <c r="V309" s="99"/>
      <c r="W309" s="99"/>
      <c r="AF309" s="1"/>
      <c r="AN309" s="1"/>
      <c r="AV309" s="1"/>
      <c r="BD309" s="1"/>
      <c r="BL309" s="1"/>
      <c r="BT309" s="1"/>
    </row>
    <row r="310" spans="19:72" s="17" customFormat="1" ht="22.5" customHeight="1" x14ac:dyDescent="0.25">
      <c r="S310" s="1"/>
      <c r="V310" s="99"/>
      <c r="W310" s="99"/>
      <c r="AF310" s="1"/>
      <c r="AN310" s="1"/>
      <c r="AV310" s="1"/>
      <c r="BD310" s="1"/>
      <c r="BL310" s="1"/>
      <c r="BT310" s="1"/>
    </row>
    <row r="311" spans="19:72" s="17" customFormat="1" ht="22.5" customHeight="1" x14ac:dyDescent="0.25">
      <c r="S311" s="1"/>
      <c r="V311" s="99"/>
      <c r="W311" s="99"/>
      <c r="AF311" s="1"/>
      <c r="AN311" s="1"/>
      <c r="AV311" s="1"/>
      <c r="BD311" s="1"/>
      <c r="BL311" s="1"/>
      <c r="BT311" s="1"/>
    </row>
    <row r="312" spans="19:72" s="17" customFormat="1" ht="22.5" customHeight="1" x14ac:dyDescent="0.25">
      <c r="S312" s="1"/>
      <c r="V312" s="99"/>
      <c r="W312" s="99"/>
      <c r="AF312" s="1"/>
      <c r="AN312" s="1"/>
      <c r="AV312" s="1"/>
      <c r="BD312" s="1"/>
      <c r="BL312" s="1"/>
      <c r="BT312" s="1"/>
    </row>
    <row r="313" spans="19:72" s="17" customFormat="1" ht="22.5" customHeight="1" x14ac:dyDescent="0.25">
      <c r="S313" s="1"/>
      <c r="V313" s="99"/>
      <c r="W313" s="99"/>
      <c r="AF313" s="1"/>
      <c r="AN313" s="1"/>
      <c r="AV313" s="1"/>
      <c r="BD313" s="1"/>
      <c r="BL313" s="1"/>
      <c r="BT313" s="1"/>
    </row>
    <row r="314" spans="19:72" s="17" customFormat="1" ht="22.5" customHeight="1" x14ac:dyDescent="0.25">
      <c r="S314" s="1"/>
      <c r="V314" s="99"/>
      <c r="W314" s="99"/>
      <c r="AF314" s="1"/>
      <c r="AN314" s="1"/>
      <c r="AV314" s="1"/>
      <c r="BD314" s="1"/>
      <c r="BL314" s="1"/>
      <c r="BT314" s="1"/>
    </row>
    <row r="315" spans="19:72" s="17" customFormat="1" ht="22.5" customHeight="1" x14ac:dyDescent="0.25">
      <c r="S315" s="1"/>
      <c r="V315" s="99"/>
      <c r="W315" s="99"/>
      <c r="AF315" s="1"/>
      <c r="AN315" s="1"/>
      <c r="AV315" s="1"/>
      <c r="BD315" s="1"/>
      <c r="BL315" s="1"/>
      <c r="BT315" s="1"/>
    </row>
    <row r="316" spans="19:72" s="17" customFormat="1" ht="22.5" customHeight="1" x14ac:dyDescent="0.25">
      <c r="S316" s="1"/>
      <c r="V316" s="99"/>
      <c r="W316" s="99"/>
      <c r="AF316" s="1"/>
      <c r="AN316" s="1"/>
      <c r="AV316" s="1"/>
      <c r="BD316" s="1"/>
      <c r="BL316" s="1"/>
      <c r="BT316" s="1"/>
    </row>
    <row r="317" spans="19:72" s="17" customFormat="1" ht="22.5" customHeight="1" x14ac:dyDescent="0.25">
      <c r="S317" s="1"/>
      <c r="V317" s="99"/>
      <c r="W317" s="99"/>
      <c r="AF317" s="1"/>
      <c r="AN317" s="1"/>
      <c r="AV317" s="1"/>
      <c r="BD317" s="1"/>
      <c r="BL317" s="1"/>
      <c r="BT317" s="1"/>
    </row>
    <row r="318" spans="19:72" s="17" customFormat="1" ht="22.5" customHeight="1" x14ac:dyDescent="0.25">
      <c r="S318" s="1"/>
      <c r="V318" s="99"/>
      <c r="W318" s="99"/>
      <c r="AF318" s="1"/>
      <c r="AN318" s="1"/>
      <c r="AV318" s="1"/>
      <c r="BD318" s="1"/>
      <c r="BL318" s="1"/>
      <c r="BT318" s="1"/>
    </row>
    <row r="319" spans="19:72" s="17" customFormat="1" ht="22.5" customHeight="1" x14ac:dyDescent="0.25">
      <c r="S319" s="1"/>
      <c r="V319" s="99"/>
      <c r="W319" s="99"/>
      <c r="AF319" s="1"/>
      <c r="AN319" s="1"/>
      <c r="AV319" s="1"/>
      <c r="BD319" s="1"/>
      <c r="BL319" s="1"/>
      <c r="BT319" s="1"/>
    </row>
    <row r="320" spans="19:72" s="17" customFormat="1" ht="22.5" customHeight="1" x14ac:dyDescent="0.25">
      <c r="S320" s="1"/>
      <c r="V320" s="99"/>
      <c r="W320" s="99"/>
      <c r="AF320" s="1"/>
      <c r="AN320" s="1"/>
      <c r="AV320" s="1"/>
      <c r="BD320" s="1"/>
      <c r="BL320" s="1"/>
      <c r="BT320" s="1"/>
    </row>
    <row r="321" spans="19:72" s="17" customFormat="1" ht="22.5" customHeight="1" x14ac:dyDescent="0.25">
      <c r="S321" s="1"/>
      <c r="V321" s="99"/>
      <c r="W321" s="99"/>
      <c r="AF321" s="1"/>
      <c r="AN321" s="1"/>
      <c r="AV321" s="1"/>
      <c r="BD321" s="1"/>
      <c r="BL321" s="1"/>
      <c r="BT321" s="1"/>
    </row>
    <row r="322" spans="19:72" s="17" customFormat="1" ht="22.5" customHeight="1" x14ac:dyDescent="0.25">
      <c r="S322" s="1"/>
      <c r="V322" s="99"/>
      <c r="W322" s="99"/>
      <c r="AF322" s="1"/>
      <c r="AN322" s="1"/>
      <c r="AV322" s="1"/>
      <c r="BD322" s="1"/>
      <c r="BL322" s="1"/>
      <c r="BT322" s="1"/>
    </row>
    <row r="323" spans="19:72" s="17" customFormat="1" ht="22.5" customHeight="1" x14ac:dyDescent="0.25">
      <c r="S323" s="1"/>
      <c r="V323" s="99"/>
      <c r="W323" s="99"/>
      <c r="AF323" s="1"/>
      <c r="AN323" s="1"/>
      <c r="AV323" s="1"/>
      <c r="BD323" s="1"/>
      <c r="BL323" s="1"/>
      <c r="BT323" s="1"/>
    </row>
    <row r="324" spans="19:72" s="17" customFormat="1" ht="22.5" customHeight="1" x14ac:dyDescent="0.25">
      <c r="S324" s="1"/>
      <c r="V324" s="99"/>
      <c r="W324" s="99"/>
      <c r="AF324" s="1"/>
      <c r="AN324" s="1"/>
      <c r="AV324" s="1"/>
      <c r="BD324" s="1"/>
      <c r="BL324" s="1"/>
      <c r="BT324" s="1"/>
    </row>
    <row r="325" spans="19:72" s="17" customFormat="1" ht="22.5" customHeight="1" x14ac:dyDescent="0.25">
      <c r="S325" s="1"/>
      <c r="V325" s="99"/>
      <c r="W325" s="99"/>
      <c r="AF325" s="1"/>
      <c r="AN325" s="1"/>
      <c r="AV325" s="1"/>
      <c r="BD325" s="1"/>
      <c r="BL325" s="1"/>
      <c r="BT325" s="1"/>
    </row>
    <row r="326" spans="19:72" s="17" customFormat="1" ht="22.5" customHeight="1" x14ac:dyDescent="0.25">
      <c r="S326" s="1"/>
      <c r="V326" s="99"/>
      <c r="W326" s="99"/>
      <c r="AF326" s="1"/>
      <c r="AN326" s="1"/>
      <c r="AV326" s="1"/>
      <c r="BD326" s="1"/>
      <c r="BL326" s="1"/>
      <c r="BT326" s="1"/>
    </row>
    <row r="327" spans="19:72" s="17" customFormat="1" ht="22.5" customHeight="1" x14ac:dyDescent="0.25">
      <c r="S327" s="1"/>
      <c r="V327" s="99"/>
      <c r="W327" s="99"/>
      <c r="AF327" s="1"/>
      <c r="AN327" s="1"/>
      <c r="AV327" s="1"/>
      <c r="BD327" s="1"/>
      <c r="BL327" s="1"/>
      <c r="BT327" s="1"/>
    </row>
    <row r="328" spans="19:72" s="17" customFormat="1" ht="22.5" customHeight="1" x14ac:dyDescent="0.25">
      <c r="S328" s="1"/>
      <c r="V328" s="99"/>
      <c r="W328" s="99"/>
      <c r="AF328" s="1"/>
      <c r="AN328" s="1"/>
      <c r="AV328" s="1"/>
      <c r="BD328" s="1"/>
      <c r="BL328" s="1"/>
      <c r="BT328" s="1"/>
    </row>
    <row r="329" spans="19:72" s="17" customFormat="1" ht="22.5" customHeight="1" x14ac:dyDescent="0.25">
      <c r="S329" s="1"/>
      <c r="V329" s="99"/>
      <c r="W329" s="99"/>
      <c r="AF329" s="1"/>
      <c r="AN329" s="1"/>
      <c r="AV329" s="1"/>
      <c r="BD329" s="1"/>
      <c r="BL329" s="1"/>
      <c r="BT329" s="1"/>
    </row>
    <row r="330" spans="19:72" s="17" customFormat="1" ht="22.5" customHeight="1" x14ac:dyDescent="0.25">
      <c r="S330" s="1"/>
      <c r="V330" s="99"/>
      <c r="W330" s="99"/>
      <c r="AF330" s="1"/>
      <c r="AN330" s="1"/>
      <c r="AV330" s="1"/>
      <c r="BD330" s="1"/>
      <c r="BL330" s="1"/>
      <c r="BT330" s="1"/>
    </row>
    <row r="331" spans="19:72" s="17" customFormat="1" ht="22.5" customHeight="1" x14ac:dyDescent="0.25">
      <c r="S331" s="1"/>
      <c r="V331" s="99"/>
      <c r="W331" s="99"/>
      <c r="AF331" s="1"/>
      <c r="AN331" s="1"/>
      <c r="AV331" s="1"/>
      <c r="BD331" s="1"/>
      <c r="BL331" s="1"/>
      <c r="BT331" s="1"/>
    </row>
    <row r="332" spans="19:72" s="17" customFormat="1" ht="22.5" customHeight="1" x14ac:dyDescent="0.25">
      <c r="S332" s="1"/>
      <c r="V332" s="99"/>
      <c r="W332" s="99"/>
      <c r="AF332" s="1"/>
      <c r="AN332" s="1"/>
      <c r="AV332" s="1"/>
      <c r="BD332" s="1"/>
      <c r="BL332" s="1"/>
      <c r="BT332" s="1"/>
    </row>
    <row r="333" spans="19:72" s="17" customFormat="1" ht="22.5" customHeight="1" x14ac:dyDescent="0.25">
      <c r="S333" s="1"/>
      <c r="V333" s="99"/>
      <c r="W333" s="99"/>
      <c r="AF333" s="1"/>
      <c r="AN333" s="1"/>
      <c r="AV333" s="1"/>
      <c r="BD333" s="1"/>
      <c r="BL333" s="1"/>
      <c r="BT333" s="1"/>
    </row>
    <row r="334" spans="19:72" s="17" customFormat="1" ht="22.5" customHeight="1" x14ac:dyDescent="0.25">
      <c r="S334" s="1"/>
      <c r="V334" s="99"/>
      <c r="W334" s="99"/>
      <c r="AF334" s="1"/>
      <c r="AN334" s="1"/>
      <c r="AV334" s="1"/>
      <c r="BD334" s="1"/>
      <c r="BL334" s="1"/>
      <c r="BT334" s="1"/>
    </row>
    <row r="335" spans="19:72" s="17" customFormat="1" ht="22.5" customHeight="1" x14ac:dyDescent="0.25">
      <c r="S335" s="1"/>
      <c r="V335" s="99"/>
      <c r="W335" s="99"/>
      <c r="AF335" s="1"/>
      <c r="AN335" s="1"/>
      <c r="AV335" s="1"/>
      <c r="BD335" s="1"/>
      <c r="BL335" s="1"/>
      <c r="BT335" s="1"/>
    </row>
    <row r="336" spans="19:72" s="17" customFormat="1" ht="22.5" customHeight="1" x14ac:dyDescent="0.25">
      <c r="S336" s="1"/>
      <c r="V336" s="99"/>
      <c r="W336" s="99"/>
      <c r="AF336" s="1"/>
      <c r="AN336" s="1"/>
      <c r="AV336" s="1"/>
      <c r="BD336" s="1"/>
      <c r="BL336" s="1"/>
      <c r="BT336" s="1"/>
    </row>
    <row r="337" spans="19:72" s="17" customFormat="1" ht="22.5" customHeight="1" x14ac:dyDescent="0.25">
      <c r="S337" s="1"/>
      <c r="V337" s="99"/>
      <c r="W337" s="99"/>
      <c r="AF337" s="1"/>
      <c r="AN337" s="1"/>
      <c r="AV337" s="1"/>
      <c r="BD337" s="1"/>
      <c r="BL337" s="1"/>
      <c r="BT337" s="1"/>
    </row>
    <row r="338" spans="19:72" s="17" customFormat="1" ht="22.5" customHeight="1" x14ac:dyDescent="0.25">
      <c r="S338" s="1"/>
      <c r="V338" s="99"/>
      <c r="W338" s="99"/>
      <c r="AF338" s="1"/>
      <c r="AN338" s="1"/>
      <c r="AV338" s="1"/>
      <c r="BD338" s="1"/>
      <c r="BL338" s="1"/>
      <c r="BT338" s="1"/>
    </row>
    <row r="339" spans="19:72" s="17" customFormat="1" ht="22.5" customHeight="1" x14ac:dyDescent="0.25">
      <c r="S339" s="1"/>
      <c r="V339" s="99"/>
      <c r="W339" s="99"/>
      <c r="AF339" s="1"/>
      <c r="AN339" s="1"/>
      <c r="AV339" s="1"/>
      <c r="BD339" s="1"/>
      <c r="BL339" s="1"/>
      <c r="BT339" s="1"/>
    </row>
    <row r="340" spans="19:72" s="17" customFormat="1" ht="22.5" customHeight="1" x14ac:dyDescent="0.25">
      <c r="S340" s="1"/>
      <c r="V340" s="99"/>
      <c r="W340" s="99"/>
      <c r="AF340" s="1"/>
      <c r="AN340" s="1"/>
      <c r="AV340" s="1"/>
      <c r="BD340" s="1"/>
      <c r="BL340" s="1"/>
      <c r="BT340" s="1"/>
    </row>
    <row r="341" spans="19:72" s="17" customFormat="1" ht="22.5" customHeight="1" x14ac:dyDescent="0.25">
      <c r="S341" s="1"/>
      <c r="V341" s="99"/>
      <c r="W341" s="99"/>
      <c r="AF341" s="1"/>
      <c r="AN341" s="1"/>
      <c r="AV341" s="1"/>
      <c r="BD341" s="1"/>
      <c r="BL341" s="1"/>
      <c r="BT341" s="1"/>
    </row>
    <row r="342" spans="19:72" s="17" customFormat="1" ht="22.5" customHeight="1" x14ac:dyDescent="0.25">
      <c r="S342" s="1"/>
      <c r="V342" s="99"/>
      <c r="W342" s="99"/>
      <c r="AF342" s="1"/>
      <c r="AN342" s="1"/>
      <c r="AV342" s="1"/>
      <c r="BD342" s="1"/>
      <c r="BL342" s="1"/>
      <c r="BT342" s="1"/>
    </row>
    <row r="343" spans="19:72" s="17" customFormat="1" ht="22.5" customHeight="1" x14ac:dyDescent="0.25">
      <c r="S343" s="1"/>
      <c r="V343" s="99"/>
      <c r="W343" s="99"/>
      <c r="AF343" s="1"/>
      <c r="AN343" s="1"/>
      <c r="AV343" s="1"/>
      <c r="BD343" s="1"/>
      <c r="BL343" s="1"/>
      <c r="BT343" s="1"/>
    </row>
    <row r="344" spans="19:72" s="17" customFormat="1" ht="22.5" customHeight="1" x14ac:dyDescent="0.25">
      <c r="S344" s="1"/>
      <c r="V344" s="99"/>
      <c r="W344" s="99"/>
      <c r="AF344" s="1"/>
      <c r="AN344" s="1"/>
      <c r="AV344" s="1"/>
      <c r="BD344" s="1"/>
      <c r="BL344" s="1"/>
      <c r="BT344" s="1"/>
    </row>
    <row r="345" spans="19:72" s="17" customFormat="1" ht="22.5" customHeight="1" x14ac:dyDescent="0.25">
      <c r="S345" s="1"/>
      <c r="V345" s="99"/>
      <c r="W345" s="99"/>
      <c r="AF345" s="1"/>
      <c r="AN345" s="1"/>
      <c r="AV345" s="1"/>
      <c r="BD345" s="1"/>
      <c r="BL345" s="1"/>
      <c r="BT345" s="1"/>
    </row>
    <row r="346" spans="19:72" s="17" customFormat="1" ht="22.5" customHeight="1" x14ac:dyDescent="0.25">
      <c r="S346" s="1"/>
      <c r="V346" s="99"/>
      <c r="W346" s="99"/>
      <c r="AF346" s="1"/>
      <c r="AN346" s="1"/>
      <c r="AV346" s="1"/>
      <c r="BD346" s="1"/>
      <c r="BL346" s="1"/>
      <c r="BT346" s="1"/>
    </row>
    <row r="347" spans="19:72" s="17" customFormat="1" ht="22.5" customHeight="1" x14ac:dyDescent="0.25">
      <c r="S347" s="1"/>
      <c r="V347" s="99"/>
      <c r="W347" s="99"/>
      <c r="AF347" s="1"/>
      <c r="AN347" s="1"/>
      <c r="AV347" s="1"/>
      <c r="BD347" s="1"/>
      <c r="BL347" s="1"/>
      <c r="BT347" s="1"/>
    </row>
    <row r="348" spans="19:72" s="17" customFormat="1" ht="22.5" customHeight="1" x14ac:dyDescent="0.25">
      <c r="S348" s="1"/>
      <c r="V348" s="99"/>
      <c r="W348" s="99"/>
      <c r="AF348" s="1"/>
      <c r="AN348" s="1"/>
      <c r="AV348" s="1"/>
      <c r="BD348" s="1"/>
      <c r="BL348" s="1"/>
      <c r="BT348" s="1"/>
    </row>
    <row r="349" spans="19:72" s="17" customFormat="1" ht="22.5" customHeight="1" x14ac:dyDescent="0.25">
      <c r="S349" s="1"/>
      <c r="V349" s="99"/>
      <c r="W349" s="99"/>
      <c r="AF349" s="1"/>
      <c r="AN349" s="1"/>
      <c r="AV349" s="1"/>
      <c r="BD349" s="1"/>
      <c r="BL349" s="1"/>
      <c r="BT349" s="1"/>
    </row>
    <row r="350" spans="19:72" s="17" customFormat="1" ht="22.5" customHeight="1" x14ac:dyDescent="0.25">
      <c r="S350" s="1"/>
      <c r="V350" s="99"/>
      <c r="W350" s="99"/>
      <c r="AF350" s="1"/>
      <c r="AN350" s="1"/>
      <c r="AV350" s="1"/>
      <c r="BD350" s="1"/>
      <c r="BL350" s="1"/>
      <c r="BT350" s="1"/>
    </row>
    <row r="351" spans="19:72" s="17" customFormat="1" ht="22.5" customHeight="1" x14ac:dyDescent="0.25">
      <c r="S351" s="1"/>
      <c r="V351" s="99"/>
      <c r="W351" s="99"/>
      <c r="AF351" s="1"/>
      <c r="AN351" s="1"/>
      <c r="AV351" s="1"/>
      <c r="BD351" s="1"/>
      <c r="BL351" s="1"/>
      <c r="BT351" s="1"/>
    </row>
    <row r="352" spans="19:72" s="17" customFormat="1" ht="22.5" customHeight="1" x14ac:dyDescent="0.25">
      <c r="S352" s="1"/>
      <c r="V352" s="99"/>
      <c r="W352" s="99"/>
      <c r="AF352" s="1"/>
      <c r="AN352" s="1"/>
      <c r="AV352" s="1"/>
      <c r="BD352" s="1"/>
      <c r="BL352" s="1"/>
      <c r="BT352" s="1"/>
    </row>
    <row r="353" spans="19:72" s="17" customFormat="1" ht="22.5" customHeight="1" x14ac:dyDescent="0.25">
      <c r="S353" s="1"/>
      <c r="V353" s="99"/>
      <c r="W353" s="99"/>
      <c r="AF353" s="1"/>
      <c r="AN353" s="1"/>
      <c r="AV353" s="1"/>
      <c r="BD353" s="1"/>
      <c r="BL353" s="1"/>
      <c r="BT353" s="1"/>
    </row>
    <row r="354" spans="19:72" s="17" customFormat="1" ht="22.5" customHeight="1" x14ac:dyDescent="0.25">
      <c r="S354" s="1"/>
      <c r="V354" s="99"/>
      <c r="W354" s="99"/>
      <c r="AF354" s="1"/>
      <c r="AN354" s="1"/>
      <c r="AV354" s="1"/>
      <c r="BD354" s="1"/>
      <c r="BL354" s="1"/>
      <c r="BT354" s="1"/>
    </row>
    <row r="355" spans="19:72" s="17" customFormat="1" ht="22.5" customHeight="1" x14ac:dyDescent="0.25">
      <c r="S355" s="1"/>
      <c r="V355" s="99"/>
      <c r="W355" s="99"/>
      <c r="AF355" s="1"/>
      <c r="AN355" s="1"/>
      <c r="AV355" s="1"/>
      <c r="BD355" s="1"/>
      <c r="BL355" s="1"/>
      <c r="BT355" s="1"/>
    </row>
    <row r="356" spans="19:72" s="17" customFormat="1" ht="22.5" customHeight="1" x14ac:dyDescent="0.25">
      <c r="S356" s="1"/>
      <c r="V356" s="99"/>
      <c r="W356" s="99"/>
      <c r="AF356" s="1"/>
      <c r="AN356" s="1"/>
      <c r="AV356" s="1"/>
      <c r="BD356" s="1"/>
      <c r="BL356" s="1"/>
      <c r="BT356" s="1"/>
    </row>
    <row r="357" spans="19:72" s="17" customFormat="1" ht="22.5" customHeight="1" x14ac:dyDescent="0.25">
      <c r="S357" s="1"/>
      <c r="V357" s="99"/>
      <c r="W357" s="99"/>
      <c r="AF357" s="1"/>
      <c r="AN357" s="1"/>
      <c r="AV357" s="1"/>
      <c r="BD357" s="1"/>
      <c r="BL357" s="1"/>
      <c r="BT357" s="1"/>
    </row>
    <row r="358" spans="19:72" s="17" customFormat="1" ht="22.5" customHeight="1" x14ac:dyDescent="0.25">
      <c r="S358" s="1"/>
      <c r="V358" s="99"/>
      <c r="W358" s="99"/>
      <c r="AF358" s="1"/>
      <c r="AN358" s="1"/>
      <c r="AV358" s="1"/>
      <c r="BD358" s="1"/>
      <c r="BL358" s="1"/>
      <c r="BT358" s="1"/>
    </row>
    <row r="359" spans="19:72" s="17" customFormat="1" ht="22.5" customHeight="1" x14ac:dyDescent="0.25">
      <c r="S359" s="1"/>
      <c r="V359" s="99"/>
      <c r="W359" s="99"/>
      <c r="AF359" s="1"/>
      <c r="AN359" s="1"/>
      <c r="AV359" s="1"/>
      <c r="BD359" s="1"/>
      <c r="BL359" s="1"/>
      <c r="BT359" s="1"/>
    </row>
    <row r="360" spans="19:72" s="17" customFormat="1" ht="22.5" customHeight="1" x14ac:dyDescent="0.25">
      <c r="S360" s="1"/>
      <c r="V360" s="99"/>
      <c r="W360" s="99"/>
      <c r="AF360" s="1"/>
      <c r="AN360" s="1"/>
      <c r="AV360" s="1"/>
      <c r="BD360" s="1"/>
      <c r="BL360" s="1"/>
      <c r="BT360" s="1"/>
    </row>
    <row r="361" spans="19:72" s="17" customFormat="1" ht="22.5" customHeight="1" x14ac:dyDescent="0.25">
      <c r="S361" s="1"/>
      <c r="V361" s="99"/>
      <c r="W361" s="99"/>
      <c r="AF361" s="1"/>
      <c r="AN361" s="1"/>
      <c r="AV361" s="1"/>
      <c r="BD361" s="1"/>
      <c r="BL361" s="1"/>
      <c r="BT361" s="1"/>
    </row>
    <row r="362" spans="19:72" s="17" customFormat="1" ht="22.5" customHeight="1" x14ac:dyDescent="0.25">
      <c r="S362" s="1"/>
      <c r="V362" s="99"/>
      <c r="W362" s="99"/>
      <c r="AF362" s="1"/>
      <c r="AN362" s="1"/>
      <c r="AV362" s="1"/>
      <c r="BD362" s="1"/>
      <c r="BL362" s="1"/>
      <c r="BT362" s="1"/>
    </row>
    <row r="363" spans="19:72" s="17" customFormat="1" ht="22.5" customHeight="1" x14ac:dyDescent="0.25">
      <c r="S363" s="1"/>
      <c r="V363" s="99"/>
      <c r="W363" s="99"/>
      <c r="AF363" s="1"/>
      <c r="AN363" s="1"/>
      <c r="AV363" s="1"/>
      <c r="BD363" s="1"/>
      <c r="BL363" s="1"/>
      <c r="BT363" s="1"/>
    </row>
    <row r="364" spans="19:72" s="17" customFormat="1" ht="22.5" customHeight="1" x14ac:dyDescent="0.25">
      <c r="S364" s="1"/>
      <c r="V364" s="99"/>
      <c r="W364" s="99"/>
      <c r="AF364" s="1"/>
      <c r="AN364" s="1"/>
      <c r="AV364" s="1"/>
      <c r="BD364" s="1"/>
      <c r="BL364" s="1"/>
      <c r="BT364" s="1"/>
    </row>
    <row r="365" spans="19:72" s="17" customFormat="1" ht="22.5" customHeight="1" x14ac:dyDescent="0.25">
      <c r="S365" s="1"/>
      <c r="V365" s="99"/>
      <c r="W365" s="99"/>
      <c r="AF365" s="1"/>
      <c r="AN365" s="1"/>
      <c r="AV365" s="1"/>
      <c r="BD365" s="1"/>
      <c r="BL365" s="1"/>
      <c r="BT365" s="1"/>
    </row>
    <row r="366" spans="19:72" s="17" customFormat="1" ht="22.5" customHeight="1" x14ac:dyDescent="0.25">
      <c r="S366" s="1"/>
      <c r="V366" s="99"/>
      <c r="W366" s="99"/>
      <c r="AF366" s="1"/>
      <c r="AN366" s="1"/>
      <c r="AV366" s="1"/>
      <c r="BD366" s="1"/>
      <c r="BL366" s="1"/>
      <c r="BT366" s="1"/>
    </row>
    <row r="367" spans="19:72" s="17" customFormat="1" ht="22.5" customHeight="1" x14ac:dyDescent="0.25">
      <c r="S367" s="1"/>
      <c r="V367" s="99"/>
      <c r="W367" s="99"/>
      <c r="AF367" s="1"/>
      <c r="AN367" s="1"/>
      <c r="AV367" s="1"/>
      <c r="BD367" s="1"/>
      <c r="BL367" s="1"/>
      <c r="BT367" s="1"/>
    </row>
    <row r="368" spans="19:72" s="17" customFormat="1" ht="22.5" customHeight="1" x14ac:dyDescent="0.25">
      <c r="S368" s="1"/>
      <c r="V368" s="99"/>
      <c r="W368" s="99"/>
      <c r="AF368" s="1"/>
      <c r="AN368" s="1"/>
      <c r="AV368" s="1"/>
      <c r="BD368" s="1"/>
      <c r="BL368" s="1"/>
      <c r="BT368" s="1"/>
    </row>
    <row r="369" spans="19:72" s="17" customFormat="1" ht="22.5" customHeight="1" x14ac:dyDescent="0.25">
      <c r="S369" s="1"/>
      <c r="V369" s="99"/>
      <c r="W369" s="99"/>
      <c r="AF369" s="1"/>
      <c r="AN369" s="1"/>
      <c r="AV369" s="1"/>
      <c r="BD369" s="1"/>
      <c r="BL369" s="1"/>
      <c r="BT369" s="1"/>
    </row>
    <row r="370" spans="19:72" s="17" customFormat="1" ht="22.5" customHeight="1" x14ac:dyDescent="0.25">
      <c r="S370" s="1"/>
      <c r="V370" s="99"/>
      <c r="W370" s="99"/>
      <c r="AF370" s="1"/>
      <c r="AN370" s="1"/>
      <c r="AV370" s="1"/>
      <c r="BD370" s="1"/>
      <c r="BL370" s="1"/>
      <c r="BT370" s="1"/>
    </row>
    <row r="371" spans="19:72" s="17" customFormat="1" ht="22.5" customHeight="1" x14ac:dyDescent="0.25">
      <c r="S371" s="1"/>
      <c r="V371" s="99"/>
      <c r="W371" s="99"/>
      <c r="AF371" s="1"/>
      <c r="AN371" s="1"/>
      <c r="AV371" s="1"/>
      <c r="BD371" s="1"/>
      <c r="BL371" s="1"/>
      <c r="BT371" s="1"/>
    </row>
    <row r="372" spans="19:72" s="17" customFormat="1" ht="22.5" customHeight="1" x14ac:dyDescent="0.25">
      <c r="S372" s="1"/>
      <c r="V372" s="99"/>
      <c r="W372" s="99"/>
      <c r="AF372" s="1"/>
      <c r="AN372" s="1"/>
      <c r="AV372" s="1"/>
      <c r="BD372" s="1"/>
      <c r="BL372" s="1"/>
      <c r="BT372" s="1"/>
    </row>
    <row r="373" spans="19:72" s="17" customFormat="1" ht="22.5" customHeight="1" x14ac:dyDescent="0.25">
      <c r="S373" s="1"/>
      <c r="V373" s="99"/>
      <c r="W373" s="99"/>
      <c r="AF373" s="1"/>
      <c r="AN373" s="1"/>
      <c r="AV373" s="1"/>
      <c r="BD373" s="1"/>
      <c r="BL373" s="1"/>
      <c r="BT373" s="1"/>
    </row>
    <row r="374" spans="19:72" s="17" customFormat="1" ht="22.5" customHeight="1" x14ac:dyDescent="0.25">
      <c r="S374" s="1"/>
      <c r="V374" s="99"/>
      <c r="W374" s="99"/>
      <c r="AF374" s="1"/>
      <c r="AN374" s="1"/>
      <c r="AV374" s="1"/>
      <c r="BD374" s="1"/>
      <c r="BL374" s="1"/>
      <c r="BT374" s="1"/>
    </row>
    <row r="375" spans="19:72" s="17" customFormat="1" ht="22.5" customHeight="1" x14ac:dyDescent="0.25">
      <c r="S375" s="1"/>
      <c r="V375" s="99"/>
      <c r="W375" s="99"/>
      <c r="AF375" s="1"/>
      <c r="AN375" s="1"/>
      <c r="AV375" s="1"/>
      <c r="BD375" s="1"/>
      <c r="BL375" s="1"/>
      <c r="BT375" s="1"/>
    </row>
    <row r="376" spans="19:72" s="17" customFormat="1" ht="22.5" customHeight="1" x14ac:dyDescent="0.25">
      <c r="S376" s="1"/>
      <c r="V376" s="99"/>
      <c r="W376" s="99"/>
      <c r="AF376" s="1"/>
      <c r="AN376" s="1"/>
      <c r="AV376" s="1"/>
      <c r="BD376" s="1"/>
      <c r="BL376" s="1"/>
      <c r="BT376" s="1"/>
    </row>
    <row r="377" spans="19:72" s="17" customFormat="1" ht="22.5" customHeight="1" x14ac:dyDescent="0.25">
      <c r="S377" s="1"/>
      <c r="V377" s="99"/>
      <c r="W377" s="99"/>
      <c r="AF377" s="1"/>
      <c r="AN377" s="1"/>
      <c r="AV377" s="1"/>
      <c r="BD377" s="1"/>
      <c r="BL377" s="1"/>
      <c r="BT377" s="1"/>
    </row>
    <row r="378" spans="19:72" s="17" customFormat="1" ht="22.5" customHeight="1" x14ac:dyDescent="0.25">
      <c r="S378" s="1"/>
      <c r="V378" s="99"/>
      <c r="W378" s="99"/>
      <c r="AF378" s="1"/>
      <c r="AN378" s="1"/>
      <c r="AV378" s="1"/>
      <c r="BD378" s="1"/>
      <c r="BL378" s="1"/>
      <c r="BT378" s="1"/>
    </row>
    <row r="379" spans="19:72" s="17" customFormat="1" ht="22.5" customHeight="1" x14ac:dyDescent="0.25">
      <c r="S379" s="1"/>
      <c r="V379" s="99"/>
      <c r="W379" s="99"/>
      <c r="AF379" s="1"/>
      <c r="AN379" s="1"/>
      <c r="AV379" s="1"/>
      <c r="BD379" s="1"/>
      <c r="BL379" s="1"/>
      <c r="BT379" s="1"/>
    </row>
    <row r="380" spans="19:72" s="17" customFormat="1" ht="22.5" customHeight="1" x14ac:dyDescent="0.25">
      <c r="S380" s="1"/>
      <c r="V380" s="99"/>
      <c r="W380" s="99"/>
      <c r="AF380" s="1"/>
      <c r="AN380" s="1"/>
      <c r="AV380" s="1"/>
      <c r="BD380" s="1"/>
      <c r="BL380" s="1"/>
      <c r="BT380" s="1"/>
    </row>
    <row r="381" spans="19:72" s="17" customFormat="1" ht="22.5" customHeight="1" x14ac:dyDescent="0.25">
      <c r="S381" s="1"/>
      <c r="V381" s="99"/>
      <c r="W381" s="99"/>
      <c r="AF381" s="1"/>
      <c r="AN381" s="1"/>
      <c r="AV381" s="1"/>
      <c r="BD381" s="1"/>
      <c r="BL381" s="1"/>
      <c r="BT381" s="1"/>
    </row>
    <row r="382" spans="19:72" s="17" customFormat="1" ht="22.5" customHeight="1" x14ac:dyDescent="0.25">
      <c r="S382" s="1"/>
      <c r="V382" s="99"/>
      <c r="W382" s="99"/>
      <c r="AF382" s="1"/>
      <c r="AN382" s="1"/>
      <c r="AV382" s="1"/>
      <c r="BD382" s="1"/>
      <c r="BL382" s="1"/>
      <c r="BT382" s="1"/>
    </row>
    <row r="383" spans="19:72" s="17" customFormat="1" ht="22.5" customHeight="1" x14ac:dyDescent="0.25">
      <c r="S383" s="1"/>
      <c r="V383" s="99"/>
      <c r="W383" s="99"/>
      <c r="AF383" s="1"/>
      <c r="AN383" s="1"/>
      <c r="AV383" s="1"/>
      <c r="BD383" s="1"/>
      <c r="BL383" s="1"/>
      <c r="BT383" s="1"/>
    </row>
    <row r="384" spans="19:72" s="17" customFormat="1" ht="22.5" customHeight="1" x14ac:dyDescent="0.25">
      <c r="S384" s="1"/>
      <c r="V384" s="99"/>
      <c r="W384" s="99"/>
      <c r="AF384" s="1"/>
      <c r="AN384" s="1"/>
      <c r="AV384" s="1"/>
      <c r="BD384" s="1"/>
      <c r="BL384" s="1"/>
      <c r="BT384" s="1"/>
    </row>
    <row r="385" spans="19:72" s="17" customFormat="1" ht="22.5" customHeight="1" x14ac:dyDescent="0.25">
      <c r="S385" s="1"/>
      <c r="V385" s="99"/>
      <c r="W385" s="99"/>
      <c r="AF385" s="1"/>
      <c r="AN385" s="1"/>
      <c r="AV385" s="1"/>
      <c r="BD385" s="1"/>
      <c r="BL385" s="1"/>
      <c r="BT385" s="1"/>
    </row>
    <row r="386" spans="19:72" s="17" customFormat="1" ht="22.5" customHeight="1" x14ac:dyDescent="0.25">
      <c r="S386" s="1"/>
      <c r="V386" s="99"/>
      <c r="W386" s="99"/>
      <c r="AF386" s="1"/>
      <c r="AN386" s="1"/>
      <c r="AV386" s="1"/>
      <c r="BD386" s="1"/>
      <c r="BL386" s="1"/>
      <c r="BT386" s="1"/>
    </row>
    <row r="387" spans="19:72" s="17" customFormat="1" ht="22.5" customHeight="1" x14ac:dyDescent="0.25">
      <c r="S387" s="1"/>
      <c r="V387" s="99"/>
      <c r="W387" s="99"/>
      <c r="AF387" s="1"/>
      <c r="AN387" s="1"/>
      <c r="AV387" s="1"/>
      <c r="BD387" s="1"/>
      <c r="BL387" s="1"/>
      <c r="BT387" s="1"/>
    </row>
    <row r="388" spans="19:72" s="17" customFormat="1" ht="22.5" customHeight="1" x14ac:dyDescent="0.25">
      <c r="S388" s="1"/>
      <c r="V388" s="99"/>
      <c r="W388" s="99"/>
      <c r="AF388" s="1"/>
      <c r="AN388" s="1"/>
      <c r="AV388" s="1"/>
      <c r="BD388" s="1"/>
      <c r="BL388" s="1"/>
      <c r="BT388" s="1"/>
    </row>
    <row r="389" spans="19:72" s="17" customFormat="1" ht="22.5" customHeight="1" x14ac:dyDescent="0.25">
      <c r="S389" s="1"/>
      <c r="V389" s="99"/>
      <c r="W389" s="99"/>
      <c r="AF389" s="1"/>
      <c r="AN389" s="1"/>
      <c r="AV389" s="1"/>
      <c r="BD389" s="1"/>
      <c r="BL389" s="1"/>
      <c r="BT389" s="1"/>
    </row>
    <row r="390" spans="19:72" s="17" customFormat="1" ht="22.5" customHeight="1" x14ac:dyDescent="0.25">
      <c r="S390" s="1"/>
      <c r="V390" s="99"/>
      <c r="W390" s="99"/>
      <c r="AF390" s="1"/>
      <c r="AN390" s="1"/>
      <c r="AV390" s="1"/>
      <c r="BD390" s="1"/>
      <c r="BL390" s="1"/>
      <c r="BT390" s="1"/>
    </row>
    <row r="391" spans="19:72" s="17" customFormat="1" ht="22.5" customHeight="1" x14ac:dyDescent="0.25">
      <c r="S391" s="1"/>
      <c r="V391" s="99"/>
      <c r="W391" s="99"/>
      <c r="AF391" s="1"/>
      <c r="AN391" s="1"/>
      <c r="AV391" s="1"/>
      <c r="BD391" s="1"/>
      <c r="BL391" s="1"/>
      <c r="BT391" s="1"/>
    </row>
    <row r="392" spans="19:72" s="17" customFormat="1" ht="22.5" customHeight="1" x14ac:dyDescent="0.25">
      <c r="S392" s="1"/>
      <c r="V392" s="99"/>
      <c r="W392" s="99"/>
      <c r="AF392" s="1"/>
      <c r="AN392" s="1"/>
      <c r="AV392" s="1"/>
      <c r="BD392" s="1"/>
      <c r="BL392" s="1"/>
      <c r="BT392" s="1"/>
    </row>
    <row r="393" spans="19:72" s="17" customFormat="1" ht="22.5" customHeight="1" x14ac:dyDescent="0.25">
      <c r="S393" s="1"/>
      <c r="V393" s="99"/>
      <c r="W393" s="99"/>
      <c r="AF393" s="1"/>
      <c r="AN393" s="1"/>
      <c r="AV393" s="1"/>
      <c r="BD393" s="1"/>
      <c r="BL393" s="1"/>
      <c r="BT393" s="1"/>
    </row>
    <row r="394" spans="19:72" s="17" customFormat="1" ht="22.5" customHeight="1" x14ac:dyDescent="0.25">
      <c r="S394" s="1"/>
      <c r="V394" s="99"/>
      <c r="W394" s="99"/>
      <c r="AF394" s="1"/>
      <c r="AN394" s="1"/>
      <c r="AV394" s="1"/>
      <c r="BD394" s="1"/>
      <c r="BL394" s="1"/>
      <c r="BT394" s="1"/>
    </row>
    <row r="395" spans="19:72" s="17" customFormat="1" ht="22.5" customHeight="1" x14ac:dyDescent="0.25">
      <c r="S395" s="1"/>
      <c r="V395" s="99"/>
      <c r="W395" s="99"/>
      <c r="AF395" s="1"/>
      <c r="AN395" s="1"/>
      <c r="AV395" s="1"/>
      <c r="BD395" s="1"/>
      <c r="BL395" s="1"/>
      <c r="BT395" s="1"/>
    </row>
    <row r="396" spans="19:72" s="17" customFormat="1" ht="22.5" customHeight="1" x14ac:dyDescent="0.25">
      <c r="S396" s="1"/>
      <c r="V396" s="99"/>
      <c r="W396" s="99"/>
      <c r="AF396" s="1"/>
      <c r="AN396" s="1"/>
      <c r="AV396" s="1"/>
      <c r="BD396" s="1"/>
      <c r="BL396" s="1"/>
      <c r="BT396" s="1"/>
    </row>
    <row r="397" spans="19:72" s="17" customFormat="1" ht="22.5" customHeight="1" x14ac:dyDescent="0.25">
      <c r="S397" s="1"/>
      <c r="V397" s="99"/>
      <c r="W397" s="99"/>
      <c r="AF397" s="1"/>
      <c r="AN397" s="1"/>
      <c r="AV397" s="1"/>
      <c r="BD397" s="1"/>
      <c r="BL397" s="1"/>
      <c r="BT397" s="1"/>
    </row>
    <row r="398" spans="19:72" s="17" customFormat="1" ht="22.5" customHeight="1" x14ac:dyDescent="0.25">
      <c r="S398" s="1"/>
      <c r="V398" s="99"/>
      <c r="W398" s="99"/>
      <c r="AF398" s="1"/>
      <c r="AN398" s="1"/>
      <c r="AV398" s="1"/>
      <c r="BD398" s="1"/>
      <c r="BL398" s="1"/>
      <c r="BT398" s="1"/>
    </row>
    <row r="399" spans="19:72" s="17" customFormat="1" ht="22.5" customHeight="1" x14ac:dyDescent="0.25">
      <c r="S399" s="1"/>
      <c r="V399" s="99"/>
      <c r="W399" s="99"/>
      <c r="AF399" s="1"/>
      <c r="AN399" s="1"/>
      <c r="AV399" s="1"/>
      <c r="BD399" s="1"/>
      <c r="BL399" s="1"/>
      <c r="BT399" s="1"/>
    </row>
    <row r="400" spans="19:72" s="17" customFormat="1" ht="22.5" customHeight="1" x14ac:dyDescent="0.25">
      <c r="S400" s="1"/>
      <c r="V400" s="99"/>
      <c r="W400" s="99"/>
      <c r="AF400" s="1"/>
      <c r="AN400" s="1"/>
      <c r="AV400" s="1"/>
      <c r="BD400" s="1"/>
      <c r="BL400" s="1"/>
      <c r="BT400" s="1"/>
    </row>
    <row r="401" spans="19:72" s="17" customFormat="1" ht="22.5" customHeight="1" x14ac:dyDescent="0.25">
      <c r="S401" s="1"/>
      <c r="V401" s="99"/>
      <c r="W401" s="99"/>
      <c r="AF401" s="1"/>
      <c r="AN401" s="1"/>
      <c r="AV401" s="1"/>
      <c r="BD401" s="1"/>
      <c r="BL401" s="1"/>
      <c r="BT401" s="1"/>
    </row>
    <row r="402" spans="19:72" s="17" customFormat="1" ht="22.5" customHeight="1" x14ac:dyDescent="0.25">
      <c r="S402" s="1"/>
      <c r="V402" s="99"/>
      <c r="W402" s="99"/>
      <c r="AF402" s="1"/>
      <c r="AN402" s="1"/>
      <c r="AV402" s="1"/>
      <c r="BD402" s="1"/>
      <c r="BL402" s="1"/>
      <c r="BT402" s="1"/>
    </row>
    <row r="403" spans="19:72" s="17" customFormat="1" ht="22.5" customHeight="1" x14ac:dyDescent="0.25">
      <c r="S403" s="1"/>
      <c r="V403" s="99"/>
      <c r="W403" s="99"/>
      <c r="AF403" s="1"/>
      <c r="AN403" s="1"/>
      <c r="AV403" s="1"/>
      <c r="BD403" s="1"/>
      <c r="BL403" s="1"/>
      <c r="BT403" s="1"/>
    </row>
    <row r="404" spans="19:72" s="17" customFormat="1" ht="22.5" customHeight="1" x14ac:dyDescent="0.25">
      <c r="S404" s="1"/>
      <c r="V404" s="99"/>
      <c r="W404" s="99"/>
      <c r="AF404" s="1"/>
      <c r="AN404" s="1"/>
      <c r="AV404" s="1"/>
      <c r="BD404" s="1"/>
      <c r="BL404" s="1"/>
      <c r="BT404" s="1"/>
    </row>
    <row r="405" spans="19:72" s="17" customFormat="1" ht="22.5" customHeight="1" x14ac:dyDescent="0.25">
      <c r="S405" s="1"/>
      <c r="V405" s="99"/>
      <c r="W405" s="99"/>
      <c r="AF405" s="1"/>
      <c r="AN405" s="1"/>
      <c r="AV405" s="1"/>
      <c r="BD405" s="1"/>
      <c r="BL405" s="1"/>
      <c r="BT405" s="1"/>
    </row>
    <row r="406" spans="19:72" s="17" customFormat="1" ht="22.5" customHeight="1" x14ac:dyDescent="0.25">
      <c r="S406" s="1"/>
      <c r="V406" s="99"/>
      <c r="W406" s="99"/>
      <c r="AF406" s="1"/>
      <c r="AN406" s="1"/>
      <c r="AV406" s="1"/>
      <c r="BD406" s="1"/>
      <c r="BL406" s="1"/>
      <c r="BT406" s="1"/>
    </row>
    <row r="407" spans="19:72" s="17" customFormat="1" ht="22.5" customHeight="1" x14ac:dyDescent="0.25">
      <c r="S407" s="1"/>
      <c r="V407" s="99"/>
      <c r="W407" s="99"/>
      <c r="AF407" s="1"/>
      <c r="AN407" s="1"/>
      <c r="AV407" s="1"/>
      <c r="BD407" s="1"/>
      <c r="BL407" s="1"/>
      <c r="BT407" s="1"/>
    </row>
    <row r="408" spans="19:72" s="17" customFormat="1" ht="22.5" customHeight="1" x14ac:dyDescent="0.25">
      <c r="S408" s="1"/>
      <c r="V408" s="99"/>
      <c r="W408" s="99"/>
      <c r="AF408" s="1"/>
      <c r="AN408" s="1"/>
      <c r="AV408" s="1"/>
      <c r="BD408" s="1"/>
      <c r="BL408" s="1"/>
      <c r="BT408" s="1"/>
    </row>
    <row r="409" spans="19:72" s="17" customFormat="1" ht="22.5" customHeight="1" x14ac:dyDescent="0.25">
      <c r="S409" s="1"/>
      <c r="V409" s="99"/>
      <c r="W409" s="99"/>
      <c r="AF409" s="1"/>
      <c r="AN409" s="1"/>
      <c r="AV409" s="1"/>
      <c r="BD409" s="1"/>
      <c r="BL409" s="1"/>
      <c r="BT409" s="1"/>
    </row>
    <row r="410" spans="19:72" s="17" customFormat="1" ht="22.5" customHeight="1" x14ac:dyDescent="0.25">
      <c r="S410" s="1"/>
      <c r="V410" s="99"/>
      <c r="W410" s="99"/>
      <c r="AF410" s="1"/>
      <c r="AN410" s="1"/>
      <c r="AV410" s="1"/>
      <c r="BD410" s="1"/>
      <c r="BL410" s="1"/>
      <c r="BT410" s="1"/>
    </row>
    <row r="411" spans="19:72" s="17" customFormat="1" ht="22.5" customHeight="1" x14ac:dyDescent="0.25">
      <c r="S411" s="1"/>
      <c r="V411" s="99"/>
      <c r="W411" s="99"/>
      <c r="AF411" s="1"/>
      <c r="AN411" s="1"/>
      <c r="AV411" s="1"/>
      <c r="BD411" s="1"/>
      <c r="BL411" s="1"/>
      <c r="BT411" s="1"/>
    </row>
    <row r="412" spans="19:72" s="17" customFormat="1" ht="22.5" customHeight="1" x14ac:dyDescent="0.25">
      <c r="S412" s="1"/>
      <c r="V412" s="99"/>
      <c r="W412" s="99"/>
      <c r="AF412" s="1"/>
      <c r="AN412" s="1"/>
      <c r="AV412" s="1"/>
      <c r="BD412" s="1"/>
      <c r="BL412" s="1"/>
      <c r="BT412" s="1"/>
    </row>
    <row r="413" spans="19:72" s="17" customFormat="1" ht="22.5" customHeight="1" x14ac:dyDescent="0.25">
      <c r="S413" s="1"/>
      <c r="V413" s="99"/>
      <c r="W413" s="99"/>
      <c r="AF413" s="1"/>
      <c r="AN413" s="1"/>
      <c r="AV413" s="1"/>
      <c r="BD413" s="1"/>
      <c r="BL413" s="1"/>
      <c r="BT413" s="1"/>
    </row>
    <row r="414" spans="19:72" s="17" customFormat="1" ht="22.5" customHeight="1" x14ac:dyDescent="0.25">
      <c r="S414" s="1"/>
      <c r="V414" s="99"/>
      <c r="W414" s="99"/>
      <c r="AF414" s="1"/>
      <c r="AN414" s="1"/>
      <c r="AV414" s="1"/>
      <c r="BD414" s="1"/>
      <c r="BL414" s="1"/>
      <c r="BT414" s="1"/>
    </row>
    <row r="415" spans="19:72" s="17" customFormat="1" ht="22.5" customHeight="1" x14ac:dyDescent="0.25">
      <c r="S415" s="1"/>
      <c r="V415" s="99"/>
      <c r="W415" s="99"/>
      <c r="AF415" s="1"/>
      <c r="AN415" s="1"/>
      <c r="AV415" s="1"/>
      <c r="BD415" s="1"/>
      <c r="BL415" s="1"/>
      <c r="BT415" s="1"/>
    </row>
    <row r="416" spans="19:72" s="17" customFormat="1" ht="22.5" customHeight="1" x14ac:dyDescent="0.25">
      <c r="S416" s="1"/>
      <c r="V416" s="99"/>
      <c r="W416" s="99"/>
      <c r="AF416" s="1"/>
      <c r="AN416" s="1"/>
      <c r="AV416" s="1"/>
      <c r="BD416" s="1"/>
      <c r="BL416" s="1"/>
      <c r="BT416" s="1"/>
    </row>
    <row r="417" spans="19:72" s="17" customFormat="1" ht="22.5" customHeight="1" x14ac:dyDescent="0.25">
      <c r="S417" s="1"/>
      <c r="V417" s="99"/>
      <c r="W417" s="99"/>
      <c r="AF417" s="1"/>
      <c r="AN417" s="1"/>
      <c r="AV417" s="1"/>
      <c r="BD417" s="1"/>
      <c r="BL417" s="1"/>
      <c r="BT417" s="1"/>
    </row>
    <row r="418" spans="19:72" s="17" customFormat="1" ht="22.5" customHeight="1" x14ac:dyDescent="0.25">
      <c r="S418" s="1"/>
      <c r="V418" s="99"/>
      <c r="W418" s="99"/>
      <c r="AF418" s="1"/>
      <c r="AN418" s="1"/>
      <c r="AV418" s="1"/>
      <c r="BD418" s="1"/>
      <c r="BL418" s="1"/>
      <c r="BT418" s="1"/>
    </row>
    <row r="419" spans="19:72" s="17" customFormat="1" ht="22.5" customHeight="1" x14ac:dyDescent="0.25">
      <c r="S419" s="1"/>
      <c r="V419" s="99"/>
      <c r="W419" s="99"/>
      <c r="AF419" s="1"/>
      <c r="AN419" s="1"/>
      <c r="AV419" s="1"/>
      <c r="BD419" s="1"/>
      <c r="BL419" s="1"/>
      <c r="BT419" s="1"/>
    </row>
    <row r="420" spans="19:72" s="17" customFormat="1" ht="22.5" customHeight="1" x14ac:dyDescent="0.25">
      <c r="S420" s="1"/>
      <c r="V420" s="99"/>
      <c r="W420" s="99"/>
      <c r="AF420" s="1"/>
      <c r="AN420" s="1"/>
      <c r="AV420" s="1"/>
      <c r="BD420" s="1"/>
      <c r="BL420" s="1"/>
      <c r="BT420" s="1"/>
    </row>
    <row r="421" spans="19:72" s="17" customFormat="1" ht="22.5" customHeight="1" x14ac:dyDescent="0.25">
      <c r="S421" s="1"/>
      <c r="V421" s="99"/>
      <c r="W421" s="99"/>
      <c r="AF421" s="1"/>
      <c r="AN421" s="1"/>
      <c r="AV421" s="1"/>
      <c r="BD421" s="1"/>
      <c r="BL421" s="1"/>
      <c r="BT421" s="1"/>
    </row>
    <row r="422" spans="19:72" s="17" customFormat="1" ht="22.5" customHeight="1" x14ac:dyDescent="0.25">
      <c r="S422" s="1"/>
      <c r="V422" s="99"/>
      <c r="W422" s="99"/>
      <c r="AF422" s="1"/>
      <c r="AN422" s="1"/>
      <c r="AV422" s="1"/>
      <c r="BD422" s="1"/>
      <c r="BL422" s="1"/>
      <c r="BT422" s="1"/>
    </row>
    <row r="423" spans="19:72" s="17" customFormat="1" ht="22.5" customHeight="1" x14ac:dyDescent="0.25">
      <c r="S423" s="1"/>
      <c r="V423" s="99"/>
      <c r="W423" s="99"/>
      <c r="AF423" s="1"/>
      <c r="AN423" s="1"/>
      <c r="AV423" s="1"/>
      <c r="BD423" s="1"/>
      <c r="BL423" s="1"/>
      <c r="BT423" s="1"/>
    </row>
    <row r="424" spans="19:72" s="17" customFormat="1" ht="22.5" customHeight="1" x14ac:dyDescent="0.25">
      <c r="S424" s="1"/>
      <c r="V424" s="99"/>
      <c r="W424" s="99"/>
      <c r="AF424" s="1"/>
      <c r="AN424" s="1"/>
      <c r="AV424" s="1"/>
      <c r="BD424" s="1"/>
      <c r="BL424" s="1"/>
      <c r="BT424" s="1"/>
    </row>
    <row r="425" spans="19:72" s="17" customFormat="1" ht="22.5" customHeight="1" x14ac:dyDescent="0.25">
      <c r="S425" s="1"/>
      <c r="V425" s="99"/>
      <c r="W425" s="99"/>
      <c r="AF425" s="1"/>
      <c r="AN425" s="1"/>
      <c r="AV425" s="1"/>
      <c r="BD425" s="1"/>
      <c r="BL425" s="1"/>
      <c r="BT425" s="1"/>
    </row>
    <row r="426" spans="19:72" s="17" customFormat="1" ht="22.5" customHeight="1" x14ac:dyDescent="0.25">
      <c r="S426" s="1"/>
      <c r="V426" s="99"/>
      <c r="W426" s="99"/>
      <c r="AF426" s="1"/>
      <c r="AN426" s="1"/>
      <c r="AV426" s="1"/>
      <c r="BD426" s="1"/>
      <c r="BL426" s="1"/>
      <c r="BT426" s="1"/>
    </row>
    <row r="427" spans="19:72" s="17" customFormat="1" ht="22.5" customHeight="1" x14ac:dyDescent="0.25">
      <c r="S427" s="1"/>
      <c r="V427" s="99"/>
      <c r="W427" s="99"/>
      <c r="AF427" s="1"/>
      <c r="AN427" s="1"/>
      <c r="AV427" s="1"/>
      <c r="BD427" s="1"/>
      <c r="BL427" s="1"/>
      <c r="BT427" s="1"/>
    </row>
    <row r="428" spans="19:72" s="17" customFormat="1" ht="22.5" customHeight="1" x14ac:dyDescent="0.25">
      <c r="S428" s="1"/>
      <c r="V428" s="99"/>
      <c r="W428" s="99"/>
      <c r="AF428" s="1"/>
      <c r="AN428" s="1"/>
      <c r="AV428" s="1"/>
      <c r="BD428" s="1"/>
      <c r="BL428" s="1"/>
      <c r="BT428" s="1"/>
    </row>
    <row r="429" spans="19:72" s="17" customFormat="1" ht="22.5" customHeight="1" x14ac:dyDescent="0.25">
      <c r="S429" s="1"/>
      <c r="V429" s="99"/>
      <c r="W429" s="99"/>
      <c r="AF429" s="1"/>
      <c r="AN429" s="1"/>
      <c r="AV429" s="1"/>
      <c r="BD429" s="1"/>
      <c r="BL429" s="1"/>
      <c r="BT429" s="1"/>
    </row>
    <row r="430" spans="19:72" s="17" customFormat="1" ht="22.5" customHeight="1" x14ac:dyDescent="0.25">
      <c r="S430" s="1"/>
      <c r="V430" s="99"/>
      <c r="W430" s="99"/>
      <c r="AF430" s="1"/>
      <c r="AN430" s="1"/>
      <c r="AV430" s="1"/>
      <c r="BD430" s="1"/>
      <c r="BL430" s="1"/>
      <c r="BT430" s="1"/>
    </row>
    <row r="431" spans="19:72" s="17" customFormat="1" ht="22.5" customHeight="1" x14ac:dyDescent="0.25">
      <c r="S431" s="1"/>
      <c r="V431" s="99"/>
      <c r="W431" s="99"/>
      <c r="AF431" s="1"/>
      <c r="AN431" s="1"/>
      <c r="AV431" s="1"/>
      <c r="BD431" s="1"/>
      <c r="BL431" s="1"/>
      <c r="BT431" s="1"/>
    </row>
    <row r="432" spans="19:72" s="17" customFormat="1" ht="22.5" customHeight="1" x14ac:dyDescent="0.25">
      <c r="S432" s="1"/>
      <c r="V432" s="99"/>
      <c r="W432" s="99"/>
      <c r="AF432" s="1"/>
      <c r="AN432" s="1"/>
      <c r="AV432" s="1"/>
      <c r="BD432" s="1"/>
      <c r="BL432" s="1"/>
      <c r="BT432" s="1"/>
    </row>
    <row r="433" spans="19:72" s="17" customFormat="1" ht="22.5" customHeight="1" x14ac:dyDescent="0.25">
      <c r="S433" s="1"/>
      <c r="V433" s="99"/>
      <c r="W433" s="99"/>
      <c r="AF433" s="1"/>
      <c r="AN433" s="1"/>
      <c r="AV433" s="1"/>
      <c r="BD433" s="1"/>
      <c r="BL433" s="1"/>
      <c r="BT433" s="1"/>
    </row>
    <row r="434" spans="19:72" s="17" customFormat="1" ht="22.5" customHeight="1" x14ac:dyDescent="0.25">
      <c r="S434" s="1"/>
      <c r="V434" s="99"/>
      <c r="W434" s="99"/>
      <c r="AF434" s="1"/>
      <c r="AN434" s="1"/>
      <c r="AV434" s="1"/>
      <c r="BD434" s="1"/>
      <c r="BL434" s="1"/>
      <c r="BT434" s="1"/>
    </row>
    <row r="435" spans="19:72" s="17" customFormat="1" ht="22.5" customHeight="1" x14ac:dyDescent="0.25">
      <c r="S435" s="1"/>
      <c r="V435" s="99"/>
      <c r="W435" s="99"/>
      <c r="AF435" s="1"/>
      <c r="AN435" s="1"/>
      <c r="AV435" s="1"/>
      <c r="BD435" s="1"/>
      <c r="BL435" s="1"/>
      <c r="BT435" s="1"/>
    </row>
    <row r="436" spans="19:72" s="17" customFormat="1" ht="22.5" customHeight="1" x14ac:dyDescent="0.25">
      <c r="S436" s="1"/>
      <c r="V436" s="99"/>
      <c r="W436" s="99"/>
      <c r="AF436" s="1"/>
      <c r="AN436" s="1"/>
      <c r="AV436" s="1"/>
      <c r="BD436" s="1"/>
      <c r="BL436" s="1"/>
      <c r="BT436" s="1"/>
    </row>
    <row r="437" spans="19:72" s="17" customFormat="1" ht="22.5" customHeight="1" x14ac:dyDescent="0.25">
      <c r="S437" s="1"/>
      <c r="V437" s="99"/>
      <c r="W437" s="99"/>
      <c r="AF437" s="1"/>
      <c r="AN437" s="1"/>
      <c r="AV437" s="1"/>
      <c r="BD437" s="1"/>
      <c r="BL437" s="1"/>
      <c r="BT437" s="1"/>
    </row>
    <row r="438" spans="19:72" s="17" customFormat="1" ht="22.5" customHeight="1" x14ac:dyDescent="0.25">
      <c r="S438" s="1"/>
      <c r="V438" s="99"/>
      <c r="W438" s="99"/>
      <c r="AF438" s="1"/>
      <c r="AN438" s="1"/>
      <c r="AV438" s="1"/>
      <c r="BD438" s="1"/>
      <c r="BL438" s="1"/>
      <c r="BT438" s="1"/>
    </row>
    <row r="439" spans="19:72" s="17" customFormat="1" ht="22.5" customHeight="1" x14ac:dyDescent="0.25">
      <c r="S439" s="1"/>
      <c r="V439" s="99"/>
      <c r="W439" s="99"/>
      <c r="AF439" s="1"/>
      <c r="AN439" s="1"/>
      <c r="AV439" s="1"/>
      <c r="BD439" s="1"/>
      <c r="BL439" s="1"/>
      <c r="BT439" s="1"/>
    </row>
    <row r="440" spans="19:72" s="17" customFormat="1" ht="22.5" customHeight="1" x14ac:dyDescent="0.25">
      <c r="S440" s="1"/>
      <c r="V440" s="99"/>
      <c r="W440" s="99"/>
      <c r="AF440" s="1"/>
      <c r="AN440" s="1"/>
      <c r="AV440" s="1"/>
      <c r="BD440" s="1"/>
      <c r="BL440" s="1"/>
      <c r="BT440" s="1"/>
    </row>
    <row r="441" spans="19:72" s="17" customFormat="1" ht="22.5" customHeight="1" x14ac:dyDescent="0.25">
      <c r="S441" s="1"/>
      <c r="V441" s="99"/>
      <c r="W441" s="99"/>
      <c r="AF441" s="1"/>
      <c r="AN441" s="1"/>
      <c r="AV441" s="1"/>
      <c r="BD441" s="1"/>
      <c r="BL441" s="1"/>
      <c r="BT441" s="1"/>
    </row>
    <row r="442" spans="19:72" s="17" customFormat="1" ht="22.5" customHeight="1" x14ac:dyDescent="0.25">
      <c r="S442" s="1"/>
      <c r="V442" s="99"/>
      <c r="W442" s="99"/>
      <c r="AF442" s="1"/>
      <c r="AN442" s="1"/>
      <c r="AV442" s="1"/>
      <c r="BD442" s="1"/>
      <c r="BL442" s="1"/>
      <c r="BT442" s="1"/>
    </row>
    <row r="443" spans="19:72" s="17" customFormat="1" ht="22.5" customHeight="1" x14ac:dyDescent="0.25">
      <c r="S443" s="1"/>
      <c r="V443" s="99"/>
      <c r="W443" s="99"/>
      <c r="AF443" s="1"/>
      <c r="AN443" s="1"/>
      <c r="AV443" s="1"/>
      <c r="BD443" s="1"/>
      <c r="BL443" s="1"/>
      <c r="BT443" s="1"/>
    </row>
    <row r="444" spans="19:72" s="17" customFormat="1" ht="22.5" customHeight="1" x14ac:dyDescent="0.25">
      <c r="S444" s="1"/>
      <c r="V444" s="99"/>
      <c r="W444" s="99"/>
      <c r="AF444" s="1"/>
      <c r="AN444" s="1"/>
      <c r="AV444" s="1"/>
      <c r="BD444" s="1"/>
      <c r="BL444" s="1"/>
      <c r="BT444" s="1"/>
    </row>
    <row r="445" spans="19:72" s="17" customFormat="1" ht="22.5" customHeight="1" x14ac:dyDescent="0.25">
      <c r="S445" s="1"/>
      <c r="V445" s="99"/>
      <c r="W445" s="99"/>
      <c r="AF445" s="1"/>
      <c r="AN445" s="1"/>
      <c r="AV445" s="1"/>
      <c r="BD445" s="1"/>
      <c r="BL445" s="1"/>
      <c r="BT445" s="1"/>
    </row>
    <row r="446" spans="19:72" s="17" customFormat="1" ht="22.5" customHeight="1" x14ac:dyDescent="0.25">
      <c r="S446" s="1"/>
      <c r="V446" s="99"/>
      <c r="W446" s="99"/>
      <c r="AF446" s="1"/>
      <c r="AN446" s="1"/>
      <c r="AV446" s="1"/>
      <c r="BD446" s="1"/>
      <c r="BL446" s="1"/>
      <c r="BT446" s="1"/>
    </row>
    <row r="447" spans="19:72" s="17" customFormat="1" ht="22.5" customHeight="1" x14ac:dyDescent="0.25">
      <c r="S447" s="1"/>
      <c r="V447" s="99"/>
      <c r="W447" s="99"/>
      <c r="AF447" s="1"/>
      <c r="AN447" s="1"/>
      <c r="AV447" s="1"/>
      <c r="BD447" s="1"/>
      <c r="BL447" s="1"/>
      <c r="BT447" s="1"/>
    </row>
    <row r="448" spans="19:72" s="17" customFormat="1" ht="22.5" customHeight="1" x14ac:dyDescent="0.25">
      <c r="S448" s="1"/>
      <c r="V448" s="99"/>
      <c r="W448" s="99"/>
      <c r="AF448" s="1"/>
      <c r="AN448" s="1"/>
      <c r="AV448" s="1"/>
      <c r="BD448" s="1"/>
      <c r="BL448" s="1"/>
      <c r="BT448" s="1"/>
    </row>
    <row r="449" spans="19:72" s="17" customFormat="1" ht="22.5" customHeight="1" x14ac:dyDescent="0.25">
      <c r="S449" s="1"/>
      <c r="V449" s="99"/>
      <c r="W449" s="99"/>
      <c r="AF449" s="1"/>
      <c r="AN449" s="1"/>
      <c r="AV449" s="1"/>
      <c r="BD449" s="1"/>
      <c r="BL449" s="1"/>
      <c r="BT449" s="1"/>
    </row>
    <row r="450" spans="19:72" s="17" customFormat="1" ht="22.5" customHeight="1" x14ac:dyDescent="0.25">
      <c r="S450" s="1"/>
      <c r="V450" s="99"/>
      <c r="W450" s="99"/>
      <c r="AF450" s="1"/>
      <c r="AN450" s="1"/>
      <c r="AV450" s="1"/>
      <c r="BD450" s="1"/>
      <c r="BL450" s="1"/>
      <c r="BT450" s="1"/>
    </row>
    <row r="451" spans="19:72" s="17" customFormat="1" ht="22.5" customHeight="1" x14ac:dyDescent="0.25">
      <c r="S451" s="1"/>
      <c r="V451" s="99"/>
      <c r="W451" s="99"/>
      <c r="AF451" s="1"/>
      <c r="AN451" s="1"/>
      <c r="AV451" s="1"/>
      <c r="BD451" s="1"/>
      <c r="BL451" s="1"/>
      <c r="BT451" s="1"/>
    </row>
    <row r="452" spans="19:72" s="17" customFormat="1" ht="22.5" customHeight="1" x14ac:dyDescent="0.25">
      <c r="S452" s="1"/>
      <c r="V452" s="99"/>
      <c r="W452" s="99"/>
      <c r="AF452" s="1"/>
      <c r="AN452" s="1"/>
      <c r="AV452" s="1"/>
      <c r="BD452" s="1"/>
      <c r="BL452" s="1"/>
      <c r="BT452" s="1"/>
    </row>
    <row r="453" spans="19:72" s="17" customFormat="1" ht="22.5" customHeight="1" x14ac:dyDescent="0.25">
      <c r="S453" s="1"/>
      <c r="V453" s="99"/>
      <c r="W453" s="99"/>
      <c r="AF453" s="1"/>
      <c r="AN453" s="1"/>
      <c r="AV453" s="1"/>
      <c r="BD453" s="1"/>
      <c r="BL453" s="1"/>
      <c r="BT453" s="1"/>
    </row>
    <row r="454" spans="19:72" s="17" customFormat="1" ht="22.5" customHeight="1" x14ac:dyDescent="0.25">
      <c r="S454" s="1"/>
      <c r="V454" s="99"/>
      <c r="W454" s="99"/>
      <c r="AF454" s="1"/>
      <c r="AN454" s="1"/>
      <c r="AV454" s="1"/>
      <c r="BD454" s="1"/>
      <c r="BL454" s="1"/>
      <c r="BT454" s="1"/>
    </row>
    <row r="455" spans="19:72" s="17" customFormat="1" ht="22.5" customHeight="1" x14ac:dyDescent="0.25">
      <c r="S455" s="1"/>
      <c r="V455" s="99"/>
      <c r="W455" s="99"/>
      <c r="AF455" s="1"/>
      <c r="AN455" s="1"/>
      <c r="AV455" s="1"/>
      <c r="BD455" s="1"/>
      <c r="BL455" s="1"/>
      <c r="BT455" s="1"/>
    </row>
    <row r="456" spans="19:72" s="17" customFormat="1" ht="22.5" customHeight="1" x14ac:dyDescent="0.25">
      <c r="S456" s="1"/>
      <c r="V456" s="99"/>
      <c r="W456" s="99"/>
      <c r="AF456" s="1"/>
      <c r="AN456" s="1"/>
      <c r="AV456" s="1"/>
      <c r="BD456" s="1"/>
      <c r="BL456" s="1"/>
      <c r="BT456" s="1"/>
    </row>
    <row r="457" spans="19:72" s="17" customFormat="1" ht="22.5" customHeight="1" x14ac:dyDescent="0.25">
      <c r="S457" s="1"/>
      <c r="V457" s="99"/>
      <c r="W457" s="99"/>
      <c r="AF457" s="1"/>
      <c r="AN457" s="1"/>
      <c r="AV457" s="1"/>
      <c r="BD457" s="1"/>
      <c r="BL457" s="1"/>
      <c r="BT457" s="1"/>
    </row>
    <row r="458" spans="19:72" s="17" customFormat="1" ht="22.5" customHeight="1" x14ac:dyDescent="0.25">
      <c r="S458" s="1"/>
      <c r="V458" s="99"/>
      <c r="W458" s="99"/>
      <c r="AF458" s="1"/>
      <c r="AN458" s="1"/>
      <c r="AV458" s="1"/>
      <c r="BD458" s="1"/>
      <c r="BL458" s="1"/>
      <c r="BT458" s="1"/>
    </row>
    <row r="459" spans="19:72" s="17" customFormat="1" ht="22.5" customHeight="1" x14ac:dyDescent="0.25">
      <c r="S459" s="1"/>
      <c r="V459" s="99"/>
      <c r="W459" s="99"/>
      <c r="AF459" s="1"/>
      <c r="AN459" s="1"/>
      <c r="AV459" s="1"/>
      <c r="BD459" s="1"/>
      <c r="BL459" s="1"/>
      <c r="BT459" s="1"/>
    </row>
    <row r="460" spans="19:72" s="17" customFormat="1" ht="22.5" customHeight="1" x14ac:dyDescent="0.25">
      <c r="S460" s="1"/>
      <c r="V460" s="99"/>
      <c r="W460" s="99"/>
      <c r="AF460" s="1"/>
      <c r="AN460" s="1"/>
      <c r="AV460" s="1"/>
      <c r="BD460" s="1"/>
      <c r="BL460" s="1"/>
      <c r="BT460" s="1"/>
    </row>
    <row r="461" spans="19:72" s="17" customFormat="1" ht="22.5" customHeight="1" x14ac:dyDescent="0.25">
      <c r="S461" s="1"/>
      <c r="V461" s="99"/>
      <c r="W461" s="99"/>
      <c r="AF461" s="1"/>
      <c r="AN461" s="1"/>
      <c r="AV461" s="1"/>
      <c r="BD461" s="1"/>
      <c r="BL461" s="1"/>
      <c r="BT461" s="1"/>
    </row>
    <row r="462" spans="19:72" s="17" customFormat="1" ht="22.5" customHeight="1" x14ac:dyDescent="0.25">
      <c r="S462" s="1"/>
      <c r="V462" s="99"/>
      <c r="W462" s="99"/>
      <c r="AF462" s="1"/>
      <c r="AN462" s="1"/>
      <c r="AV462" s="1"/>
      <c r="BD462" s="1"/>
      <c r="BL462" s="1"/>
      <c r="BT462" s="1"/>
    </row>
    <row r="463" spans="19:72" s="17" customFormat="1" ht="22.5" customHeight="1" x14ac:dyDescent="0.25">
      <c r="S463" s="1"/>
      <c r="V463" s="99"/>
      <c r="W463" s="99"/>
      <c r="AF463" s="1"/>
      <c r="AN463" s="1"/>
      <c r="AV463" s="1"/>
      <c r="BD463" s="1"/>
      <c r="BL463" s="1"/>
      <c r="BT463" s="1"/>
    </row>
    <row r="464" spans="19:72" s="17" customFormat="1" ht="22.5" customHeight="1" x14ac:dyDescent="0.25">
      <c r="S464" s="1"/>
      <c r="V464" s="99"/>
      <c r="W464" s="99"/>
      <c r="AF464" s="1"/>
      <c r="AN464" s="1"/>
      <c r="AV464" s="1"/>
      <c r="BD464" s="1"/>
      <c r="BL464" s="1"/>
      <c r="BT464" s="1"/>
    </row>
    <row r="465" spans="19:72" s="17" customFormat="1" ht="22.5" customHeight="1" x14ac:dyDescent="0.25">
      <c r="S465" s="1"/>
      <c r="V465" s="99"/>
      <c r="W465" s="99"/>
      <c r="AF465" s="1"/>
      <c r="AN465" s="1"/>
      <c r="AV465" s="1"/>
      <c r="BD465" s="1"/>
      <c r="BL465" s="1"/>
      <c r="BT465" s="1"/>
    </row>
    <row r="466" spans="19:72" s="17" customFormat="1" ht="22.5" customHeight="1" x14ac:dyDescent="0.25">
      <c r="S466" s="1"/>
      <c r="V466" s="99"/>
      <c r="W466" s="99"/>
      <c r="AF466" s="1"/>
      <c r="AN466" s="1"/>
      <c r="AV466" s="1"/>
      <c r="BD466" s="1"/>
      <c r="BL466" s="1"/>
      <c r="BT466" s="1"/>
    </row>
    <row r="467" spans="19:72" s="17" customFormat="1" ht="22.5" customHeight="1" x14ac:dyDescent="0.25">
      <c r="S467" s="1"/>
      <c r="V467" s="99"/>
      <c r="W467" s="99"/>
      <c r="AF467" s="1"/>
      <c r="AN467" s="1"/>
      <c r="AV467" s="1"/>
      <c r="BD467" s="1"/>
      <c r="BL467" s="1"/>
      <c r="BT467" s="1"/>
    </row>
    <row r="468" spans="19:72" s="17" customFormat="1" ht="22.5" customHeight="1" x14ac:dyDescent="0.25">
      <c r="S468" s="1"/>
      <c r="V468" s="99"/>
      <c r="W468" s="99"/>
      <c r="AF468" s="1"/>
      <c r="AN468" s="1"/>
      <c r="AV468" s="1"/>
      <c r="BD468" s="1"/>
      <c r="BL468" s="1"/>
      <c r="BT468" s="1"/>
    </row>
    <row r="469" spans="19:72" s="17" customFormat="1" ht="22.5" customHeight="1" x14ac:dyDescent="0.25">
      <c r="S469" s="1"/>
      <c r="V469" s="99"/>
      <c r="W469" s="99"/>
      <c r="AF469" s="1"/>
      <c r="AN469" s="1"/>
      <c r="AV469" s="1"/>
      <c r="BD469" s="1"/>
      <c r="BL469" s="1"/>
      <c r="BT469" s="1"/>
    </row>
    <row r="470" spans="19:72" s="17" customFormat="1" ht="22.5" customHeight="1" x14ac:dyDescent="0.25">
      <c r="S470" s="1"/>
      <c r="V470" s="99"/>
      <c r="W470" s="99"/>
      <c r="AF470" s="1"/>
      <c r="AN470" s="1"/>
      <c r="AV470" s="1"/>
      <c r="BD470" s="1"/>
      <c r="BL470" s="1"/>
      <c r="BT470" s="1"/>
    </row>
    <row r="471" spans="19:72" s="17" customFormat="1" ht="22.5" customHeight="1" x14ac:dyDescent="0.25">
      <c r="S471" s="1"/>
      <c r="V471" s="99"/>
      <c r="W471" s="99"/>
      <c r="AF471" s="1"/>
      <c r="AN471" s="1"/>
      <c r="AV471" s="1"/>
      <c r="BD471" s="1"/>
      <c r="BL471" s="1"/>
      <c r="BT471" s="1"/>
    </row>
    <row r="472" spans="19:72" s="17" customFormat="1" ht="22.5" customHeight="1" x14ac:dyDescent="0.25">
      <c r="S472" s="1"/>
      <c r="V472" s="99"/>
      <c r="W472" s="99"/>
      <c r="AF472" s="1"/>
      <c r="AN472" s="1"/>
      <c r="AV472" s="1"/>
      <c r="BD472" s="1"/>
      <c r="BL472" s="1"/>
      <c r="BT472" s="1"/>
    </row>
    <row r="473" spans="19:72" s="17" customFormat="1" ht="22.5" customHeight="1" x14ac:dyDescent="0.25">
      <c r="S473" s="1"/>
      <c r="V473" s="99"/>
      <c r="W473" s="99"/>
      <c r="AF473" s="1"/>
      <c r="AN473" s="1"/>
      <c r="AV473" s="1"/>
      <c r="BD473" s="1"/>
      <c r="BL473" s="1"/>
      <c r="BT473" s="1"/>
    </row>
    <row r="474" spans="19:72" s="17" customFormat="1" ht="22.5" customHeight="1" x14ac:dyDescent="0.25">
      <c r="S474" s="1"/>
      <c r="V474" s="99"/>
      <c r="W474" s="99"/>
      <c r="AF474" s="1"/>
      <c r="AN474" s="1"/>
      <c r="AV474" s="1"/>
      <c r="BD474" s="1"/>
      <c r="BL474" s="1"/>
      <c r="BT474" s="1"/>
    </row>
    <row r="475" spans="19:72" s="17" customFormat="1" ht="22.5" customHeight="1" x14ac:dyDescent="0.25">
      <c r="S475" s="1"/>
      <c r="V475" s="99"/>
      <c r="W475" s="99"/>
      <c r="AF475" s="1"/>
      <c r="AN475" s="1"/>
      <c r="AV475" s="1"/>
      <c r="BD475" s="1"/>
      <c r="BL475" s="1"/>
      <c r="BT475" s="1"/>
    </row>
    <row r="476" spans="19:72" s="17" customFormat="1" ht="22.5" customHeight="1" x14ac:dyDescent="0.25">
      <c r="S476" s="1"/>
      <c r="V476" s="99"/>
      <c r="W476" s="99"/>
      <c r="AF476" s="1"/>
      <c r="AN476" s="1"/>
      <c r="AV476" s="1"/>
      <c r="BD476" s="1"/>
      <c r="BL476" s="1"/>
      <c r="BT476" s="1"/>
    </row>
    <row r="477" spans="19:72" s="17" customFormat="1" ht="22.5" customHeight="1" x14ac:dyDescent="0.25">
      <c r="S477" s="1"/>
      <c r="V477" s="99"/>
      <c r="W477" s="99"/>
      <c r="AF477" s="1"/>
      <c r="AN477" s="1"/>
      <c r="AV477" s="1"/>
      <c r="BD477" s="1"/>
      <c r="BL477" s="1"/>
      <c r="BT477" s="1"/>
    </row>
    <row r="478" spans="19:72" s="17" customFormat="1" ht="22.5" customHeight="1" x14ac:dyDescent="0.25">
      <c r="S478" s="1"/>
      <c r="V478" s="99"/>
      <c r="W478" s="99"/>
      <c r="AF478" s="1"/>
      <c r="AN478" s="1"/>
      <c r="AV478" s="1"/>
      <c r="BD478" s="1"/>
      <c r="BL478" s="1"/>
      <c r="BT478" s="1"/>
    </row>
    <row r="479" spans="19:72" s="17" customFormat="1" ht="22.5" customHeight="1" x14ac:dyDescent="0.25">
      <c r="S479" s="1"/>
      <c r="V479" s="99"/>
      <c r="W479" s="99"/>
      <c r="AF479" s="1"/>
      <c r="AN479" s="1"/>
      <c r="AV479" s="1"/>
      <c r="BD479" s="1"/>
      <c r="BL479" s="1"/>
      <c r="BT479" s="1"/>
    </row>
    <row r="480" spans="19:72" s="17" customFormat="1" ht="22.5" customHeight="1" x14ac:dyDescent="0.25">
      <c r="S480" s="1"/>
      <c r="V480" s="99"/>
      <c r="W480" s="99"/>
      <c r="AF480" s="1"/>
      <c r="AN480" s="1"/>
      <c r="AV480" s="1"/>
      <c r="BD480" s="1"/>
      <c r="BL480" s="1"/>
      <c r="BT480" s="1"/>
    </row>
    <row r="481" spans="19:72" s="17" customFormat="1" ht="22.5" customHeight="1" x14ac:dyDescent="0.25">
      <c r="S481" s="1"/>
      <c r="V481" s="99"/>
      <c r="W481" s="99"/>
      <c r="AF481" s="1"/>
      <c r="AN481" s="1"/>
      <c r="AV481" s="1"/>
      <c r="BD481" s="1"/>
      <c r="BL481" s="1"/>
      <c r="BT481" s="1"/>
    </row>
    <row r="482" spans="19:72" s="17" customFormat="1" ht="22.5" customHeight="1" x14ac:dyDescent="0.25">
      <c r="S482" s="1"/>
      <c r="V482" s="99"/>
      <c r="W482" s="99"/>
      <c r="AF482" s="1"/>
      <c r="AN482" s="1"/>
      <c r="AV482" s="1"/>
      <c r="BD482" s="1"/>
      <c r="BL482" s="1"/>
      <c r="BT482" s="1"/>
    </row>
    <row r="483" spans="19:72" s="17" customFormat="1" ht="22.5" customHeight="1" x14ac:dyDescent="0.25">
      <c r="S483" s="1"/>
      <c r="V483" s="99"/>
      <c r="W483" s="99"/>
      <c r="AF483" s="1"/>
      <c r="AN483" s="1"/>
      <c r="AV483" s="1"/>
      <c r="BD483" s="1"/>
      <c r="BL483" s="1"/>
      <c r="BT483" s="1"/>
    </row>
    <row r="484" spans="19:72" s="17" customFormat="1" ht="22.5" customHeight="1" x14ac:dyDescent="0.25">
      <c r="S484" s="1"/>
      <c r="V484" s="99"/>
      <c r="W484" s="99"/>
      <c r="AF484" s="1"/>
      <c r="AN484" s="1"/>
      <c r="AV484" s="1"/>
      <c r="BD484" s="1"/>
      <c r="BL484" s="1"/>
      <c r="BT484" s="1"/>
    </row>
    <row r="485" spans="19:72" s="17" customFormat="1" ht="22.5" customHeight="1" x14ac:dyDescent="0.25">
      <c r="S485" s="1"/>
      <c r="V485" s="99"/>
      <c r="W485" s="99"/>
      <c r="AF485" s="1"/>
      <c r="AN485" s="1"/>
      <c r="AV485" s="1"/>
      <c r="BD485" s="1"/>
      <c r="BL485" s="1"/>
      <c r="BT485" s="1"/>
    </row>
    <row r="486" spans="19:72" s="17" customFormat="1" ht="22.5" customHeight="1" x14ac:dyDescent="0.25">
      <c r="S486" s="1"/>
      <c r="V486" s="99"/>
      <c r="W486" s="99"/>
      <c r="AF486" s="1"/>
      <c r="AN486" s="1"/>
      <c r="AV486" s="1"/>
      <c r="BD486" s="1"/>
      <c r="BL486" s="1"/>
      <c r="BT486" s="1"/>
    </row>
    <row r="487" spans="19:72" s="17" customFormat="1" ht="22.5" customHeight="1" x14ac:dyDescent="0.25">
      <c r="S487" s="1"/>
      <c r="V487" s="99"/>
      <c r="W487" s="99"/>
      <c r="AF487" s="1"/>
      <c r="AN487" s="1"/>
      <c r="AV487" s="1"/>
      <c r="BD487" s="1"/>
      <c r="BL487" s="1"/>
      <c r="BT487" s="1"/>
    </row>
    <row r="488" spans="19:72" s="17" customFormat="1" ht="22.5" customHeight="1" x14ac:dyDescent="0.25">
      <c r="S488" s="1"/>
      <c r="V488" s="99"/>
      <c r="W488" s="99"/>
      <c r="AF488" s="1"/>
      <c r="AN488" s="1"/>
      <c r="AV488" s="1"/>
      <c r="BD488" s="1"/>
      <c r="BL488" s="1"/>
      <c r="BT488" s="1"/>
    </row>
    <row r="489" spans="19:72" s="17" customFormat="1" ht="22.5" customHeight="1" x14ac:dyDescent="0.25">
      <c r="S489" s="1"/>
      <c r="V489" s="99"/>
      <c r="W489" s="99"/>
      <c r="AF489" s="1"/>
      <c r="AN489" s="1"/>
      <c r="AV489" s="1"/>
      <c r="BD489" s="1"/>
      <c r="BL489" s="1"/>
      <c r="BT489" s="1"/>
    </row>
    <row r="490" spans="19:72" s="17" customFormat="1" ht="22.5" customHeight="1" x14ac:dyDescent="0.25">
      <c r="S490" s="1"/>
      <c r="V490" s="99"/>
      <c r="W490" s="99"/>
      <c r="AF490" s="1"/>
      <c r="AN490" s="1"/>
      <c r="AV490" s="1"/>
      <c r="BD490" s="1"/>
      <c r="BL490" s="1"/>
      <c r="BT490" s="1"/>
    </row>
    <row r="491" spans="19:72" s="17" customFormat="1" ht="22.5" customHeight="1" x14ac:dyDescent="0.25">
      <c r="S491" s="1"/>
      <c r="V491" s="99"/>
      <c r="W491" s="99"/>
      <c r="AF491" s="1"/>
      <c r="AN491" s="1"/>
      <c r="AV491" s="1"/>
      <c r="BD491" s="1"/>
      <c r="BL491" s="1"/>
      <c r="BT491" s="1"/>
    </row>
    <row r="492" spans="19:72" s="17" customFormat="1" ht="22.5" customHeight="1" x14ac:dyDescent="0.25">
      <c r="S492" s="1"/>
      <c r="V492" s="99"/>
      <c r="W492" s="99"/>
      <c r="AF492" s="1"/>
      <c r="AN492" s="1"/>
      <c r="AV492" s="1"/>
      <c r="BD492" s="1"/>
      <c r="BL492" s="1"/>
      <c r="BT492" s="1"/>
    </row>
    <row r="493" spans="19:72" s="17" customFormat="1" ht="22.5" customHeight="1" x14ac:dyDescent="0.25">
      <c r="S493" s="1"/>
      <c r="V493" s="99"/>
      <c r="W493" s="99"/>
      <c r="AF493" s="1"/>
      <c r="AN493" s="1"/>
      <c r="AV493" s="1"/>
      <c r="BD493" s="1"/>
      <c r="BL493" s="1"/>
      <c r="BT493" s="1"/>
    </row>
    <row r="494" spans="19:72" s="17" customFormat="1" ht="22.5" customHeight="1" x14ac:dyDescent="0.25">
      <c r="S494" s="1"/>
      <c r="V494" s="99"/>
      <c r="W494" s="99"/>
      <c r="AF494" s="1"/>
      <c r="AN494" s="1"/>
      <c r="AV494" s="1"/>
      <c r="BD494" s="1"/>
      <c r="BL494" s="1"/>
      <c r="BT494" s="1"/>
    </row>
    <row r="495" spans="19:72" s="17" customFormat="1" ht="22.5" customHeight="1" x14ac:dyDescent="0.25">
      <c r="S495" s="1"/>
      <c r="V495" s="99"/>
      <c r="W495" s="99"/>
      <c r="AF495" s="1"/>
      <c r="AN495" s="1"/>
      <c r="AV495" s="1"/>
      <c r="BD495" s="1"/>
      <c r="BL495" s="1"/>
      <c r="BT495" s="1"/>
    </row>
    <row r="496" spans="19:72" s="17" customFormat="1" ht="22.5" customHeight="1" x14ac:dyDescent="0.25">
      <c r="S496" s="1"/>
      <c r="V496" s="99"/>
      <c r="W496" s="99"/>
      <c r="AF496" s="1"/>
      <c r="AN496" s="1"/>
      <c r="AV496" s="1"/>
      <c r="BD496" s="1"/>
      <c r="BL496" s="1"/>
      <c r="BT496" s="1"/>
    </row>
    <row r="497" spans="19:72" s="17" customFormat="1" ht="22.5" customHeight="1" x14ac:dyDescent="0.25">
      <c r="S497" s="1"/>
      <c r="V497" s="99"/>
      <c r="W497" s="99"/>
      <c r="AF497" s="1"/>
      <c r="AN497" s="1"/>
      <c r="AV497" s="1"/>
      <c r="BD497" s="1"/>
      <c r="BL497" s="1"/>
      <c r="BT497" s="1"/>
    </row>
    <row r="498" spans="19:72" s="17" customFormat="1" ht="22.5" customHeight="1" x14ac:dyDescent="0.25">
      <c r="S498" s="1"/>
      <c r="V498" s="99"/>
      <c r="W498" s="99"/>
      <c r="AF498" s="1"/>
      <c r="AN498" s="1"/>
      <c r="AV498" s="1"/>
      <c r="BD498" s="1"/>
      <c r="BL498" s="1"/>
      <c r="BT498" s="1"/>
    </row>
    <row r="499" spans="19:72" s="17" customFormat="1" ht="22.5" customHeight="1" x14ac:dyDescent="0.25">
      <c r="S499" s="1"/>
      <c r="V499" s="99"/>
      <c r="W499" s="99"/>
      <c r="AF499" s="1"/>
      <c r="AN499" s="1"/>
      <c r="AV499" s="1"/>
      <c r="BD499" s="1"/>
      <c r="BL499" s="1"/>
      <c r="BT499" s="1"/>
    </row>
    <row r="500" spans="19:72" s="17" customFormat="1" ht="22.5" customHeight="1" x14ac:dyDescent="0.25">
      <c r="S500" s="1"/>
      <c r="V500" s="99"/>
      <c r="W500" s="99"/>
      <c r="AF500" s="1"/>
      <c r="AN500" s="1"/>
      <c r="AV500" s="1"/>
      <c r="BD500" s="1"/>
      <c r="BL500" s="1"/>
      <c r="BT500" s="1"/>
    </row>
    <row r="501" spans="19:72" s="17" customFormat="1" ht="22.5" customHeight="1" x14ac:dyDescent="0.25">
      <c r="S501" s="1"/>
      <c r="V501" s="99"/>
      <c r="W501" s="99"/>
      <c r="AF501" s="1"/>
      <c r="AN501" s="1"/>
      <c r="AV501" s="1"/>
      <c r="BD501" s="1"/>
      <c r="BL501" s="1"/>
      <c r="BT501" s="1"/>
    </row>
    <row r="502" spans="19:72" s="17" customFormat="1" ht="22.5" customHeight="1" x14ac:dyDescent="0.25">
      <c r="S502" s="1"/>
      <c r="V502" s="99"/>
      <c r="W502" s="99"/>
      <c r="AF502" s="1"/>
      <c r="AN502" s="1"/>
      <c r="AV502" s="1"/>
      <c r="BD502" s="1"/>
      <c r="BL502" s="1"/>
      <c r="BT502" s="1"/>
    </row>
    <row r="503" spans="19:72" s="17" customFormat="1" ht="22.5" customHeight="1" x14ac:dyDescent="0.25">
      <c r="S503" s="1"/>
      <c r="V503" s="99"/>
      <c r="W503" s="99"/>
      <c r="AF503" s="1"/>
      <c r="AN503" s="1"/>
      <c r="AV503" s="1"/>
      <c r="BD503" s="1"/>
      <c r="BL503" s="1"/>
      <c r="BT503" s="1"/>
    </row>
    <row r="504" spans="19:72" s="17" customFormat="1" ht="22.5" customHeight="1" x14ac:dyDescent="0.25">
      <c r="S504" s="1"/>
      <c r="V504" s="99"/>
      <c r="W504" s="99"/>
      <c r="AF504" s="1"/>
      <c r="AN504" s="1"/>
      <c r="AV504" s="1"/>
      <c r="BD504" s="1"/>
      <c r="BL504" s="1"/>
      <c r="BT504" s="1"/>
    </row>
    <row r="505" spans="19:72" s="17" customFormat="1" ht="22.5" customHeight="1" x14ac:dyDescent="0.25">
      <c r="S505" s="1"/>
      <c r="V505" s="99"/>
      <c r="W505" s="99"/>
      <c r="AF505" s="1"/>
      <c r="AN505" s="1"/>
      <c r="AV505" s="1"/>
      <c r="BD505" s="1"/>
      <c r="BL505" s="1"/>
      <c r="BT505" s="1"/>
    </row>
    <row r="506" spans="19:72" s="17" customFormat="1" ht="22.5" customHeight="1" x14ac:dyDescent="0.25">
      <c r="S506" s="1"/>
      <c r="V506" s="99"/>
      <c r="W506" s="99"/>
      <c r="AF506" s="1"/>
      <c r="AN506" s="1"/>
      <c r="AV506" s="1"/>
      <c r="BD506" s="1"/>
      <c r="BL506" s="1"/>
      <c r="BT506" s="1"/>
    </row>
    <row r="507" spans="19:72" s="17" customFormat="1" ht="22.5" customHeight="1" x14ac:dyDescent="0.25">
      <c r="S507" s="1"/>
      <c r="V507" s="99"/>
      <c r="W507" s="99"/>
      <c r="AF507" s="1"/>
      <c r="AN507" s="1"/>
      <c r="AV507" s="1"/>
      <c r="BD507" s="1"/>
      <c r="BL507" s="1"/>
      <c r="BT507" s="1"/>
    </row>
    <row r="508" spans="19:72" s="17" customFormat="1" ht="22.5" customHeight="1" x14ac:dyDescent="0.25">
      <c r="S508" s="1"/>
      <c r="V508" s="99"/>
      <c r="W508" s="99"/>
      <c r="AF508" s="1"/>
      <c r="AN508" s="1"/>
      <c r="AV508" s="1"/>
      <c r="BD508" s="1"/>
      <c r="BL508" s="1"/>
      <c r="BT508" s="1"/>
    </row>
    <row r="509" spans="19:72" s="17" customFormat="1" ht="22.5" customHeight="1" x14ac:dyDescent="0.25">
      <c r="S509" s="1"/>
      <c r="V509" s="99"/>
      <c r="W509" s="99"/>
      <c r="AF509" s="1"/>
      <c r="AN509" s="1"/>
      <c r="AV509" s="1"/>
      <c r="BD509" s="1"/>
      <c r="BL509" s="1"/>
      <c r="BT509" s="1"/>
    </row>
    <row r="510" spans="19:72" s="17" customFormat="1" ht="22.5" customHeight="1" x14ac:dyDescent="0.25">
      <c r="S510" s="1"/>
      <c r="V510" s="99"/>
      <c r="W510" s="99"/>
      <c r="AF510" s="1"/>
      <c r="AN510" s="1"/>
      <c r="AV510" s="1"/>
      <c r="BD510" s="1"/>
      <c r="BL510" s="1"/>
      <c r="BT510" s="1"/>
    </row>
    <row r="511" spans="19:72" s="17" customFormat="1" ht="22.5" customHeight="1" x14ac:dyDescent="0.25">
      <c r="S511" s="1"/>
      <c r="V511" s="99"/>
      <c r="W511" s="99"/>
      <c r="AF511" s="1"/>
      <c r="AN511" s="1"/>
      <c r="AV511" s="1"/>
      <c r="BD511" s="1"/>
      <c r="BL511" s="1"/>
      <c r="BT511" s="1"/>
    </row>
    <row r="512" spans="19:72" s="17" customFormat="1" ht="22.5" customHeight="1" x14ac:dyDescent="0.25">
      <c r="S512" s="1"/>
      <c r="V512" s="99"/>
      <c r="W512" s="99"/>
      <c r="AF512" s="1"/>
      <c r="AN512" s="1"/>
      <c r="AV512" s="1"/>
      <c r="BD512" s="1"/>
      <c r="BL512" s="1"/>
      <c r="BT512" s="1"/>
    </row>
    <row r="513" spans="19:72" s="17" customFormat="1" ht="22.5" customHeight="1" x14ac:dyDescent="0.25">
      <c r="S513" s="1"/>
      <c r="V513" s="99"/>
      <c r="W513" s="99"/>
      <c r="AF513" s="1"/>
      <c r="AN513" s="1"/>
      <c r="AV513" s="1"/>
      <c r="BD513" s="1"/>
      <c r="BL513" s="1"/>
      <c r="BT513" s="1"/>
    </row>
    <row r="514" spans="19:72" s="17" customFormat="1" ht="22.5" customHeight="1" x14ac:dyDescent="0.25">
      <c r="S514" s="1"/>
      <c r="V514" s="99"/>
      <c r="W514" s="99"/>
      <c r="AF514" s="1"/>
      <c r="AN514" s="1"/>
      <c r="AV514" s="1"/>
      <c r="BD514" s="1"/>
      <c r="BL514" s="1"/>
      <c r="BT514" s="1"/>
    </row>
    <row r="515" spans="19:72" s="17" customFormat="1" ht="22.5" customHeight="1" x14ac:dyDescent="0.25">
      <c r="S515" s="1"/>
      <c r="V515" s="99"/>
      <c r="W515" s="99"/>
      <c r="AF515" s="1"/>
      <c r="AN515" s="1"/>
      <c r="AV515" s="1"/>
      <c r="BD515" s="1"/>
      <c r="BL515" s="1"/>
      <c r="BT515" s="1"/>
    </row>
    <row r="516" spans="19:72" s="17" customFormat="1" ht="22.5" customHeight="1" x14ac:dyDescent="0.25">
      <c r="S516" s="1"/>
      <c r="V516" s="99"/>
      <c r="W516" s="99"/>
      <c r="AF516" s="1"/>
      <c r="AN516" s="1"/>
      <c r="AV516" s="1"/>
      <c r="BD516" s="1"/>
      <c r="BL516" s="1"/>
      <c r="BT516" s="1"/>
    </row>
    <row r="517" spans="19:72" s="17" customFormat="1" ht="22.5" customHeight="1" x14ac:dyDescent="0.25">
      <c r="S517" s="1"/>
      <c r="V517" s="99"/>
      <c r="W517" s="99"/>
      <c r="AF517" s="1"/>
      <c r="AN517" s="1"/>
      <c r="AV517" s="1"/>
      <c r="BD517" s="1"/>
      <c r="BL517" s="1"/>
      <c r="BT517" s="1"/>
    </row>
    <row r="518" spans="19:72" s="17" customFormat="1" ht="22.5" customHeight="1" x14ac:dyDescent="0.25">
      <c r="S518" s="1"/>
      <c r="V518" s="99"/>
      <c r="W518" s="99"/>
      <c r="AF518" s="1"/>
      <c r="AN518" s="1"/>
      <c r="AV518" s="1"/>
      <c r="BD518" s="1"/>
      <c r="BL518" s="1"/>
      <c r="BT518" s="1"/>
    </row>
    <row r="519" spans="19:72" s="17" customFormat="1" ht="22.5" customHeight="1" x14ac:dyDescent="0.25">
      <c r="S519" s="1"/>
      <c r="V519" s="99"/>
      <c r="W519" s="99"/>
      <c r="AF519" s="1"/>
      <c r="AN519" s="1"/>
      <c r="AV519" s="1"/>
      <c r="BD519" s="1"/>
      <c r="BL519" s="1"/>
      <c r="BT519" s="1"/>
    </row>
    <row r="520" spans="19:72" s="17" customFormat="1" ht="22.5" customHeight="1" x14ac:dyDescent="0.25">
      <c r="S520" s="1"/>
      <c r="V520" s="99"/>
      <c r="W520" s="99"/>
      <c r="AF520" s="1"/>
      <c r="AN520" s="1"/>
      <c r="AV520" s="1"/>
      <c r="BD520" s="1"/>
      <c r="BL520" s="1"/>
      <c r="BT520" s="1"/>
    </row>
    <row r="521" spans="19:72" s="17" customFormat="1" ht="22.5" customHeight="1" x14ac:dyDescent="0.25">
      <c r="S521" s="1"/>
      <c r="V521" s="99"/>
      <c r="W521" s="99"/>
      <c r="AF521" s="1"/>
      <c r="AN521" s="1"/>
      <c r="AV521" s="1"/>
      <c r="BD521" s="1"/>
      <c r="BL521" s="1"/>
      <c r="BT521" s="1"/>
    </row>
    <row r="522" spans="19:72" s="17" customFormat="1" ht="22.5" customHeight="1" x14ac:dyDescent="0.25">
      <c r="S522" s="1"/>
      <c r="V522" s="99"/>
      <c r="W522" s="99"/>
      <c r="AF522" s="1"/>
      <c r="AN522" s="1"/>
      <c r="AV522" s="1"/>
      <c r="BD522" s="1"/>
      <c r="BL522" s="1"/>
      <c r="BT522" s="1"/>
    </row>
    <row r="523" spans="19:72" s="17" customFormat="1" ht="22.5" customHeight="1" x14ac:dyDescent="0.25">
      <c r="S523" s="1"/>
      <c r="V523" s="99"/>
      <c r="W523" s="99"/>
      <c r="AF523" s="1"/>
      <c r="AN523" s="1"/>
      <c r="AV523" s="1"/>
      <c r="BD523" s="1"/>
      <c r="BL523" s="1"/>
      <c r="BT523" s="1"/>
    </row>
    <row r="524" spans="19:72" s="17" customFormat="1" ht="22.5" customHeight="1" x14ac:dyDescent="0.25">
      <c r="S524" s="1"/>
      <c r="V524" s="99"/>
      <c r="W524" s="99"/>
      <c r="AF524" s="1"/>
      <c r="AN524" s="1"/>
      <c r="AV524" s="1"/>
      <c r="BD524" s="1"/>
      <c r="BL524" s="1"/>
      <c r="BT524" s="1"/>
    </row>
    <row r="525" spans="19:72" s="17" customFormat="1" ht="22.5" customHeight="1" x14ac:dyDescent="0.25">
      <c r="S525" s="1"/>
      <c r="V525" s="99"/>
      <c r="W525" s="99"/>
      <c r="AF525" s="1"/>
      <c r="AN525" s="1"/>
      <c r="AV525" s="1"/>
      <c r="BD525" s="1"/>
      <c r="BL525" s="1"/>
      <c r="BT525" s="1"/>
    </row>
    <row r="526" spans="19:72" s="17" customFormat="1" ht="22.5" customHeight="1" x14ac:dyDescent="0.25">
      <c r="S526" s="1"/>
      <c r="V526" s="99"/>
      <c r="W526" s="99"/>
      <c r="AF526" s="1"/>
      <c r="AN526" s="1"/>
      <c r="AV526" s="1"/>
      <c r="BD526" s="1"/>
      <c r="BL526" s="1"/>
      <c r="BT526" s="1"/>
    </row>
    <row r="527" spans="19:72" s="17" customFormat="1" ht="22.5" customHeight="1" x14ac:dyDescent="0.25">
      <c r="S527" s="1"/>
      <c r="V527" s="99"/>
      <c r="W527" s="99"/>
      <c r="AF527" s="1"/>
      <c r="AN527" s="1"/>
      <c r="AV527" s="1"/>
      <c r="BD527" s="1"/>
      <c r="BL527" s="1"/>
      <c r="BT527" s="1"/>
    </row>
    <row r="528" spans="19:72" s="17" customFormat="1" ht="22.5" customHeight="1" x14ac:dyDescent="0.25">
      <c r="S528" s="1"/>
      <c r="V528" s="99"/>
      <c r="W528" s="99"/>
      <c r="AF528" s="1"/>
      <c r="AN528" s="1"/>
      <c r="AV528" s="1"/>
      <c r="BD528" s="1"/>
      <c r="BL528" s="1"/>
      <c r="BT528" s="1"/>
    </row>
    <row r="529" spans="19:72" s="17" customFormat="1" ht="22.5" customHeight="1" x14ac:dyDescent="0.25">
      <c r="S529" s="1"/>
      <c r="V529" s="99"/>
      <c r="W529" s="99"/>
      <c r="AF529" s="1"/>
      <c r="AN529" s="1"/>
      <c r="AV529" s="1"/>
      <c r="BD529" s="1"/>
      <c r="BL529" s="1"/>
      <c r="BT529" s="1"/>
    </row>
    <row r="530" spans="19:72" s="17" customFormat="1" ht="22.5" customHeight="1" x14ac:dyDescent="0.25">
      <c r="S530" s="1"/>
      <c r="V530" s="99"/>
      <c r="W530" s="99"/>
      <c r="AF530" s="1"/>
      <c r="AN530" s="1"/>
      <c r="AV530" s="1"/>
      <c r="BD530" s="1"/>
      <c r="BL530" s="1"/>
      <c r="BT530" s="1"/>
    </row>
    <row r="531" spans="19:72" s="17" customFormat="1" ht="22.5" customHeight="1" x14ac:dyDescent="0.25">
      <c r="S531" s="1"/>
      <c r="V531" s="99"/>
      <c r="W531" s="99"/>
      <c r="AF531" s="1"/>
      <c r="AN531" s="1"/>
      <c r="AV531" s="1"/>
      <c r="BD531" s="1"/>
      <c r="BL531" s="1"/>
      <c r="BT531" s="1"/>
    </row>
    <row r="532" spans="19:72" s="17" customFormat="1" ht="22.5" customHeight="1" x14ac:dyDescent="0.25">
      <c r="S532" s="1"/>
      <c r="V532" s="99"/>
      <c r="W532" s="99"/>
      <c r="AF532" s="1"/>
      <c r="AN532" s="1"/>
      <c r="AV532" s="1"/>
      <c r="BD532" s="1"/>
      <c r="BL532" s="1"/>
      <c r="BT532" s="1"/>
    </row>
    <row r="533" spans="19:72" s="17" customFormat="1" ht="22.5" customHeight="1" x14ac:dyDescent="0.25">
      <c r="S533" s="1"/>
      <c r="V533" s="99"/>
      <c r="W533" s="99"/>
      <c r="AF533" s="1"/>
      <c r="AN533" s="1"/>
      <c r="AV533" s="1"/>
      <c r="BD533" s="1"/>
      <c r="BL533" s="1"/>
      <c r="BT533" s="1"/>
    </row>
    <row r="534" spans="19:72" s="17" customFormat="1" ht="22.5" customHeight="1" x14ac:dyDescent="0.25">
      <c r="S534" s="1"/>
      <c r="V534" s="99"/>
      <c r="W534" s="99"/>
      <c r="AF534" s="1"/>
      <c r="AN534" s="1"/>
      <c r="AV534" s="1"/>
      <c r="BD534" s="1"/>
      <c r="BL534" s="1"/>
      <c r="BT534" s="1"/>
    </row>
    <row r="535" spans="19:72" s="17" customFormat="1" ht="22.5" customHeight="1" x14ac:dyDescent="0.25">
      <c r="S535" s="1"/>
      <c r="V535" s="99"/>
      <c r="W535" s="99"/>
      <c r="AF535" s="1"/>
      <c r="AN535" s="1"/>
      <c r="AV535" s="1"/>
      <c r="BD535" s="1"/>
      <c r="BL535" s="1"/>
      <c r="BT535" s="1"/>
    </row>
    <row r="536" spans="19:72" s="17" customFormat="1" ht="22.5" customHeight="1" x14ac:dyDescent="0.25">
      <c r="S536" s="1"/>
      <c r="V536" s="99"/>
      <c r="W536" s="99"/>
      <c r="AF536" s="1"/>
      <c r="AN536" s="1"/>
      <c r="AV536" s="1"/>
      <c r="BD536" s="1"/>
      <c r="BL536" s="1"/>
      <c r="BT536" s="1"/>
    </row>
    <row r="537" spans="19:72" s="17" customFormat="1" ht="22.5" customHeight="1" x14ac:dyDescent="0.25">
      <c r="S537" s="1"/>
      <c r="V537" s="99"/>
      <c r="W537" s="99"/>
      <c r="AF537" s="1"/>
      <c r="AN537" s="1"/>
      <c r="AV537" s="1"/>
      <c r="BD537" s="1"/>
      <c r="BL537" s="1"/>
      <c r="BT537" s="1"/>
    </row>
    <row r="538" spans="19:72" s="17" customFormat="1" ht="22.5" customHeight="1" x14ac:dyDescent="0.25">
      <c r="S538" s="1"/>
      <c r="V538" s="99"/>
      <c r="W538" s="99"/>
      <c r="AF538" s="1"/>
      <c r="AN538" s="1"/>
      <c r="AV538" s="1"/>
      <c r="BD538" s="1"/>
      <c r="BL538" s="1"/>
      <c r="BT538" s="1"/>
    </row>
    <row r="539" spans="19:72" s="17" customFormat="1" ht="22.5" customHeight="1" x14ac:dyDescent="0.25">
      <c r="S539" s="1"/>
      <c r="V539" s="99"/>
      <c r="W539" s="99"/>
      <c r="AF539" s="1"/>
      <c r="AN539" s="1"/>
      <c r="AV539" s="1"/>
      <c r="BD539" s="1"/>
      <c r="BL539" s="1"/>
      <c r="BT539" s="1"/>
    </row>
    <row r="540" spans="19:72" s="17" customFormat="1" ht="22.5" customHeight="1" x14ac:dyDescent="0.25">
      <c r="S540" s="1"/>
      <c r="V540" s="99"/>
      <c r="W540" s="99"/>
      <c r="AF540" s="1"/>
      <c r="AN540" s="1"/>
      <c r="AV540" s="1"/>
      <c r="BD540" s="1"/>
      <c r="BL540" s="1"/>
      <c r="BT540" s="1"/>
    </row>
    <row r="541" spans="19:72" s="17" customFormat="1" ht="22.5" customHeight="1" x14ac:dyDescent="0.25">
      <c r="S541" s="1"/>
      <c r="V541" s="99"/>
      <c r="W541" s="99"/>
      <c r="AF541" s="1"/>
      <c r="AN541" s="1"/>
      <c r="AV541" s="1"/>
      <c r="BD541" s="1"/>
      <c r="BL541" s="1"/>
      <c r="BT541" s="1"/>
    </row>
    <row r="542" spans="19:72" s="17" customFormat="1" ht="22.5" customHeight="1" x14ac:dyDescent="0.25">
      <c r="S542" s="1"/>
      <c r="V542" s="99"/>
      <c r="W542" s="99"/>
      <c r="AF542" s="1"/>
      <c r="AN542" s="1"/>
      <c r="AV542" s="1"/>
      <c r="BD542" s="1"/>
      <c r="BL542" s="1"/>
      <c r="BT542" s="1"/>
    </row>
    <row r="543" spans="19:72" s="17" customFormat="1" ht="22.5" customHeight="1" x14ac:dyDescent="0.25">
      <c r="S543" s="1"/>
      <c r="V543" s="99"/>
      <c r="W543" s="99"/>
      <c r="AF543" s="1"/>
      <c r="AN543" s="1"/>
      <c r="AV543" s="1"/>
      <c r="BD543" s="1"/>
      <c r="BL543" s="1"/>
      <c r="BT543" s="1"/>
    </row>
    <row r="544" spans="19:72" s="17" customFormat="1" ht="22.5" customHeight="1" x14ac:dyDescent="0.25">
      <c r="S544" s="1"/>
      <c r="V544" s="99"/>
      <c r="W544" s="99"/>
      <c r="AF544" s="1"/>
      <c r="AN544" s="1"/>
      <c r="AV544" s="1"/>
      <c r="BD544" s="1"/>
      <c r="BL544" s="1"/>
      <c r="BT544" s="1"/>
    </row>
    <row r="545" spans="19:72" s="17" customFormat="1" ht="22.5" customHeight="1" x14ac:dyDescent="0.25">
      <c r="S545" s="1"/>
      <c r="V545" s="99"/>
      <c r="W545" s="99"/>
      <c r="AF545" s="1"/>
      <c r="AN545" s="1"/>
      <c r="AV545" s="1"/>
      <c r="BD545" s="1"/>
      <c r="BL545" s="1"/>
      <c r="BT545" s="1"/>
    </row>
    <row r="546" spans="19:72" s="17" customFormat="1" ht="22.5" customHeight="1" x14ac:dyDescent="0.25">
      <c r="S546" s="1"/>
      <c r="V546" s="99"/>
      <c r="W546" s="99"/>
      <c r="AF546" s="1"/>
      <c r="AN546" s="1"/>
      <c r="AV546" s="1"/>
      <c r="BD546" s="1"/>
      <c r="BL546" s="1"/>
      <c r="BT546" s="1"/>
    </row>
    <row r="547" spans="19:72" s="17" customFormat="1" ht="22.5" customHeight="1" x14ac:dyDescent="0.25">
      <c r="S547" s="1"/>
      <c r="V547" s="99"/>
      <c r="W547" s="99"/>
      <c r="AF547" s="1"/>
      <c r="AN547" s="1"/>
      <c r="AV547" s="1"/>
      <c r="BD547" s="1"/>
      <c r="BL547" s="1"/>
      <c r="BT547" s="1"/>
    </row>
    <row r="548" spans="19:72" s="17" customFormat="1" ht="22.5" customHeight="1" x14ac:dyDescent="0.25">
      <c r="S548" s="1"/>
      <c r="V548" s="99"/>
      <c r="W548" s="99"/>
      <c r="AF548" s="1"/>
      <c r="AN548" s="1"/>
      <c r="AV548" s="1"/>
      <c r="BD548" s="1"/>
      <c r="BL548" s="1"/>
      <c r="BT548" s="1"/>
    </row>
    <row r="549" spans="19:72" s="17" customFormat="1" ht="22.5" customHeight="1" x14ac:dyDescent="0.25">
      <c r="S549" s="1"/>
      <c r="V549" s="99"/>
      <c r="W549" s="99"/>
      <c r="AF549" s="1"/>
      <c r="AN549" s="1"/>
      <c r="AV549" s="1"/>
      <c r="BD549" s="1"/>
      <c r="BL549" s="1"/>
      <c r="BT549" s="1"/>
    </row>
    <row r="550" spans="19:72" s="17" customFormat="1" ht="22.5" customHeight="1" x14ac:dyDescent="0.25">
      <c r="S550" s="1"/>
      <c r="V550" s="99"/>
      <c r="W550" s="99"/>
      <c r="AF550" s="1"/>
      <c r="AN550" s="1"/>
      <c r="AV550" s="1"/>
      <c r="BD550" s="1"/>
      <c r="BL550" s="1"/>
      <c r="BT550" s="1"/>
    </row>
    <row r="551" spans="19:72" s="17" customFormat="1" ht="22.5" customHeight="1" x14ac:dyDescent="0.25">
      <c r="S551" s="1"/>
      <c r="V551" s="99"/>
      <c r="W551" s="99"/>
      <c r="AF551" s="1"/>
      <c r="AN551" s="1"/>
      <c r="AV551" s="1"/>
      <c r="BD551" s="1"/>
      <c r="BL551" s="1"/>
      <c r="BT551" s="1"/>
    </row>
    <row r="552" spans="19:72" s="17" customFormat="1" ht="22.5" customHeight="1" x14ac:dyDescent="0.25">
      <c r="S552" s="1"/>
      <c r="V552" s="99"/>
      <c r="W552" s="99"/>
      <c r="AF552" s="1"/>
      <c r="AN552" s="1"/>
      <c r="AV552" s="1"/>
      <c r="BD552" s="1"/>
      <c r="BL552" s="1"/>
      <c r="BT552" s="1"/>
    </row>
    <row r="553" spans="19:72" s="17" customFormat="1" ht="22.5" customHeight="1" x14ac:dyDescent="0.25">
      <c r="S553" s="1"/>
      <c r="V553" s="99"/>
      <c r="W553" s="99"/>
      <c r="AF553" s="1"/>
      <c r="AN553" s="1"/>
      <c r="AV553" s="1"/>
      <c r="BD553" s="1"/>
      <c r="BL553" s="1"/>
      <c r="BT553" s="1"/>
    </row>
    <row r="554" spans="19:72" s="17" customFormat="1" ht="22.5" customHeight="1" x14ac:dyDescent="0.25">
      <c r="S554" s="1"/>
      <c r="V554" s="99"/>
      <c r="W554" s="99"/>
      <c r="AF554" s="1"/>
      <c r="AN554" s="1"/>
      <c r="AV554" s="1"/>
      <c r="BD554" s="1"/>
      <c r="BL554" s="1"/>
      <c r="BT554" s="1"/>
    </row>
    <row r="555" spans="19:72" s="17" customFormat="1" ht="22.5" customHeight="1" x14ac:dyDescent="0.25">
      <c r="S555" s="1"/>
      <c r="V555" s="99"/>
      <c r="W555" s="99"/>
      <c r="AF555" s="1"/>
      <c r="AN555" s="1"/>
      <c r="AV555" s="1"/>
      <c r="BD555" s="1"/>
      <c r="BL555" s="1"/>
      <c r="BT555" s="1"/>
    </row>
    <row r="556" spans="19:72" s="17" customFormat="1" ht="22.5" customHeight="1" x14ac:dyDescent="0.25">
      <c r="S556" s="1"/>
      <c r="V556" s="99"/>
      <c r="W556" s="99"/>
      <c r="AF556" s="1"/>
      <c r="AN556" s="1"/>
      <c r="AV556" s="1"/>
      <c r="BD556" s="1"/>
      <c r="BL556" s="1"/>
      <c r="BT556" s="1"/>
    </row>
    <row r="557" spans="19:72" s="17" customFormat="1" ht="22.5" customHeight="1" x14ac:dyDescent="0.25">
      <c r="S557" s="1"/>
      <c r="V557" s="99"/>
      <c r="W557" s="99"/>
      <c r="AF557" s="1"/>
      <c r="AN557" s="1"/>
      <c r="AV557" s="1"/>
      <c r="BD557" s="1"/>
      <c r="BL557" s="1"/>
      <c r="BT557" s="1"/>
    </row>
    <row r="558" spans="19:72" s="17" customFormat="1" ht="22.5" customHeight="1" x14ac:dyDescent="0.25">
      <c r="S558" s="1"/>
      <c r="V558" s="99"/>
      <c r="W558" s="99"/>
      <c r="AF558" s="1"/>
      <c r="AN558" s="1"/>
      <c r="AV558" s="1"/>
      <c r="BD558" s="1"/>
      <c r="BL558" s="1"/>
      <c r="BT558" s="1"/>
    </row>
    <row r="559" spans="19:72" s="17" customFormat="1" ht="22.5" customHeight="1" x14ac:dyDescent="0.25">
      <c r="S559" s="1"/>
      <c r="V559" s="99"/>
      <c r="W559" s="99"/>
      <c r="AF559" s="1"/>
      <c r="AN559" s="1"/>
      <c r="AV559" s="1"/>
      <c r="BD559" s="1"/>
      <c r="BL559" s="1"/>
      <c r="BT559" s="1"/>
    </row>
    <row r="560" spans="19:72" s="17" customFormat="1" ht="22.5" customHeight="1" x14ac:dyDescent="0.25">
      <c r="S560" s="1"/>
      <c r="V560" s="99"/>
      <c r="W560" s="99"/>
      <c r="AF560" s="1"/>
      <c r="AN560" s="1"/>
      <c r="AV560" s="1"/>
      <c r="BD560" s="1"/>
      <c r="BL560" s="1"/>
      <c r="BT560" s="1"/>
    </row>
    <row r="561" spans="19:72" s="17" customFormat="1" ht="22.5" customHeight="1" x14ac:dyDescent="0.25">
      <c r="S561" s="1"/>
      <c r="V561" s="99"/>
      <c r="W561" s="99"/>
      <c r="AF561" s="1"/>
      <c r="AN561" s="1"/>
      <c r="AV561" s="1"/>
      <c r="BD561" s="1"/>
      <c r="BL561" s="1"/>
      <c r="BT561" s="1"/>
    </row>
    <row r="562" spans="19:72" s="17" customFormat="1" ht="22.5" customHeight="1" x14ac:dyDescent="0.25">
      <c r="S562" s="1"/>
      <c r="V562" s="99"/>
      <c r="W562" s="99"/>
      <c r="AF562" s="1"/>
      <c r="AN562" s="1"/>
      <c r="AV562" s="1"/>
      <c r="BD562" s="1"/>
      <c r="BL562" s="1"/>
      <c r="BT562" s="1"/>
    </row>
    <row r="563" spans="19:72" s="17" customFormat="1" ht="22.5" customHeight="1" x14ac:dyDescent="0.25">
      <c r="S563" s="1"/>
      <c r="V563" s="99"/>
      <c r="W563" s="99"/>
      <c r="AF563" s="1"/>
      <c r="AN563" s="1"/>
      <c r="AV563" s="1"/>
      <c r="BD563" s="1"/>
      <c r="BL563" s="1"/>
      <c r="BT563" s="1"/>
    </row>
    <row r="564" spans="19:72" s="17" customFormat="1" ht="22.5" customHeight="1" x14ac:dyDescent="0.25">
      <c r="S564" s="1"/>
      <c r="V564" s="99"/>
      <c r="W564" s="99"/>
      <c r="AF564" s="1"/>
      <c r="AN564" s="1"/>
      <c r="AV564" s="1"/>
      <c r="BD564" s="1"/>
      <c r="BL564" s="1"/>
      <c r="BT564" s="1"/>
    </row>
    <row r="565" spans="19:72" s="17" customFormat="1" ht="22.5" customHeight="1" x14ac:dyDescent="0.25">
      <c r="S565" s="1"/>
      <c r="V565" s="99"/>
      <c r="W565" s="99"/>
      <c r="AF565" s="1"/>
      <c r="AN565" s="1"/>
      <c r="AV565" s="1"/>
      <c r="BD565" s="1"/>
      <c r="BL565" s="1"/>
      <c r="BT565" s="1"/>
    </row>
    <row r="566" spans="19:72" s="17" customFormat="1" ht="22.5" customHeight="1" x14ac:dyDescent="0.25">
      <c r="S566" s="1"/>
      <c r="V566" s="99"/>
      <c r="W566" s="99"/>
      <c r="AF566" s="1"/>
      <c r="AN566" s="1"/>
      <c r="AV566" s="1"/>
      <c r="BD566" s="1"/>
      <c r="BL566" s="1"/>
      <c r="BT566" s="1"/>
    </row>
    <row r="567" spans="19:72" s="17" customFormat="1" ht="22.5" customHeight="1" x14ac:dyDescent="0.25">
      <c r="S567" s="1"/>
      <c r="V567" s="99"/>
      <c r="W567" s="99"/>
      <c r="AF567" s="1"/>
      <c r="AN567" s="1"/>
      <c r="AV567" s="1"/>
      <c r="BD567" s="1"/>
      <c r="BL567" s="1"/>
      <c r="BT567" s="1"/>
    </row>
    <row r="568" spans="19:72" s="17" customFormat="1" ht="22.5" customHeight="1" x14ac:dyDescent="0.25">
      <c r="S568" s="1"/>
      <c r="V568" s="99"/>
      <c r="W568" s="99"/>
      <c r="AF568" s="1"/>
      <c r="AN568" s="1"/>
      <c r="AV568" s="1"/>
      <c r="BD568" s="1"/>
      <c r="BL568" s="1"/>
      <c r="BT568" s="1"/>
    </row>
    <row r="569" spans="19:72" s="17" customFormat="1" ht="22.5" customHeight="1" x14ac:dyDescent="0.25">
      <c r="S569" s="1"/>
      <c r="V569" s="99"/>
      <c r="W569" s="99"/>
      <c r="AF569" s="1"/>
      <c r="AN569" s="1"/>
      <c r="AV569" s="1"/>
      <c r="BD569" s="1"/>
      <c r="BL569" s="1"/>
      <c r="BT569" s="1"/>
    </row>
    <row r="570" spans="19:72" s="17" customFormat="1" ht="22.5" customHeight="1" x14ac:dyDescent="0.25">
      <c r="S570" s="1"/>
      <c r="V570" s="99"/>
      <c r="W570" s="99"/>
      <c r="AF570" s="1"/>
      <c r="AN570" s="1"/>
      <c r="AV570" s="1"/>
      <c r="BD570" s="1"/>
      <c r="BL570" s="1"/>
      <c r="BT570" s="1"/>
    </row>
    <row r="571" spans="19:72" s="17" customFormat="1" ht="22.5" customHeight="1" x14ac:dyDescent="0.25">
      <c r="S571" s="1"/>
      <c r="V571" s="99"/>
      <c r="W571" s="99"/>
      <c r="AF571" s="1"/>
      <c r="AN571" s="1"/>
      <c r="AV571" s="1"/>
      <c r="BD571" s="1"/>
      <c r="BL571" s="1"/>
      <c r="BT571" s="1"/>
    </row>
    <row r="572" spans="19:72" s="17" customFormat="1" ht="22.5" customHeight="1" x14ac:dyDescent="0.25">
      <c r="S572" s="1"/>
      <c r="V572" s="99"/>
      <c r="W572" s="99"/>
      <c r="AF572" s="1"/>
      <c r="AN572" s="1"/>
      <c r="AV572" s="1"/>
      <c r="BD572" s="1"/>
      <c r="BL572" s="1"/>
      <c r="BT572" s="1"/>
    </row>
    <row r="573" spans="19:72" s="17" customFormat="1" ht="22.5" customHeight="1" x14ac:dyDescent="0.25">
      <c r="S573" s="1"/>
      <c r="V573" s="99"/>
      <c r="W573" s="99"/>
      <c r="AF573" s="1"/>
      <c r="AN573" s="1"/>
      <c r="AV573" s="1"/>
      <c r="BD573" s="1"/>
      <c r="BL573" s="1"/>
      <c r="BT573" s="1"/>
    </row>
    <row r="574" spans="19:72" s="17" customFormat="1" ht="22.5" customHeight="1" x14ac:dyDescent="0.25">
      <c r="S574" s="1"/>
      <c r="V574" s="99"/>
      <c r="W574" s="99"/>
      <c r="AF574" s="1"/>
      <c r="AN574" s="1"/>
      <c r="AV574" s="1"/>
      <c r="BD574" s="1"/>
      <c r="BL574" s="1"/>
      <c r="BT574" s="1"/>
    </row>
    <row r="575" spans="19:72" s="17" customFormat="1" ht="22.5" customHeight="1" x14ac:dyDescent="0.25">
      <c r="S575" s="1"/>
      <c r="V575" s="99"/>
      <c r="W575" s="99"/>
      <c r="AF575" s="1"/>
      <c r="AN575" s="1"/>
      <c r="AV575" s="1"/>
      <c r="BD575" s="1"/>
      <c r="BL575" s="1"/>
      <c r="BT575" s="1"/>
    </row>
    <row r="576" spans="19:72" s="17" customFormat="1" ht="22.5" customHeight="1" x14ac:dyDescent="0.25">
      <c r="S576" s="1"/>
      <c r="V576" s="99"/>
      <c r="W576" s="99"/>
      <c r="AF576" s="1"/>
      <c r="AN576" s="1"/>
      <c r="AV576" s="1"/>
      <c r="BD576" s="1"/>
      <c r="BL576" s="1"/>
      <c r="BT576" s="1"/>
    </row>
    <row r="577" spans="19:72" s="17" customFormat="1" ht="22.5" customHeight="1" x14ac:dyDescent="0.25">
      <c r="S577" s="1"/>
      <c r="V577" s="99"/>
      <c r="W577" s="99"/>
      <c r="AF577" s="1"/>
      <c r="AN577" s="1"/>
      <c r="AV577" s="1"/>
      <c r="BD577" s="1"/>
      <c r="BL577" s="1"/>
      <c r="BT577" s="1"/>
    </row>
    <row r="578" spans="19:72" s="17" customFormat="1" ht="22.5" customHeight="1" x14ac:dyDescent="0.25">
      <c r="S578" s="1"/>
      <c r="V578" s="99"/>
      <c r="W578" s="99"/>
      <c r="AF578" s="1"/>
      <c r="AN578" s="1"/>
      <c r="AV578" s="1"/>
      <c r="BD578" s="1"/>
      <c r="BL578" s="1"/>
      <c r="BT578" s="1"/>
    </row>
    <row r="579" spans="19:72" s="17" customFormat="1" ht="22.5" customHeight="1" x14ac:dyDescent="0.25">
      <c r="S579" s="1"/>
      <c r="V579" s="99"/>
      <c r="W579" s="99"/>
      <c r="AF579" s="1"/>
      <c r="AN579" s="1"/>
      <c r="AV579" s="1"/>
      <c r="BD579" s="1"/>
      <c r="BL579" s="1"/>
      <c r="BT579" s="1"/>
    </row>
    <row r="580" spans="19:72" s="17" customFormat="1" ht="22.5" customHeight="1" x14ac:dyDescent="0.25">
      <c r="S580" s="1"/>
      <c r="V580" s="99"/>
      <c r="W580" s="99"/>
      <c r="AF580" s="1"/>
      <c r="AN580" s="1"/>
      <c r="AV580" s="1"/>
      <c r="BD580" s="1"/>
      <c r="BL580" s="1"/>
      <c r="BT580" s="1"/>
    </row>
    <row r="581" spans="19:72" s="17" customFormat="1" ht="22.5" customHeight="1" x14ac:dyDescent="0.25">
      <c r="S581" s="1"/>
      <c r="V581" s="99"/>
      <c r="W581" s="99"/>
      <c r="AF581" s="1"/>
      <c r="AN581" s="1"/>
      <c r="AV581" s="1"/>
      <c r="BD581" s="1"/>
      <c r="BL581" s="1"/>
      <c r="BT581" s="1"/>
    </row>
    <row r="582" spans="19:72" s="17" customFormat="1" ht="22.5" customHeight="1" x14ac:dyDescent="0.25">
      <c r="S582" s="1"/>
      <c r="V582" s="99"/>
      <c r="W582" s="99"/>
      <c r="AF582" s="1"/>
      <c r="AN582" s="1"/>
      <c r="AV582" s="1"/>
      <c r="BD582" s="1"/>
      <c r="BL582" s="1"/>
      <c r="BT582" s="1"/>
    </row>
    <row r="583" spans="19:72" s="17" customFormat="1" ht="22.5" customHeight="1" x14ac:dyDescent="0.25">
      <c r="S583" s="1"/>
      <c r="V583" s="99"/>
      <c r="W583" s="99"/>
      <c r="AF583" s="1"/>
      <c r="AN583" s="1"/>
      <c r="AV583" s="1"/>
      <c r="BD583" s="1"/>
      <c r="BL583" s="1"/>
      <c r="BT583" s="1"/>
    </row>
  </sheetData>
  <sheetProtection algorithmName="SHA-512" hashValue="+isf/ro3XfiHAQWkRFPHFNHoStdF6TIpKfcCIu/WY4aWZLTg0oq7Z9XKN0jsxnxdfwY+w1T1Qp4SUvA518ccWQ==" saltValue="IlFztousMFZcHUtksU5tHA==" spinCount="100000" sheet="1" objects="1" scenarios="1" selectLockedCells="1"/>
  <mergeCells count="426">
    <mergeCell ref="C1:BR3"/>
    <mergeCell ref="AW44:AX44"/>
    <mergeCell ref="BA44:BB44"/>
    <mergeCell ref="BE44:BF44"/>
    <mergeCell ref="BI44:BJ44"/>
    <mergeCell ref="AW41:AX41"/>
    <mergeCell ref="BA41:BB41"/>
    <mergeCell ref="BE41:BF41"/>
    <mergeCell ref="BI41:BJ41"/>
    <mergeCell ref="Y44:Z44"/>
    <mergeCell ref="AC44:AD44"/>
    <mergeCell ref="AG44:AH44"/>
    <mergeCell ref="AK44:AL44"/>
    <mergeCell ref="AO44:AP44"/>
    <mergeCell ref="AS44:AT44"/>
    <mergeCell ref="Y41:Z41"/>
    <mergeCell ref="AC41:AD41"/>
    <mergeCell ref="AG41:AH41"/>
    <mergeCell ref="AK41:AL41"/>
    <mergeCell ref="AO41:AP41"/>
    <mergeCell ref="AS41:AT41"/>
    <mergeCell ref="AW39:AX39"/>
    <mergeCell ref="BA39:BB39"/>
    <mergeCell ref="BE39:BF39"/>
    <mergeCell ref="BI39:BJ39"/>
    <mergeCell ref="Q40:U40"/>
    <mergeCell ref="AC40:AF40"/>
    <mergeCell ref="AK40:AN40"/>
    <mergeCell ref="AS40:AV40"/>
    <mergeCell ref="BA40:BD40"/>
    <mergeCell ref="BI40:BL40"/>
    <mergeCell ref="Y39:Z39"/>
    <mergeCell ref="AC39:AD39"/>
    <mergeCell ref="AG39:AH39"/>
    <mergeCell ref="AK39:AL39"/>
    <mergeCell ref="AO39:AP39"/>
    <mergeCell ref="AS39:AT39"/>
    <mergeCell ref="Q36:U36"/>
    <mergeCell ref="V36:V38"/>
    <mergeCell ref="AC36:AF36"/>
    <mergeCell ref="AK36:AN36"/>
    <mergeCell ref="AS36:AV36"/>
    <mergeCell ref="BA36:BD36"/>
    <mergeCell ref="BI36:BL36"/>
    <mergeCell ref="Q37:U37"/>
    <mergeCell ref="AC37:AF37"/>
    <mergeCell ref="AK37:AN37"/>
    <mergeCell ref="AS37:AV37"/>
    <mergeCell ref="BA37:BD37"/>
    <mergeCell ref="BI37:BL37"/>
    <mergeCell ref="Q38:U38"/>
    <mergeCell ref="AC38:AF38"/>
    <mergeCell ref="AK38:AN38"/>
    <mergeCell ref="AS38:AV38"/>
    <mergeCell ref="BA38:BD38"/>
    <mergeCell ref="BI38:BL38"/>
    <mergeCell ref="BI34:BL34"/>
    <mergeCell ref="Y35:Z35"/>
    <mergeCell ref="AC35:AD35"/>
    <mergeCell ref="AG35:AH35"/>
    <mergeCell ref="AK35:AL35"/>
    <mergeCell ref="AO35:AP35"/>
    <mergeCell ref="AS35:AT35"/>
    <mergeCell ref="AW35:AX35"/>
    <mergeCell ref="BA35:BB35"/>
    <mergeCell ref="BE35:BF35"/>
    <mergeCell ref="BI35:BJ35"/>
    <mergeCell ref="V33:V34"/>
    <mergeCell ref="Q34:U34"/>
    <mergeCell ref="AC34:AF34"/>
    <mergeCell ref="AK34:AN34"/>
    <mergeCell ref="AS34:AV34"/>
    <mergeCell ref="BA34:BD34"/>
    <mergeCell ref="Y32:Z32"/>
    <mergeCell ref="AC32:AD32"/>
    <mergeCell ref="AG32:AH32"/>
    <mergeCell ref="AK32:AL32"/>
    <mergeCell ref="AO32:AP32"/>
    <mergeCell ref="AS32:AT32"/>
    <mergeCell ref="BI31:BL31"/>
    <mergeCell ref="BI29:BL29"/>
    <mergeCell ref="Q30:U30"/>
    <mergeCell ref="AC30:AF30"/>
    <mergeCell ref="AK30:AN30"/>
    <mergeCell ref="AS30:AV30"/>
    <mergeCell ref="BA30:BD30"/>
    <mergeCell ref="BI30:BL30"/>
    <mergeCell ref="AW32:AX32"/>
    <mergeCell ref="BA32:BB32"/>
    <mergeCell ref="BE32:BF32"/>
    <mergeCell ref="BI32:BJ32"/>
    <mergeCell ref="Q29:U29"/>
    <mergeCell ref="V29:V31"/>
    <mergeCell ref="AC29:AF29"/>
    <mergeCell ref="AK29:AN29"/>
    <mergeCell ref="AS29:AV29"/>
    <mergeCell ref="BA29:BD29"/>
    <mergeCell ref="Q31:U31"/>
    <mergeCell ref="AC31:AF31"/>
    <mergeCell ref="AK31:AN31"/>
    <mergeCell ref="AS31:AV31"/>
    <mergeCell ref="BA31:BD31"/>
    <mergeCell ref="BI26:BJ26"/>
    <mergeCell ref="Y28:Z28"/>
    <mergeCell ref="AC28:AD28"/>
    <mergeCell ref="AG28:AH28"/>
    <mergeCell ref="AK28:AL28"/>
    <mergeCell ref="AO28:AP28"/>
    <mergeCell ref="AS28:AT28"/>
    <mergeCell ref="AW28:AX28"/>
    <mergeCell ref="BA28:BB28"/>
    <mergeCell ref="BE28:BF28"/>
    <mergeCell ref="BI28:BJ28"/>
    <mergeCell ref="BG23:BG25"/>
    <mergeCell ref="BH23:BH25"/>
    <mergeCell ref="Y26:Z26"/>
    <mergeCell ref="AC26:AD26"/>
    <mergeCell ref="AG26:AH26"/>
    <mergeCell ref="AK26:AL26"/>
    <mergeCell ref="AO26:AP26"/>
    <mergeCell ref="AS26:AT26"/>
    <mergeCell ref="AQ23:AQ25"/>
    <mergeCell ref="AR23:AR25"/>
    <mergeCell ref="AW23:AW25"/>
    <mergeCell ref="AX23:AX25"/>
    <mergeCell ref="AY23:AY25"/>
    <mergeCell ref="AZ23:AZ25"/>
    <mergeCell ref="AG23:AG25"/>
    <mergeCell ref="AH23:AH25"/>
    <mergeCell ref="AI23:AI25"/>
    <mergeCell ref="AJ23:AJ25"/>
    <mergeCell ref="AO23:AO25"/>
    <mergeCell ref="AP23:AP25"/>
    <mergeCell ref="AW26:AX26"/>
    <mergeCell ref="BA26:BB26"/>
    <mergeCell ref="BE26:BF26"/>
    <mergeCell ref="BI22:BJ22"/>
    <mergeCell ref="A23:A25"/>
    <mergeCell ref="B23:B25"/>
    <mergeCell ref="C23:C25"/>
    <mergeCell ref="D23:D25"/>
    <mergeCell ref="E23:E25"/>
    <mergeCell ref="F23:F25"/>
    <mergeCell ref="G23:G25"/>
    <mergeCell ref="H23:H25"/>
    <mergeCell ref="I23:I25"/>
    <mergeCell ref="P23:P25"/>
    <mergeCell ref="V23:V25"/>
    <mergeCell ref="Y23:Y25"/>
    <mergeCell ref="Z23:Z25"/>
    <mergeCell ref="AA23:AA25"/>
    <mergeCell ref="AB23:AB25"/>
    <mergeCell ref="J23:J25"/>
    <mergeCell ref="K23:K25"/>
    <mergeCell ref="L23:L25"/>
    <mergeCell ref="M23:M25"/>
    <mergeCell ref="N23:N25"/>
    <mergeCell ref="O23:O25"/>
    <mergeCell ref="BE23:BE25"/>
    <mergeCell ref="BF23:BF25"/>
    <mergeCell ref="BH19:BH21"/>
    <mergeCell ref="Y22:Z22"/>
    <mergeCell ref="AC22:AD22"/>
    <mergeCell ref="AG22:AH22"/>
    <mergeCell ref="AK22:AL22"/>
    <mergeCell ref="AO22:AP22"/>
    <mergeCell ref="AS22:AT22"/>
    <mergeCell ref="AW22:AX22"/>
    <mergeCell ref="BA22:BB22"/>
    <mergeCell ref="BE22:BF22"/>
    <mergeCell ref="AX19:AX21"/>
    <mergeCell ref="AY19:AY21"/>
    <mergeCell ref="AZ19:AZ21"/>
    <mergeCell ref="BE19:BE21"/>
    <mergeCell ref="BF19:BF21"/>
    <mergeCell ref="BG19:BG21"/>
    <mergeCell ref="AJ19:AJ21"/>
    <mergeCell ref="AO19:AO21"/>
    <mergeCell ref="AP19:AP21"/>
    <mergeCell ref="AQ19:AQ21"/>
    <mergeCell ref="AR19:AR21"/>
    <mergeCell ref="AW19:AW21"/>
    <mergeCell ref="Z19:Z21"/>
    <mergeCell ref="AA19:AA21"/>
    <mergeCell ref="BA18:BB18"/>
    <mergeCell ref="BE18:BF18"/>
    <mergeCell ref="AB19:AB21"/>
    <mergeCell ref="AG19:AG21"/>
    <mergeCell ref="AH19:AH21"/>
    <mergeCell ref="AI19:AI21"/>
    <mergeCell ref="M19:M21"/>
    <mergeCell ref="N19:N21"/>
    <mergeCell ref="O19:O21"/>
    <mergeCell ref="P19:P21"/>
    <mergeCell ref="V19:V21"/>
    <mergeCell ref="Y19:Y21"/>
    <mergeCell ref="G19:G21"/>
    <mergeCell ref="H19:H21"/>
    <mergeCell ref="I19:I21"/>
    <mergeCell ref="J19:J21"/>
    <mergeCell ref="K19:K21"/>
    <mergeCell ref="L19:L21"/>
    <mergeCell ref="AW18:AX18"/>
    <mergeCell ref="Z15:Z17"/>
    <mergeCell ref="AA15:AA17"/>
    <mergeCell ref="AB15:AB17"/>
    <mergeCell ref="L15:L17"/>
    <mergeCell ref="M15:M17"/>
    <mergeCell ref="N15:N17"/>
    <mergeCell ref="BI18:BJ18"/>
    <mergeCell ref="A19:A21"/>
    <mergeCell ref="B19:B21"/>
    <mergeCell ref="C19:C21"/>
    <mergeCell ref="D19:D21"/>
    <mergeCell ref="E19:E21"/>
    <mergeCell ref="F19:F21"/>
    <mergeCell ref="BE15:BE17"/>
    <mergeCell ref="BF15:BF17"/>
    <mergeCell ref="BG15:BG17"/>
    <mergeCell ref="BH15:BH17"/>
    <mergeCell ref="Y18:Z18"/>
    <mergeCell ref="AC18:AD18"/>
    <mergeCell ref="AG18:AH18"/>
    <mergeCell ref="AK18:AL18"/>
    <mergeCell ref="AO18:AP18"/>
    <mergeCell ref="AS18:AT18"/>
    <mergeCell ref="AQ15:AQ17"/>
    <mergeCell ref="AR15:AR17"/>
    <mergeCell ref="AW15:AW17"/>
    <mergeCell ref="AX15:AX17"/>
    <mergeCell ref="I15:I17"/>
    <mergeCell ref="J15:J17"/>
    <mergeCell ref="K15:K17"/>
    <mergeCell ref="BE14:BF14"/>
    <mergeCell ref="BI14:BJ14"/>
    <mergeCell ref="A15:A17"/>
    <mergeCell ref="B15:B17"/>
    <mergeCell ref="C15:C17"/>
    <mergeCell ref="D15:D17"/>
    <mergeCell ref="E15:E17"/>
    <mergeCell ref="F15:F17"/>
    <mergeCell ref="G15:G17"/>
    <mergeCell ref="H15:H17"/>
    <mergeCell ref="AH15:AH17"/>
    <mergeCell ref="AI15:AI17"/>
    <mergeCell ref="AJ15:AJ17"/>
    <mergeCell ref="AO15:AO17"/>
    <mergeCell ref="AP15:AP17"/>
    <mergeCell ref="P15:P17"/>
    <mergeCell ref="V15:V17"/>
    <mergeCell ref="Y15:Y17"/>
    <mergeCell ref="AY15:AY17"/>
    <mergeCell ref="AZ15:AZ17"/>
    <mergeCell ref="AG15:AG17"/>
    <mergeCell ref="BG11:BG13"/>
    <mergeCell ref="BH11:BH13"/>
    <mergeCell ref="Y14:Z14"/>
    <mergeCell ref="AC14:AD14"/>
    <mergeCell ref="AG14:AH14"/>
    <mergeCell ref="AK14:AL14"/>
    <mergeCell ref="AO14:AP14"/>
    <mergeCell ref="AS14:AT14"/>
    <mergeCell ref="AW14:AX14"/>
    <mergeCell ref="BA14:BB14"/>
    <mergeCell ref="AW11:AW13"/>
    <mergeCell ref="AX11:AX13"/>
    <mergeCell ref="AY11:AY13"/>
    <mergeCell ref="AZ11:AZ13"/>
    <mergeCell ref="BE11:BE13"/>
    <mergeCell ref="BF11:BF13"/>
    <mergeCell ref="AI11:AI13"/>
    <mergeCell ref="AJ11:AJ13"/>
    <mergeCell ref="AO11:AO13"/>
    <mergeCell ref="AP11:AP13"/>
    <mergeCell ref="AQ11:AQ13"/>
    <mergeCell ref="AR11:AR13"/>
    <mergeCell ref="Y11:Y13"/>
    <mergeCell ref="Z11:Z13"/>
    <mergeCell ref="AQ7:AQ9"/>
    <mergeCell ref="AR7:AR9"/>
    <mergeCell ref="Y7:Y9"/>
    <mergeCell ref="Z7:Z9"/>
    <mergeCell ref="BE10:BF10"/>
    <mergeCell ref="BI10:BJ10"/>
    <mergeCell ref="A11:A13"/>
    <mergeCell ref="B11:B13"/>
    <mergeCell ref="C11:C13"/>
    <mergeCell ref="D11:D13"/>
    <mergeCell ref="E11:E13"/>
    <mergeCell ref="F11:F13"/>
    <mergeCell ref="G11:G13"/>
    <mergeCell ref="H11:H13"/>
    <mergeCell ref="AA11:AA13"/>
    <mergeCell ref="AB11:AB13"/>
    <mergeCell ref="AG11:AG13"/>
    <mergeCell ref="AH11:AH13"/>
    <mergeCell ref="I11:I13"/>
    <mergeCell ref="J11:J13"/>
    <mergeCell ref="K11:K13"/>
    <mergeCell ref="L11:L13"/>
    <mergeCell ref="M11:M13"/>
    <mergeCell ref="N11:N13"/>
    <mergeCell ref="O11:O13"/>
    <mergeCell ref="P11:P13"/>
    <mergeCell ref="V11:V13"/>
    <mergeCell ref="O15:O17"/>
    <mergeCell ref="BG7:BG9"/>
    <mergeCell ref="BH7:BH9"/>
    <mergeCell ref="Y10:Z10"/>
    <mergeCell ref="AC10:AD10"/>
    <mergeCell ref="AG10:AH10"/>
    <mergeCell ref="AK10:AL10"/>
    <mergeCell ref="AO10:AP10"/>
    <mergeCell ref="AS10:AT10"/>
    <mergeCell ref="AW10:AX10"/>
    <mergeCell ref="BA10:BB10"/>
    <mergeCell ref="AW7:AW9"/>
    <mergeCell ref="AX7:AX9"/>
    <mergeCell ref="AY7:AY9"/>
    <mergeCell ref="AZ7:AZ9"/>
    <mergeCell ref="BE7:BE9"/>
    <mergeCell ref="BF7:BF9"/>
    <mergeCell ref="AI7:AI9"/>
    <mergeCell ref="AJ7:AJ9"/>
    <mergeCell ref="AO7:AO9"/>
    <mergeCell ref="AP7:AP9"/>
    <mergeCell ref="AG5:AJ5"/>
    <mergeCell ref="AK5:AN5"/>
    <mergeCell ref="G7:G9"/>
    <mergeCell ref="H7:H9"/>
    <mergeCell ref="I7:I9"/>
    <mergeCell ref="J7:J9"/>
    <mergeCell ref="K7:K9"/>
    <mergeCell ref="L7:L9"/>
    <mergeCell ref="A7:A9"/>
    <mergeCell ref="B7:B9"/>
    <mergeCell ref="C7:C9"/>
    <mergeCell ref="D7:D9"/>
    <mergeCell ref="E7:E9"/>
    <mergeCell ref="F7:F9"/>
    <mergeCell ref="AA7:AA9"/>
    <mergeCell ref="AB7:AB9"/>
    <mergeCell ref="AG7:AG9"/>
    <mergeCell ref="AH7:AH9"/>
    <mergeCell ref="M7:M9"/>
    <mergeCell ref="N7:N9"/>
    <mergeCell ref="O7:O9"/>
    <mergeCell ref="P7:P9"/>
    <mergeCell ref="V7:V9"/>
    <mergeCell ref="W7:W40"/>
    <mergeCell ref="A4:K4"/>
    <mergeCell ref="L4:P5"/>
    <mergeCell ref="Q4:U5"/>
    <mergeCell ref="V4:W5"/>
    <mergeCell ref="X4:X5"/>
    <mergeCell ref="Y4:AF4"/>
    <mergeCell ref="AG4:AN4"/>
    <mergeCell ref="AO4:AV4"/>
    <mergeCell ref="AW4:BD4"/>
    <mergeCell ref="AO5:AR5"/>
    <mergeCell ref="AS5:AV5"/>
    <mergeCell ref="AW5:AZ5"/>
    <mergeCell ref="BA5:BD5"/>
    <mergeCell ref="BE5:BH5"/>
    <mergeCell ref="BI5:BL5"/>
    <mergeCell ref="BE4:BL4"/>
    <mergeCell ref="A5:C5"/>
    <mergeCell ref="E5:F5"/>
    <mergeCell ref="G5:I5"/>
    <mergeCell ref="J5:J6"/>
    <mergeCell ref="K5:K6"/>
    <mergeCell ref="Y5:AB5"/>
    <mergeCell ref="AC5:AF5"/>
    <mergeCell ref="BM10:BN10"/>
    <mergeCell ref="BQ10:BR10"/>
    <mergeCell ref="BM11:BM13"/>
    <mergeCell ref="BN11:BN13"/>
    <mergeCell ref="BO11:BO13"/>
    <mergeCell ref="BP11:BP13"/>
    <mergeCell ref="BM4:BT4"/>
    <mergeCell ref="BM5:BP5"/>
    <mergeCell ref="BQ5:BT5"/>
    <mergeCell ref="BM7:BM9"/>
    <mergeCell ref="BN7:BN9"/>
    <mergeCell ref="BO7:BO9"/>
    <mergeCell ref="BP7:BP9"/>
    <mergeCell ref="BM18:BN18"/>
    <mergeCell ref="BQ18:BR18"/>
    <mergeCell ref="BM19:BM21"/>
    <mergeCell ref="BN19:BN21"/>
    <mergeCell ref="BO19:BO21"/>
    <mergeCell ref="BP19:BP21"/>
    <mergeCell ref="BM14:BN14"/>
    <mergeCell ref="BQ14:BR14"/>
    <mergeCell ref="BM15:BM17"/>
    <mergeCell ref="BN15:BN17"/>
    <mergeCell ref="BO15:BO17"/>
    <mergeCell ref="BP15:BP17"/>
    <mergeCell ref="BM26:BN26"/>
    <mergeCell ref="BQ26:BR26"/>
    <mergeCell ref="BM28:BN28"/>
    <mergeCell ref="BQ28:BR28"/>
    <mergeCell ref="BQ29:BT29"/>
    <mergeCell ref="BQ30:BT30"/>
    <mergeCell ref="BQ31:BT31"/>
    <mergeCell ref="BM22:BN22"/>
    <mergeCell ref="BQ22:BR22"/>
    <mergeCell ref="BM23:BM25"/>
    <mergeCell ref="BN23:BN25"/>
    <mergeCell ref="BO23:BO25"/>
    <mergeCell ref="BP23:BP25"/>
    <mergeCell ref="BQ38:BT38"/>
    <mergeCell ref="BM39:BN39"/>
    <mergeCell ref="BQ39:BR39"/>
    <mergeCell ref="BQ40:BT40"/>
    <mergeCell ref="BM41:BN41"/>
    <mergeCell ref="BQ41:BR41"/>
    <mergeCell ref="BM44:BN44"/>
    <mergeCell ref="BQ44:BR44"/>
    <mergeCell ref="BM32:BN32"/>
    <mergeCell ref="BQ32:BR32"/>
    <mergeCell ref="BQ34:BT34"/>
    <mergeCell ref="BM35:BN35"/>
    <mergeCell ref="BQ35:BR35"/>
    <mergeCell ref="BQ36:BT36"/>
    <mergeCell ref="BQ37:BT37"/>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94548-8B6E-4838-97EA-0FF10A692A4C}">
  <sheetPr>
    <tabColor theme="9" tint="-0.249977111117893"/>
  </sheetPr>
  <dimension ref="A1:EX27"/>
  <sheetViews>
    <sheetView topLeftCell="CK1" workbookViewId="0">
      <selection activeCell="CK4" sqref="CK4:CR4"/>
    </sheetView>
  </sheetViews>
  <sheetFormatPr baseColWidth="10" defaultColWidth="11.42578125" defaultRowHeight="12" x14ac:dyDescent="0.25"/>
  <cols>
    <col min="1" max="1" width="22.42578125" style="75" customWidth="1"/>
    <col min="2" max="2" width="27.140625" style="75" customWidth="1"/>
    <col min="3" max="3" width="30.7109375" style="75" customWidth="1"/>
    <col min="4" max="4" width="27.140625" style="75" customWidth="1"/>
    <col min="5" max="5" width="43.42578125" style="75" customWidth="1"/>
    <col min="6" max="6" width="29.28515625" style="75" customWidth="1"/>
    <col min="7" max="7" width="21.140625" style="75" customWidth="1"/>
    <col min="8" max="8" width="18.7109375" style="75" customWidth="1"/>
    <col min="9" max="9" width="17.28515625" style="100" customWidth="1"/>
    <col min="10" max="10" width="16.85546875" style="75" customWidth="1"/>
    <col min="11" max="11" width="31.28515625" style="75" customWidth="1"/>
    <col min="12" max="12" width="58.42578125" style="75" customWidth="1"/>
    <col min="13" max="13" width="53.42578125" style="75" customWidth="1"/>
    <col min="14" max="14" width="15.85546875" style="75" customWidth="1"/>
    <col min="15" max="15" width="9.28515625" style="75" customWidth="1"/>
    <col min="16" max="16" width="16.28515625" style="75" customWidth="1"/>
    <col min="17" max="17" width="49.140625" style="75" customWidth="1"/>
    <col min="18" max="18" width="50.28515625" style="826" customWidth="1"/>
    <col min="19" max="19" width="17.140625" style="75" customWidth="1"/>
    <col min="20" max="20" width="10.28515625" style="75" customWidth="1"/>
    <col min="21" max="21" width="14.42578125" style="75" bestFit="1" customWidth="1"/>
    <col min="22" max="22" width="19.85546875" style="75" customWidth="1"/>
    <col min="23" max="23" width="21" style="75" customWidth="1"/>
    <col min="24" max="24" width="20.28515625" style="75" customWidth="1"/>
    <col min="25" max="26" width="11.42578125" style="75"/>
    <col min="27" max="27" width="16.7109375" style="75" customWidth="1"/>
    <col min="28" max="28" width="50.140625" style="75" customWidth="1"/>
    <col min="29" max="30" width="11.42578125" style="75"/>
    <col min="31" max="31" width="20" style="75" customWidth="1"/>
    <col min="32" max="32" width="44.85546875" style="75" customWidth="1"/>
    <col min="33" max="35" width="11.42578125" style="75"/>
    <col min="36" max="36" width="87.140625" style="75" customWidth="1"/>
    <col min="37" max="39" width="11.42578125" style="75"/>
    <col min="40" max="40" width="78.140625" style="75" customWidth="1"/>
    <col min="41" max="43" width="11.42578125" style="75"/>
    <col min="44" max="44" width="87.140625" style="75" customWidth="1"/>
    <col min="45" max="47" width="11.42578125" style="75"/>
    <col min="48" max="48" width="78.140625" style="75" customWidth="1"/>
    <col min="49" max="51" width="11.42578125" style="75"/>
    <col min="52" max="52" width="87.140625" style="75" customWidth="1"/>
    <col min="53" max="55" width="11.42578125" style="75"/>
    <col min="56" max="56" width="78.140625" style="75" customWidth="1"/>
    <col min="57" max="59" width="11.42578125" style="75"/>
    <col min="60" max="60" width="87.140625" style="75" customWidth="1"/>
    <col min="61" max="62" width="11.42578125" style="75"/>
    <col min="63" max="63" width="15.140625" style="75" bestFit="1" customWidth="1"/>
    <col min="64" max="64" width="78.140625" style="75" customWidth="1"/>
    <col min="65" max="66" width="11.42578125" style="75"/>
    <col min="67" max="67" width="14.28515625" style="75" customWidth="1"/>
    <col min="68" max="68" width="64.85546875" style="75" customWidth="1"/>
    <col min="69" max="70" width="11.42578125" style="75"/>
    <col min="71" max="71" width="15.140625" style="75" bestFit="1" customWidth="1"/>
    <col min="72" max="72" width="78.140625" style="75" customWidth="1"/>
    <col min="73" max="75" width="11.42578125" style="75"/>
    <col min="76" max="76" width="57" style="75" customWidth="1"/>
    <col min="77" max="79" width="11.42578125" style="75"/>
    <col min="80" max="80" width="50.7109375" style="75" customWidth="1"/>
    <col min="81" max="83" width="11.42578125" style="75"/>
    <col min="84" max="84" width="53.7109375" style="75" customWidth="1"/>
    <col min="85" max="87" width="11.42578125" style="75"/>
    <col min="88" max="88" width="67" style="75" customWidth="1"/>
    <col min="89" max="91" width="11.42578125" style="75"/>
    <col min="92" max="92" width="74.5703125" style="75" customWidth="1"/>
    <col min="93" max="95" width="11.42578125" style="75"/>
    <col min="96" max="96" width="55.5703125" style="75" customWidth="1"/>
    <col min="97" max="16384" width="11.42578125" style="75"/>
  </cols>
  <sheetData>
    <row r="1" spans="1:154" s="1" customFormat="1" ht="15.75" customHeight="1" x14ac:dyDescent="0.25">
      <c r="C1" s="383" t="s">
        <v>0</v>
      </c>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c r="CA1" s="383"/>
      <c r="CB1" s="383"/>
      <c r="CC1" s="383"/>
      <c r="CD1" s="383"/>
      <c r="CE1" s="383"/>
      <c r="CF1" s="383"/>
      <c r="CG1" s="383"/>
      <c r="CH1" s="383"/>
      <c r="CI1" s="383"/>
      <c r="CJ1" s="383"/>
      <c r="CK1" s="383"/>
      <c r="CL1" s="383"/>
      <c r="CM1" s="383"/>
      <c r="CN1" s="383"/>
      <c r="CO1" s="383"/>
      <c r="CP1" s="384"/>
      <c r="CQ1" s="2" t="s">
        <v>1</v>
      </c>
      <c r="CR1" s="3">
        <v>43458</v>
      </c>
    </row>
    <row r="2" spans="1:154" s="1" customFormat="1" ht="36" customHeight="1" x14ac:dyDescent="0.25">
      <c r="C2" s="383"/>
      <c r="D2" s="383"/>
      <c r="E2" s="383"/>
      <c r="F2" s="383"/>
      <c r="G2" s="383"/>
      <c r="H2" s="383"/>
      <c r="I2" s="383"/>
      <c r="J2" s="383"/>
      <c r="K2" s="383"/>
      <c r="L2" s="383"/>
      <c r="M2" s="383"/>
      <c r="N2" s="383"/>
      <c r="O2" s="383"/>
      <c r="P2" s="383"/>
      <c r="Q2" s="383"/>
      <c r="R2" s="383"/>
      <c r="S2" s="383"/>
      <c r="T2" s="383"/>
      <c r="U2" s="383"/>
      <c r="V2" s="383"/>
      <c r="W2" s="383"/>
      <c r="X2" s="383"/>
      <c r="Y2" s="383"/>
      <c r="Z2" s="383"/>
      <c r="AA2" s="383"/>
      <c r="AB2" s="383"/>
      <c r="AC2" s="383"/>
      <c r="AD2" s="383"/>
      <c r="AE2" s="383"/>
      <c r="AF2" s="383"/>
      <c r="AG2" s="383"/>
      <c r="AH2" s="383"/>
      <c r="AI2" s="383"/>
      <c r="AJ2" s="383"/>
      <c r="AK2" s="383"/>
      <c r="AL2" s="383"/>
      <c r="AM2" s="383"/>
      <c r="AN2" s="383"/>
      <c r="AO2" s="383"/>
      <c r="AP2" s="383"/>
      <c r="AQ2" s="383"/>
      <c r="AR2" s="383"/>
      <c r="AS2" s="383"/>
      <c r="AT2" s="383"/>
      <c r="AU2" s="383"/>
      <c r="AV2" s="383"/>
      <c r="AW2" s="383"/>
      <c r="AX2" s="383"/>
      <c r="AY2" s="383"/>
      <c r="AZ2" s="383"/>
      <c r="BA2" s="383"/>
      <c r="BB2" s="383"/>
      <c r="BC2" s="383"/>
      <c r="BD2" s="383"/>
      <c r="BE2" s="383"/>
      <c r="BF2" s="383"/>
      <c r="BG2" s="383"/>
      <c r="BH2" s="383"/>
      <c r="BI2" s="383"/>
      <c r="BJ2" s="383"/>
      <c r="BK2" s="383"/>
      <c r="BL2" s="383"/>
      <c r="BM2" s="383"/>
      <c r="BN2" s="383"/>
      <c r="BO2" s="383"/>
      <c r="BP2" s="383"/>
      <c r="BQ2" s="383"/>
      <c r="BR2" s="383"/>
      <c r="BS2" s="383"/>
      <c r="BT2" s="383"/>
      <c r="BU2" s="383"/>
      <c r="BV2" s="383"/>
      <c r="BW2" s="383"/>
      <c r="BX2" s="383"/>
      <c r="BY2" s="383"/>
      <c r="BZ2" s="383"/>
      <c r="CA2" s="383"/>
      <c r="CB2" s="383"/>
      <c r="CC2" s="383"/>
      <c r="CD2" s="383"/>
      <c r="CE2" s="383"/>
      <c r="CF2" s="383"/>
      <c r="CG2" s="383"/>
      <c r="CH2" s="383"/>
      <c r="CI2" s="383"/>
      <c r="CJ2" s="383"/>
      <c r="CK2" s="383"/>
      <c r="CL2" s="383"/>
      <c r="CM2" s="383"/>
      <c r="CN2" s="383"/>
      <c r="CO2" s="383"/>
      <c r="CP2" s="384"/>
      <c r="CQ2" s="2" t="s">
        <v>2</v>
      </c>
      <c r="CR2" s="2">
        <v>5</v>
      </c>
      <c r="CS2" s="75"/>
      <c r="CT2" s="75"/>
      <c r="CU2" s="75"/>
      <c r="CV2" s="75"/>
      <c r="CW2" s="75"/>
      <c r="CX2" s="75"/>
      <c r="CY2" s="75"/>
      <c r="CZ2" s="75"/>
      <c r="DA2" s="75"/>
      <c r="DB2" s="75"/>
      <c r="DC2" s="75"/>
      <c r="DD2" s="75"/>
      <c r="DE2" s="75"/>
      <c r="DF2" s="75"/>
      <c r="DG2" s="75"/>
      <c r="DH2" s="75"/>
      <c r="DI2" s="75"/>
      <c r="DJ2" s="75"/>
      <c r="DK2" s="75"/>
      <c r="DL2" s="75"/>
      <c r="DM2" s="75"/>
      <c r="DN2" s="75"/>
      <c r="DO2" s="75"/>
      <c r="DP2" s="75"/>
      <c r="DQ2" s="75"/>
      <c r="DR2" s="75"/>
      <c r="DS2" s="75"/>
      <c r="DT2" s="75"/>
      <c r="DU2" s="75"/>
      <c r="DV2" s="75"/>
      <c r="DW2" s="75"/>
      <c r="DX2" s="75"/>
      <c r="DY2" s="75"/>
      <c r="DZ2" s="75"/>
      <c r="EA2" s="75"/>
      <c r="EB2" s="75"/>
      <c r="EC2" s="75"/>
      <c r="ED2" s="75"/>
      <c r="EE2" s="75"/>
      <c r="EF2" s="75"/>
      <c r="EG2" s="75"/>
      <c r="EH2" s="75"/>
      <c r="EI2" s="75"/>
      <c r="EJ2" s="75"/>
      <c r="EK2" s="75"/>
      <c r="EL2" s="75"/>
      <c r="EM2" s="75"/>
      <c r="EN2" s="75"/>
      <c r="EO2" s="75"/>
      <c r="EP2" s="75"/>
      <c r="EQ2" s="75"/>
      <c r="ER2" s="75"/>
      <c r="ES2" s="75"/>
      <c r="ET2" s="75"/>
      <c r="EU2" s="75"/>
      <c r="EV2" s="75"/>
      <c r="EW2" s="75"/>
      <c r="EX2" s="75"/>
    </row>
    <row r="3" spans="1:154" s="1" customFormat="1" ht="48.75" customHeight="1" x14ac:dyDescent="0.25">
      <c r="C3" s="383"/>
      <c r="D3" s="383"/>
      <c r="E3" s="383"/>
      <c r="F3" s="383"/>
      <c r="G3" s="383"/>
      <c r="H3" s="383"/>
      <c r="I3" s="383"/>
      <c r="J3" s="383"/>
      <c r="K3" s="383"/>
      <c r="L3" s="383"/>
      <c r="M3" s="383"/>
      <c r="N3" s="383"/>
      <c r="O3" s="383"/>
      <c r="P3" s="383"/>
      <c r="Q3" s="383"/>
      <c r="R3" s="383"/>
      <c r="S3" s="383"/>
      <c r="T3" s="383"/>
      <c r="U3" s="383"/>
      <c r="V3" s="383"/>
      <c r="W3" s="383"/>
      <c r="X3" s="383"/>
      <c r="Y3" s="383"/>
      <c r="Z3" s="383"/>
      <c r="AA3" s="383"/>
      <c r="AB3" s="383"/>
      <c r="AC3" s="383"/>
      <c r="AD3" s="383"/>
      <c r="AE3" s="383"/>
      <c r="AF3" s="383"/>
      <c r="AG3" s="383"/>
      <c r="AH3" s="383"/>
      <c r="AI3" s="383"/>
      <c r="AJ3" s="383"/>
      <c r="AK3" s="383"/>
      <c r="AL3" s="383"/>
      <c r="AM3" s="383"/>
      <c r="AN3" s="383"/>
      <c r="AO3" s="383"/>
      <c r="AP3" s="383"/>
      <c r="AQ3" s="383"/>
      <c r="AR3" s="383"/>
      <c r="AS3" s="383"/>
      <c r="AT3" s="383"/>
      <c r="AU3" s="383"/>
      <c r="AV3" s="383"/>
      <c r="AW3" s="383"/>
      <c r="AX3" s="383"/>
      <c r="AY3" s="383"/>
      <c r="AZ3" s="383"/>
      <c r="BA3" s="383"/>
      <c r="BB3" s="383"/>
      <c r="BC3" s="383"/>
      <c r="BD3" s="383"/>
      <c r="BE3" s="383"/>
      <c r="BF3" s="383"/>
      <c r="BG3" s="383"/>
      <c r="BH3" s="383"/>
      <c r="BI3" s="383"/>
      <c r="BJ3" s="383"/>
      <c r="BK3" s="383"/>
      <c r="BL3" s="383"/>
      <c r="BM3" s="383"/>
      <c r="BN3" s="383"/>
      <c r="BO3" s="383"/>
      <c r="BP3" s="383"/>
      <c r="BQ3" s="383"/>
      <c r="BR3" s="383"/>
      <c r="BS3" s="383"/>
      <c r="BT3" s="383"/>
      <c r="BU3" s="383"/>
      <c r="BV3" s="383"/>
      <c r="BW3" s="383"/>
      <c r="BX3" s="383"/>
      <c r="BY3" s="383"/>
      <c r="BZ3" s="383"/>
      <c r="CA3" s="383"/>
      <c r="CB3" s="383"/>
      <c r="CC3" s="383"/>
      <c r="CD3" s="383"/>
      <c r="CE3" s="383"/>
      <c r="CF3" s="383"/>
      <c r="CG3" s="383"/>
      <c r="CH3" s="383"/>
      <c r="CI3" s="383"/>
      <c r="CJ3" s="383"/>
      <c r="CK3" s="383"/>
      <c r="CL3" s="383"/>
      <c r="CM3" s="383"/>
      <c r="CN3" s="383"/>
      <c r="CO3" s="383"/>
      <c r="CP3" s="384"/>
      <c r="CQ3" s="2" t="s">
        <v>3</v>
      </c>
      <c r="CR3" s="2" t="s">
        <v>4</v>
      </c>
      <c r="CS3" s="75"/>
      <c r="CT3" s="75"/>
      <c r="CU3" s="75"/>
      <c r="CV3" s="75"/>
      <c r="CW3" s="75"/>
      <c r="CX3" s="75"/>
      <c r="CY3" s="75"/>
      <c r="CZ3" s="75"/>
      <c r="DA3" s="75"/>
      <c r="DB3" s="75"/>
      <c r="DC3" s="75"/>
      <c r="DD3" s="75"/>
      <c r="DE3" s="75"/>
      <c r="DF3" s="75"/>
      <c r="DG3" s="75"/>
      <c r="DH3" s="75"/>
      <c r="DI3" s="75"/>
      <c r="DJ3" s="75"/>
      <c r="DK3" s="75"/>
      <c r="DL3" s="75"/>
      <c r="DM3" s="75"/>
      <c r="DN3" s="75"/>
      <c r="DO3" s="75"/>
      <c r="DP3" s="75"/>
      <c r="DQ3" s="75"/>
      <c r="DR3" s="75"/>
      <c r="DS3" s="75"/>
      <c r="DT3" s="75"/>
      <c r="DU3" s="75"/>
      <c r="DV3" s="75"/>
      <c r="DW3" s="75"/>
      <c r="DX3" s="75"/>
      <c r="DY3" s="75"/>
      <c r="DZ3" s="75"/>
      <c r="EA3" s="75"/>
      <c r="EB3" s="75"/>
      <c r="EC3" s="75"/>
      <c r="ED3" s="75"/>
      <c r="EE3" s="75"/>
      <c r="EF3" s="75"/>
      <c r="EG3" s="75"/>
      <c r="EH3" s="75"/>
      <c r="EI3" s="75"/>
      <c r="EJ3" s="75"/>
      <c r="EK3" s="75"/>
      <c r="EL3" s="75"/>
      <c r="EM3" s="75"/>
      <c r="EN3" s="75"/>
      <c r="EO3" s="75"/>
      <c r="EP3" s="75"/>
      <c r="EQ3" s="75"/>
      <c r="ER3" s="75"/>
      <c r="ES3" s="75"/>
      <c r="ET3" s="75"/>
      <c r="EU3" s="75"/>
      <c r="EV3" s="75"/>
      <c r="EW3" s="75"/>
      <c r="EX3" s="75"/>
    </row>
    <row r="4" spans="1:154" s="5" customFormat="1" ht="15" x14ac:dyDescent="0.25">
      <c r="A4" s="419" t="s">
        <v>5</v>
      </c>
      <c r="B4" s="420"/>
      <c r="C4" s="420"/>
      <c r="D4" s="420"/>
      <c r="E4" s="420"/>
      <c r="F4" s="420"/>
      <c r="G4" s="420"/>
      <c r="H4" s="420"/>
      <c r="I4" s="420"/>
      <c r="J4" s="420"/>
      <c r="K4" s="421"/>
      <c r="L4" s="422" t="s">
        <v>6</v>
      </c>
      <c r="M4" s="423"/>
      <c r="N4" s="423"/>
      <c r="O4" s="423"/>
      <c r="P4" s="424"/>
      <c r="Q4" s="422" t="s">
        <v>7</v>
      </c>
      <c r="R4" s="423"/>
      <c r="S4" s="423"/>
      <c r="T4" s="423"/>
      <c r="U4" s="424"/>
      <c r="V4" s="597" t="s">
        <v>8</v>
      </c>
      <c r="W4" s="598"/>
      <c r="X4" s="429" t="s">
        <v>9</v>
      </c>
      <c r="Y4" s="399" t="s">
        <v>10</v>
      </c>
      <c r="Z4" s="400"/>
      <c r="AA4" s="400"/>
      <c r="AB4" s="400"/>
      <c r="AC4" s="400"/>
      <c r="AD4" s="400"/>
      <c r="AE4" s="400"/>
      <c r="AF4" s="401"/>
      <c r="AG4" s="399" t="s">
        <v>11</v>
      </c>
      <c r="AH4" s="400"/>
      <c r="AI4" s="400"/>
      <c r="AJ4" s="400"/>
      <c r="AK4" s="400"/>
      <c r="AL4" s="400"/>
      <c r="AM4" s="400"/>
      <c r="AN4" s="401"/>
      <c r="AO4" s="399" t="s">
        <v>12</v>
      </c>
      <c r="AP4" s="400"/>
      <c r="AQ4" s="400"/>
      <c r="AR4" s="400"/>
      <c r="AS4" s="400"/>
      <c r="AT4" s="400"/>
      <c r="AU4" s="400"/>
      <c r="AV4" s="401"/>
      <c r="AW4" s="399" t="s">
        <v>13</v>
      </c>
      <c r="AX4" s="400"/>
      <c r="AY4" s="400"/>
      <c r="AZ4" s="400"/>
      <c r="BA4" s="400"/>
      <c r="BB4" s="400"/>
      <c r="BC4" s="400"/>
      <c r="BD4" s="401"/>
      <c r="BE4" s="399" t="s">
        <v>14</v>
      </c>
      <c r="BF4" s="400"/>
      <c r="BG4" s="400"/>
      <c r="BH4" s="400"/>
      <c r="BI4" s="400"/>
      <c r="BJ4" s="400"/>
      <c r="BK4" s="400"/>
      <c r="BL4" s="401"/>
      <c r="BM4" s="399" t="s">
        <v>15</v>
      </c>
      <c r="BN4" s="400"/>
      <c r="BO4" s="400"/>
      <c r="BP4" s="400"/>
      <c r="BQ4" s="400"/>
      <c r="BR4" s="400"/>
      <c r="BS4" s="400"/>
      <c r="BT4" s="401"/>
      <c r="BU4" s="399" t="s">
        <v>16</v>
      </c>
      <c r="BV4" s="400"/>
      <c r="BW4" s="400"/>
      <c r="BX4" s="400"/>
      <c r="BY4" s="400"/>
      <c r="BZ4" s="400"/>
      <c r="CA4" s="400"/>
      <c r="CB4" s="401"/>
      <c r="CC4" s="399" t="s">
        <v>382</v>
      </c>
      <c r="CD4" s="400"/>
      <c r="CE4" s="400"/>
      <c r="CF4" s="400"/>
      <c r="CG4" s="400"/>
      <c r="CH4" s="400"/>
      <c r="CI4" s="400"/>
      <c r="CJ4" s="401"/>
      <c r="CK4" s="399" t="s">
        <v>595</v>
      </c>
      <c r="CL4" s="400"/>
      <c r="CM4" s="400"/>
      <c r="CN4" s="400"/>
      <c r="CO4" s="400"/>
      <c r="CP4" s="400"/>
      <c r="CQ4" s="400"/>
      <c r="CR4" s="401"/>
      <c r="CS4" s="75"/>
      <c r="CT4" s="75"/>
      <c r="CU4" s="75"/>
      <c r="CV4" s="75"/>
      <c r="CW4" s="75"/>
      <c r="CX4" s="75"/>
      <c r="CY4" s="75"/>
      <c r="CZ4" s="75"/>
      <c r="DA4" s="75"/>
      <c r="DB4" s="75"/>
      <c r="DC4" s="75"/>
      <c r="DD4" s="75"/>
      <c r="DE4" s="75"/>
      <c r="DF4" s="75"/>
      <c r="DG4" s="75"/>
      <c r="DH4" s="75"/>
      <c r="DI4" s="75"/>
      <c r="DJ4" s="75"/>
      <c r="DK4" s="75"/>
      <c r="DL4" s="75"/>
      <c r="DM4" s="75"/>
      <c r="DN4" s="75"/>
      <c r="DO4" s="75"/>
      <c r="DP4" s="75"/>
      <c r="DQ4" s="75"/>
      <c r="DR4" s="75"/>
      <c r="DS4" s="75"/>
      <c r="DT4" s="75"/>
      <c r="DU4" s="75"/>
      <c r="DV4" s="75"/>
      <c r="DW4" s="75"/>
      <c r="DX4" s="75"/>
      <c r="DY4" s="75"/>
      <c r="DZ4" s="75"/>
      <c r="EA4" s="75"/>
      <c r="EB4" s="75"/>
      <c r="EC4" s="75"/>
      <c r="ED4" s="75"/>
      <c r="EE4" s="75"/>
      <c r="EF4" s="75"/>
      <c r="EG4" s="75"/>
      <c r="EH4" s="75"/>
      <c r="EI4" s="75"/>
      <c r="EJ4" s="75"/>
      <c r="EK4" s="75"/>
      <c r="EL4" s="75"/>
      <c r="EM4" s="75"/>
      <c r="EN4" s="75"/>
      <c r="EO4" s="75"/>
      <c r="EP4" s="75"/>
      <c r="EQ4" s="75"/>
      <c r="ER4" s="75"/>
      <c r="ES4" s="75"/>
      <c r="ET4" s="75"/>
      <c r="EU4" s="75"/>
      <c r="EV4" s="75"/>
      <c r="EW4" s="75"/>
      <c r="EX4" s="75"/>
    </row>
    <row r="5" spans="1:154" s="372" customFormat="1" ht="15" x14ac:dyDescent="0.25">
      <c r="A5" s="402" t="s">
        <v>17</v>
      </c>
      <c r="B5" s="403"/>
      <c r="C5" s="406"/>
      <c r="D5" s="370" t="s">
        <v>18</v>
      </c>
      <c r="E5" s="402" t="s">
        <v>19</v>
      </c>
      <c r="F5" s="406"/>
      <c r="G5" s="402" t="s">
        <v>20</v>
      </c>
      <c r="H5" s="403"/>
      <c r="I5" s="406"/>
      <c r="J5" s="417" t="s">
        <v>21</v>
      </c>
      <c r="K5" s="417" t="s">
        <v>22</v>
      </c>
      <c r="L5" s="399"/>
      <c r="M5" s="400"/>
      <c r="N5" s="400"/>
      <c r="O5" s="400"/>
      <c r="P5" s="401"/>
      <c r="Q5" s="399"/>
      <c r="R5" s="400"/>
      <c r="S5" s="400"/>
      <c r="T5" s="400"/>
      <c r="U5" s="401"/>
      <c r="V5" s="599"/>
      <c r="W5" s="600"/>
      <c r="X5" s="430"/>
      <c r="Y5" s="402" t="s">
        <v>23</v>
      </c>
      <c r="Z5" s="403"/>
      <c r="AA5" s="403"/>
      <c r="AB5" s="404"/>
      <c r="AC5" s="405" t="s">
        <v>24</v>
      </c>
      <c r="AD5" s="403"/>
      <c r="AE5" s="403"/>
      <c r="AF5" s="406"/>
      <c r="AG5" s="402" t="s">
        <v>23</v>
      </c>
      <c r="AH5" s="403"/>
      <c r="AI5" s="403"/>
      <c r="AJ5" s="404"/>
      <c r="AK5" s="405" t="s">
        <v>24</v>
      </c>
      <c r="AL5" s="403"/>
      <c r="AM5" s="403"/>
      <c r="AN5" s="406"/>
      <c r="AO5" s="402" t="s">
        <v>23</v>
      </c>
      <c r="AP5" s="403"/>
      <c r="AQ5" s="403"/>
      <c r="AR5" s="404"/>
      <c r="AS5" s="405" t="s">
        <v>24</v>
      </c>
      <c r="AT5" s="403"/>
      <c r="AU5" s="403"/>
      <c r="AV5" s="406"/>
      <c r="AW5" s="402" t="s">
        <v>23</v>
      </c>
      <c r="AX5" s="403"/>
      <c r="AY5" s="403"/>
      <c r="AZ5" s="404"/>
      <c r="BA5" s="405" t="s">
        <v>24</v>
      </c>
      <c r="BB5" s="403"/>
      <c r="BC5" s="403"/>
      <c r="BD5" s="406"/>
      <c r="BE5" s="402" t="s">
        <v>23</v>
      </c>
      <c r="BF5" s="403"/>
      <c r="BG5" s="403"/>
      <c r="BH5" s="404"/>
      <c r="BI5" s="405" t="s">
        <v>24</v>
      </c>
      <c r="BJ5" s="403"/>
      <c r="BK5" s="403"/>
      <c r="BL5" s="406"/>
      <c r="BM5" s="402" t="s">
        <v>23</v>
      </c>
      <c r="BN5" s="403"/>
      <c r="BO5" s="403"/>
      <c r="BP5" s="404"/>
      <c r="BQ5" s="405" t="s">
        <v>24</v>
      </c>
      <c r="BR5" s="403"/>
      <c r="BS5" s="403"/>
      <c r="BT5" s="406"/>
      <c r="BU5" s="402" t="s">
        <v>23</v>
      </c>
      <c r="BV5" s="403"/>
      <c r="BW5" s="403"/>
      <c r="BX5" s="404"/>
      <c r="BY5" s="405" t="s">
        <v>24</v>
      </c>
      <c r="BZ5" s="403"/>
      <c r="CA5" s="403"/>
      <c r="CB5" s="406"/>
      <c r="CC5" s="402" t="s">
        <v>23</v>
      </c>
      <c r="CD5" s="403"/>
      <c r="CE5" s="403"/>
      <c r="CF5" s="404"/>
      <c r="CG5" s="405" t="s">
        <v>24</v>
      </c>
      <c r="CH5" s="403"/>
      <c r="CI5" s="403"/>
      <c r="CJ5" s="406"/>
      <c r="CK5" s="402" t="s">
        <v>23</v>
      </c>
      <c r="CL5" s="403"/>
      <c r="CM5" s="403"/>
      <c r="CN5" s="404"/>
      <c r="CO5" s="405" t="s">
        <v>24</v>
      </c>
      <c r="CP5" s="403"/>
      <c r="CQ5" s="403"/>
      <c r="CR5" s="406"/>
      <c r="CS5" s="75"/>
      <c r="CT5" s="75"/>
      <c r="CU5" s="75"/>
      <c r="CV5" s="75"/>
      <c r="CW5" s="75"/>
      <c r="CX5" s="75"/>
      <c r="CY5" s="75"/>
      <c r="CZ5" s="75"/>
      <c r="DA5" s="75"/>
      <c r="DB5" s="75"/>
      <c r="DC5" s="75"/>
      <c r="DD5" s="75"/>
      <c r="DE5" s="75"/>
      <c r="DF5" s="75"/>
      <c r="DG5" s="75"/>
      <c r="DH5" s="75"/>
      <c r="DI5" s="75"/>
      <c r="DJ5" s="75"/>
      <c r="DK5" s="75"/>
      <c r="DL5" s="75"/>
      <c r="DM5" s="75"/>
      <c r="DN5" s="75"/>
      <c r="DO5" s="75"/>
      <c r="DP5" s="75"/>
      <c r="DQ5" s="75"/>
      <c r="DR5" s="75"/>
      <c r="DS5" s="75"/>
      <c r="DT5" s="75"/>
      <c r="DU5" s="75"/>
      <c r="DV5" s="75"/>
      <c r="DW5" s="75"/>
      <c r="DX5" s="75"/>
      <c r="DY5" s="75"/>
      <c r="DZ5" s="75"/>
      <c r="EA5" s="75"/>
      <c r="EB5" s="75"/>
      <c r="EC5" s="75"/>
      <c r="ED5" s="75"/>
      <c r="EE5" s="75"/>
      <c r="EF5" s="75"/>
      <c r="EG5" s="75"/>
      <c r="EH5" s="75"/>
      <c r="EI5" s="75"/>
      <c r="EJ5" s="75"/>
      <c r="EK5" s="75"/>
      <c r="EL5" s="75"/>
      <c r="EM5" s="75"/>
      <c r="EN5" s="75"/>
      <c r="EO5" s="75"/>
      <c r="EP5" s="75"/>
      <c r="EQ5" s="75"/>
      <c r="ER5" s="75"/>
      <c r="ES5" s="75"/>
      <c r="ET5" s="75"/>
      <c r="EU5" s="75"/>
      <c r="EV5" s="75"/>
      <c r="EW5" s="75"/>
      <c r="EX5" s="75"/>
    </row>
    <row r="6" spans="1:154" s="5" customFormat="1" ht="15" x14ac:dyDescent="0.25">
      <c r="A6" s="371" t="s">
        <v>25</v>
      </c>
      <c r="B6" s="371" t="s">
        <v>26</v>
      </c>
      <c r="C6" s="371" t="s">
        <v>27</v>
      </c>
      <c r="D6" s="371" t="s">
        <v>28</v>
      </c>
      <c r="E6" s="371" t="s">
        <v>29</v>
      </c>
      <c r="F6" s="371" t="s">
        <v>30</v>
      </c>
      <c r="G6" s="371" t="s">
        <v>31</v>
      </c>
      <c r="H6" s="371" t="s">
        <v>32</v>
      </c>
      <c r="I6" s="371" t="s">
        <v>33</v>
      </c>
      <c r="J6" s="418"/>
      <c r="K6" s="418"/>
      <c r="L6" s="371" t="s">
        <v>6</v>
      </c>
      <c r="M6" s="371" t="s">
        <v>34</v>
      </c>
      <c r="N6" s="371" t="s">
        <v>35</v>
      </c>
      <c r="O6" s="371" t="s">
        <v>36</v>
      </c>
      <c r="P6" s="371" t="s">
        <v>37</v>
      </c>
      <c r="Q6" s="371" t="s">
        <v>7</v>
      </c>
      <c r="R6" s="371" t="s">
        <v>38</v>
      </c>
      <c r="S6" s="371" t="s">
        <v>35</v>
      </c>
      <c r="T6" s="371" t="s">
        <v>36</v>
      </c>
      <c r="U6" s="371" t="s">
        <v>39</v>
      </c>
      <c r="V6" s="766" t="s">
        <v>40</v>
      </c>
      <c r="W6" s="766" t="s">
        <v>41</v>
      </c>
      <c r="X6" s="371" t="s">
        <v>42</v>
      </c>
      <c r="Y6" s="371" t="s">
        <v>43</v>
      </c>
      <c r="Z6" s="371" t="s">
        <v>44</v>
      </c>
      <c r="AA6" s="371" t="s">
        <v>45</v>
      </c>
      <c r="AB6" s="371" t="s">
        <v>46</v>
      </c>
      <c r="AC6" s="371" t="s">
        <v>43</v>
      </c>
      <c r="AD6" s="371" t="s">
        <v>44</v>
      </c>
      <c r="AE6" s="371" t="s">
        <v>45</v>
      </c>
      <c r="AF6" s="371" t="s">
        <v>46</v>
      </c>
      <c r="AG6" s="371" t="s">
        <v>43</v>
      </c>
      <c r="AH6" s="371" t="s">
        <v>44</v>
      </c>
      <c r="AI6" s="371" t="s">
        <v>45</v>
      </c>
      <c r="AJ6" s="371" t="s">
        <v>46</v>
      </c>
      <c r="AK6" s="371" t="s">
        <v>43</v>
      </c>
      <c r="AL6" s="371" t="s">
        <v>44</v>
      </c>
      <c r="AM6" s="371" t="s">
        <v>45</v>
      </c>
      <c r="AN6" s="371"/>
      <c r="AO6" s="371" t="s">
        <v>43</v>
      </c>
      <c r="AP6" s="371" t="s">
        <v>44</v>
      </c>
      <c r="AQ6" s="371" t="s">
        <v>45</v>
      </c>
      <c r="AR6" s="371" t="s">
        <v>46</v>
      </c>
      <c r="AS6" s="371" t="s">
        <v>43</v>
      </c>
      <c r="AT6" s="371" t="s">
        <v>44</v>
      </c>
      <c r="AU6" s="371" t="s">
        <v>45</v>
      </c>
      <c r="AV6" s="371" t="s">
        <v>46</v>
      </c>
      <c r="AW6" s="371" t="s">
        <v>43</v>
      </c>
      <c r="AX6" s="371" t="s">
        <v>44</v>
      </c>
      <c r="AY6" s="371" t="s">
        <v>45</v>
      </c>
      <c r="AZ6" s="371" t="s">
        <v>46</v>
      </c>
      <c r="BA6" s="371" t="s">
        <v>43</v>
      </c>
      <c r="BB6" s="371" t="s">
        <v>44</v>
      </c>
      <c r="BC6" s="371" t="s">
        <v>45</v>
      </c>
      <c r="BD6" s="371" t="s">
        <v>46</v>
      </c>
      <c r="BE6" s="371" t="s">
        <v>43</v>
      </c>
      <c r="BF6" s="371" t="s">
        <v>44</v>
      </c>
      <c r="BG6" s="371" t="s">
        <v>45</v>
      </c>
      <c r="BH6" s="371" t="s">
        <v>46</v>
      </c>
      <c r="BI6" s="371" t="s">
        <v>43</v>
      </c>
      <c r="BJ6" s="371" t="s">
        <v>44</v>
      </c>
      <c r="BK6" s="371" t="s">
        <v>45</v>
      </c>
      <c r="BL6" s="371" t="s">
        <v>46</v>
      </c>
      <c r="BM6" s="371" t="s">
        <v>43</v>
      </c>
      <c r="BN6" s="371" t="s">
        <v>44</v>
      </c>
      <c r="BO6" s="371" t="s">
        <v>45</v>
      </c>
      <c r="BP6" s="371" t="s">
        <v>46</v>
      </c>
      <c r="BQ6" s="371" t="s">
        <v>43</v>
      </c>
      <c r="BR6" s="371" t="s">
        <v>44</v>
      </c>
      <c r="BS6" s="371" t="s">
        <v>45</v>
      </c>
      <c r="BT6" s="371" t="s">
        <v>46</v>
      </c>
      <c r="BU6" s="371" t="s">
        <v>43</v>
      </c>
      <c r="BV6" s="371" t="s">
        <v>44</v>
      </c>
      <c r="BW6" s="371" t="s">
        <v>45</v>
      </c>
      <c r="BX6" s="371" t="s">
        <v>46</v>
      </c>
      <c r="BY6" s="371" t="s">
        <v>43</v>
      </c>
      <c r="BZ6" s="371" t="s">
        <v>44</v>
      </c>
      <c r="CA6" s="371" t="s">
        <v>45</v>
      </c>
      <c r="CB6" s="371" t="s">
        <v>46</v>
      </c>
      <c r="CC6" s="371" t="s">
        <v>43</v>
      </c>
      <c r="CD6" s="371" t="s">
        <v>44</v>
      </c>
      <c r="CE6" s="371" t="s">
        <v>45</v>
      </c>
      <c r="CF6" s="371" t="s">
        <v>46</v>
      </c>
      <c r="CG6" s="371" t="s">
        <v>43</v>
      </c>
      <c r="CH6" s="371" t="s">
        <v>44</v>
      </c>
      <c r="CI6" s="371" t="s">
        <v>45</v>
      </c>
      <c r="CJ6" s="371" t="s">
        <v>46</v>
      </c>
      <c r="CK6" s="371" t="s">
        <v>43</v>
      </c>
      <c r="CL6" s="371" t="s">
        <v>44</v>
      </c>
      <c r="CM6" s="371" t="s">
        <v>45</v>
      </c>
      <c r="CN6" s="371" t="s">
        <v>46</v>
      </c>
      <c r="CO6" s="371" t="s">
        <v>43</v>
      </c>
      <c r="CP6" s="371" t="s">
        <v>44</v>
      </c>
      <c r="CQ6" s="371" t="s">
        <v>45</v>
      </c>
      <c r="CR6" s="371" t="s">
        <v>46</v>
      </c>
      <c r="CS6" s="75"/>
      <c r="CT6" s="75"/>
      <c r="CU6" s="75"/>
      <c r="CV6" s="75"/>
      <c r="CW6" s="75"/>
      <c r="CX6" s="75"/>
      <c r="CY6" s="75"/>
      <c r="CZ6" s="75"/>
      <c r="DA6" s="75"/>
      <c r="DB6" s="75"/>
      <c r="DC6" s="75"/>
      <c r="DD6" s="75"/>
      <c r="DE6" s="75"/>
      <c r="DF6" s="75"/>
      <c r="DG6" s="75"/>
      <c r="DH6" s="75"/>
      <c r="DI6" s="75"/>
      <c r="DJ6" s="75"/>
      <c r="DK6" s="75"/>
      <c r="DL6" s="75"/>
      <c r="DM6" s="75"/>
      <c r="DN6" s="75"/>
      <c r="DO6" s="75"/>
      <c r="DP6" s="75"/>
      <c r="DQ6" s="75"/>
      <c r="DR6" s="75"/>
      <c r="DS6" s="75"/>
      <c r="DT6" s="75"/>
      <c r="DU6" s="75"/>
      <c r="DV6" s="75"/>
      <c r="DW6" s="75"/>
      <c r="DX6" s="75"/>
      <c r="DY6" s="75"/>
      <c r="DZ6" s="75"/>
      <c r="EA6" s="75"/>
      <c r="EB6" s="75"/>
      <c r="EC6" s="75"/>
      <c r="ED6" s="75"/>
      <c r="EE6" s="75"/>
      <c r="EF6" s="75"/>
      <c r="EG6" s="75"/>
      <c r="EH6" s="75"/>
      <c r="EI6" s="75"/>
      <c r="EJ6" s="75"/>
      <c r="EK6" s="75"/>
      <c r="EL6" s="75"/>
      <c r="EM6" s="75"/>
      <c r="EN6" s="75"/>
      <c r="EO6" s="75"/>
      <c r="EP6" s="75"/>
      <c r="EQ6" s="75"/>
      <c r="ER6" s="75"/>
      <c r="ES6" s="75"/>
      <c r="ET6" s="75"/>
      <c r="EU6" s="75"/>
      <c r="EV6" s="75"/>
      <c r="EW6" s="75"/>
      <c r="EX6" s="75"/>
    </row>
    <row r="7" spans="1:154" s="18" customFormat="1" ht="144" x14ac:dyDescent="0.25">
      <c r="A7" s="767" t="s">
        <v>47</v>
      </c>
      <c r="B7" s="767" t="s">
        <v>48</v>
      </c>
      <c r="C7" s="767" t="s">
        <v>49</v>
      </c>
      <c r="D7" s="767" t="s">
        <v>50</v>
      </c>
      <c r="E7" s="768" t="s">
        <v>1632</v>
      </c>
      <c r="F7" s="767" t="s">
        <v>52</v>
      </c>
      <c r="G7" s="768" t="s">
        <v>53</v>
      </c>
      <c r="H7" s="767" t="s">
        <v>1633</v>
      </c>
      <c r="I7" s="767" t="s">
        <v>55</v>
      </c>
      <c r="J7" s="767" t="s">
        <v>1634</v>
      </c>
      <c r="K7" s="767" t="s">
        <v>1635</v>
      </c>
      <c r="L7" s="767" t="s">
        <v>1636</v>
      </c>
      <c r="M7" s="767" t="s">
        <v>1637</v>
      </c>
      <c r="N7" s="768" t="s">
        <v>60</v>
      </c>
      <c r="O7" s="768">
        <v>0</v>
      </c>
      <c r="P7" s="768">
        <v>21422</v>
      </c>
      <c r="Q7" s="769" t="s">
        <v>1638</v>
      </c>
      <c r="R7" s="770" t="s">
        <v>1639</v>
      </c>
      <c r="S7" s="771" t="s">
        <v>60</v>
      </c>
      <c r="T7" s="771">
        <v>0</v>
      </c>
      <c r="U7" s="771">
        <v>2700</v>
      </c>
      <c r="V7" s="772">
        <v>5547112474</v>
      </c>
      <c r="W7" s="773">
        <v>12419404538</v>
      </c>
      <c r="X7" s="774" t="s">
        <v>1640</v>
      </c>
      <c r="Y7" s="768">
        <v>1752</v>
      </c>
      <c r="Z7" s="768">
        <v>21422</v>
      </c>
      <c r="AA7" s="775">
        <f>Y7/Z7</f>
        <v>8.1785080758099149E-2</v>
      </c>
      <c r="AB7" s="767" t="s">
        <v>1641</v>
      </c>
      <c r="AC7" s="776">
        <v>140</v>
      </c>
      <c r="AD7" s="771">
        <v>2700</v>
      </c>
      <c r="AE7" s="777">
        <f>AC7/AD7</f>
        <v>5.185185185185185E-2</v>
      </c>
      <c r="AF7" s="778" t="s">
        <v>1642</v>
      </c>
      <c r="AG7" s="768">
        <v>3515</v>
      </c>
      <c r="AH7" s="768">
        <v>21422</v>
      </c>
      <c r="AI7" s="775">
        <f>AG7/AH7</f>
        <v>0.16408365232004482</v>
      </c>
      <c r="AJ7" s="767" t="s">
        <v>1643</v>
      </c>
      <c r="AK7" s="771">
        <v>394</v>
      </c>
      <c r="AL7" s="771">
        <v>2700</v>
      </c>
      <c r="AM7" s="777">
        <f>AK7/AL7</f>
        <v>0.14592592592592593</v>
      </c>
      <c r="AN7" s="778" t="s">
        <v>1644</v>
      </c>
      <c r="AO7" s="768">
        <v>5007</v>
      </c>
      <c r="AP7" s="768">
        <v>21422</v>
      </c>
      <c r="AQ7" s="775">
        <f>AO7/AP7</f>
        <v>0.23373167771449913</v>
      </c>
      <c r="AR7" s="767" t="s">
        <v>1645</v>
      </c>
      <c r="AS7" s="771">
        <v>647</v>
      </c>
      <c r="AT7" s="771">
        <v>2700</v>
      </c>
      <c r="AU7" s="777">
        <f>AS7/AT7</f>
        <v>0.23962962962962964</v>
      </c>
      <c r="AV7" s="778" t="s">
        <v>1646</v>
      </c>
      <c r="AW7" s="768">
        <v>6290</v>
      </c>
      <c r="AX7" s="768">
        <v>21422</v>
      </c>
      <c r="AY7" s="775">
        <f>AW7/AX7</f>
        <v>0.29362337783586967</v>
      </c>
      <c r="AZ7" s="767" t="s">
        <v>1647</v>
      </c>
      <c r="BA7" s="771">
        <v>840</v>
      </c>
      <c r="BB7" s="771">
        <v>2700</v>
      </c>
      <c r="BC7" s="777">
        <f>BA7/BB7</f>
        <v>0.31111111111111112</v>
      </c>
      <c r="BD7" s="778" t="s">
        <v>1648</v>
      </c>
      <c r="BE7" s="768">
        <v>7215</v>
      </c>
      <c r="BF7" s="768">
        <v>21422</v>
      </c>
      <c r="BG7" s="775">
        <f>BE7/BF7</f>
        <v>0.33680328634114459</v>
      </c>
      <c r="BH7" s="767" t="s">
        <v>1649</v>
      </c>
      <c r="BI7" s="771">
        <v>1003</v>
      </c>
      <c r="BJ7" s="771">
        <v>2700</v>
      </c>
      <c r="BK7" s="777">
        <f>BI7/BJ7</f>
        <v>0.37148148148148147</v>
      </c>
      <c r="BL7" s="778" t="s">
        <v>1650</v>
      </c>
      <c r="BM7" s="768">
        <v>8296</v>
      </c>
      <c r="BN7" s="768">
        <v>21422</v>
      </c>
      <c r="BO7" s="775">
        <f>BM7/BN7</f>
        <v>0.38726542806460645</v>
      </c>
      <c r="BP7" s="767" t="s">
        <v>1651</v>
      </c>
      <c r="BQ7" s="771">
        <v>1201</v>
      </c>
      <c r="BR7" s="771">
        <v>2700</v>
      </c>
      <c r="BS7" s="777">
        <f>BQ7/BR7</f>
        <v>0.44481481481481483</v>
      </c>
      <c r="BT7" s="778" t="s">
        <v>1652</v>
      </c>
      <c r="BU7" s="768">
        <v>9683</v>
      </c>
      <c r="BV7" s="768">
        <v>21422</v>
      </c>
      <c r="BW7" s="775">
        <f>BU7/BV7</f>
        <v>0.45201195033143499</v>
      </c>
      <c r="BX7" s="767" t="s">
        <v>1653</v>
      </c>
      <c r="BY7" s="771">
        <v>1469</v>
      </c>
      <c r="BZ7" s="771">
        <v>2700</v>
      </c>
      <c r="CA7" s="777">
        <f>BY7/BZ7</f>
        <v>0.54407407407407404</v>
      </c>
      <c r="CB7" s="778" t="s">
        <v>1654</v>
      </c>
      <c r="CC7" s="768">
        <v>11092</v>
      </c>
      <c r="CD7" s="768">
        <v>21422</v>
      </c>
      <c r="CE7" s="775">
        <f>CC7/CD7</f>
        <v>0.51778545420595645</v>
      </c>
      <c r="CF7" s="767" t="s">
        <v>1655</v>
      </c>
      <c r="CG7" s="771">
        <v>1691</v>
      </c>
      <c r="CH7" s="771">
        <v>2700</v>
      </c>
      <c r="CI7" s="777">
        <f>CG7/CH7</f>
        <v>0.62629629629629635</v>
      </c>
      <c r="CJ7" s="778" t="s">
        <v>1656</v>
      </c>
      <c r="CK7" s="768">
        <v>12533</v>
      </c>
      <c r="CL7" s="768">
        <v>21422</v>
      </c>
      <c r="CM7" s="779">
        <f>CK7/CL7</f>
        <v>0.58505274950984965</v>
      </c>
      <c r="CN7" s="767" t="s">
        <v>1657</v>
      </c>
      <c r="CO7" s="771">
        <v>1882</v>
      </c>
      <c r="CP7" s="771">
        <v>2700</v>
      </c>
      <c r="CQ7" s="777">
        <f>CO7/CP7</f>
        <v>0.69703703703703701</v>
      </c>
      <c r="CR7" s="778" t="s">
        <v>1658</v>
      </c>
      <c r="CS7" s="75"/>
      <c r="CT7" s="75"/>
      <c r="CU7" s="75"/>
      <c r="CV7" s="75"/>
      <c r="CW7" s="75"/>
      <c r="CX7" s="75"/>
      <c r="CY7" s="75"/>
      <c r="CZ7" s="75"/>
      <c r="DA7" s="75"/>
      <c r="DB7" s="75"/>
      <c r="DC7" s="75"/>
      <c r="DD7" s="75"/>
      <c r="DE7" s="75"/>
      <c r="DF7" s="75"/>
      <c r="DG7" s="75"/>
      <c r="DH7" s="75"/>
      <c r="DI7" s="75"/>
      <c r="DJ7" s="75"/>
      <c r="DK7" s="75"/>
      <c r="DL7" s="75"/>
      <c r="DM7" s="75"/>
      <c r="DN7" s="75"/>
      <c r="DO7" s="75"/>
      <c r="DP7" s="75"/>
      <c r="DQ7" s="75"/>
      <c r="DR7" s="75"/>
      <c r="DS7" s="75"/>
      <c r="DT7" s="75"/>
      <c r="DU7" s="75"/>
      <c r="DV7" s="75"/>
      <c r="DW7" s="75"/>
      <c r="DX7" s="75"/>
      <c r="DY7" s="75"/>
      <c r="DZ7" s="75"/>
      <c r="EA7" s="75"/>
      <c r="EB7" s="75"/>
      <c r="EC7" s="75"/>
      <c r="ED7" s="75"/>
      <c r="EE7" s="75"/>
      <c r="EF7" s="75"/>
      <c r="EG7" s="75"/>
      <c r="EH7" s="75"/>
      <c r="EI7" s="75"/>
      <c r="EJ7" s="75"/>
      <c r="EK7" s="75"/>
      <c r="EL7" s="75"/>
      <c r="EM7" s="75"/>
      <c r="EN7" s="75"/>
      <c r="EO7" s="75"/>
      <c r="EP7" s="75"/>
      <c r="EQ7" s="75"/>
      <c r="ER7" s="75"/>
      <c r="ES7" s="75"/>
      <c r="ET7" s="75"/>
      <c r="EU7" s="75"/>
      <c r="EV7" s="75"/>
      <c r="EW7" s="75"/>
      <c r="EX7" s="75"/>
    </row>
    <row r="8" spans="1:154" s="29" customFormat="1" ht="84" x14ac:dyDescent="0.25">
      <c r="A8" s="767"/>
      <c r="B8" s="767"/>
      <c r="C8" s="767"/>
      <c r="D8" s="767"/>
      <c r="E8" s="768"/>
      <c r="F8" s="767"/>
      <c r="G8" s="768"/>
      <c r="H8" s="767"/>
      <c r="I8" s="767"/>
      <c r="J8" s="767"/>
      <c r="K8" s="767"/>
      <c r="L8" s="767"/>
      <c r="M8" s="767"/>
      <c r="N8" s="768"/>
      <c r="O8" s="768"/>
      <c r="P8" s="768"/>
      <c r="Q8" s="780" t="s">
        <v>1659</v>
      </c>
      <c r="R8" s="781" t="s">
        <v>1660</v>
      </c>
      <c r="S8" s="782" t="s">
        <v>60</v>
      </c>
      <c r="T8" s="782">
        <v>0</v>
      </c>
      <c r="U8" s="783">
        <v>44</v>
      </c>
      <c r="V8" s="772"/>
      <c r="W8" s="773"/>
      <c r="X8" s="774"/>
      <c r="Y8" s="768"/>
      <c r="Z8" s="768"/>
      <c r="AA8" s="775"/>
      <c r="AB8" s="767"/>
      <c r="AC8" s="782">
        <v>3</v>
      </c>
      <c r="AD8" s="782">
        <v>44</v>
      </c>
      <c r="AE8" s="784">
        <f>AC8/AD8</f>
        <v>6.8181818181818177E-2</v>
      </c>
      <c r="AF8" s="782" t="s">
        <v>1661</v>
      </c>
      <c r="AG8" s="768"/>
      <c r="AH8" s="768"/>
      <c r="AI8" s="775"/>
      <c r="AJ8" s="767"/>
      <c r="AK8" s="782">
        <v>6</v>
      </c>
      <c r="AL8" s="782">
        <v>44</v>
      </c>
      <c r="AM8" s="784">
        <f>AK8/AL8</f>
        <v>0.13636363636363635</v>
      </c>
      <c r="AN8" s="785" t="s">
        <v>1662</v>
      </c>
      <c r="AO8" s="768"/>
      <c r="AP8" s="768"/>
      <c r="AQ8" s="775"/>
      <c r="AR8" s="767"/>
      <c r="AS8" s="782">
        <v>8</v>
      </c>
      <c r="AT8" s="782">
        <v>44</v>
      </c>
      <c r="AU8" s="784">
        <f>AS8/AT8</f>
        <v>0.18181818181818182</v>
      </c>
      <c r="AV8" s="785" t="s">
        <v>1663</v>
      </c>
      <c r="AW8" s="768"/>
      <c r="AX8" s="768"/>
      <c r="AY8" s="775"/>
      <c r="AZ8" s="767"/>
      <c r="BA8" s="782">
        <v>8</v>
      </c>
      <c r="BB8" s="782">
        <v>44</v>
      </c>
      <c r="BC8" s="784">
        <f>BA8/BB8</f>
        <v>0.18181818181818182</v>
      </c>
      <c r="BD8" s="785" t="s">
        <v>1664</v>
      </c>
      <c r="BE8" s="768"/>
      <c r="BF8" s="768"/>
      <c r="BG8" s="775"/>
      <c r="BH8" s="767"/>
      <c r="BI8" s="782">
        <v>8</v>
      </c>
      <c r="BJ8" s="782">
        <v>44</v>
      </c>
      <c r="BK8" s="784">
        <f>BI8/BJ8</f>
        <v>0.18181818181818182</v>
      </c>
      <c r="BL8" s="785" t="s">
        <v>1665</v>
      </c>
      <c r="BM8" s="768"/>
      <c r="BN8" s="768"/>
      <c r="BO8" s="775"/>
      <c r="BP8" s="767"/>
      <c r="BQ8" s="782">
        <v>8</v>
      </c>
      <c r="BR8" s="782">
        <v>44</v>
      </c>
      <c r="BS8" s="784">
        <f>BQ8/BR8</f>
        <v>0.18181818181818182</v>
      </c>
      <c r="BT8" s="785" t="s">
        <v>1666</v>
      </c>
      <c r="BU8" s="768"/>
      <c r="BV8" s="768"/>
      <c r="BW8" s="775"/>
      <c r="BX8" s="767"/>
      <c r="BY8" s="782">
        <v>8</v>
      </c>
      <c r="BZ8" s="782">
        <v>44</v>
      </c>
      <c r="CA8" s="784">
        <f>BY8/BZ8</f>
        <v>0.18181818181818182</v>
      </c>
      <c r="CB8" s="785" t="s">
        <v>1667</v>
      </c>
      <c r="CC8" s="768"/>
      <c r="CD8" s="768"/>
      <c r="CE8" s="775"/>
      <c r="CF8" s="767"/>
      <c r="CG8" s="782">
        <v>9</v>
      </c>
      <c r="CH8" s="782">
        <v>44</v>
      </c>
      <c r="CI8" s="784">
        <f>CG8/CH8</f>
        <v>0.20454545454545456</v>
      </c>
      <c r="CJ8" s="785" t="s">
        <v>1668</v>
      </c>
      <c r="CK8" s="768"/>
      <c r="CL8" s="768"/>
      <c r="CM8" s="779"/>
      <c r="CN8" s="767"/>
      <c r="CO8" s="782">
        <v>15</v>
      </c>
      <c r="CP8" s="782">
        <v>44</v>
      </c>
      <c r="CQ8" s="784">
        <f>CO8/CP8</f>
        <v>0.34090909090909088</v>
      </c>
      <c r="CR8" s="785" t="s">
        <v>1669</v>
      </c>
      <c r="CS8" s="75"/>
      <c r="CT8" s="75"/>
      <c r="CU8" s="75"/>
      <c r="CV8" s="75"/>
      <c r="CW8" s="75"/>
      <c r="CX8" s="75"/>
      <c r="CY8" s="75"/>
      <c r="CZ8" s="75"/>
      <c r="DA8" s="75"/>
      <c r="DB8" s="75"/>
      <c r="DC8" s="75"/>
      <c r="DD8" s="75"/>
      <c r="DE8" s="75"/>
      <c r="DF8" s="75"/>
      <c r="DG8" s="75"/>
      <c r="DH8" s="75"/>
      <c r="DI8" s="75"/>
      <c r="DJ8" s="75"/>
      <c r="DK8" s="75"/>
      <c r="DL8" s="75"/>
      <c r="DM8" s="75"/>
      <c r="DN8" s="75"/>
      <c r="DO8" s="75"/>
      <c r="DP8" s="75"/>
      <c r="DQ8" s="75"/>
      <c r="DR8" s="75"/>
      <c r="DS8" s="75"/>
      <c r="DT8" s="75"/>
      <c r="DU8" s="75"/>
      <c r="DV8" s="75"/>
      <c r="DW8" s="75"/>
      <c r="DX8" s="75"/>
      <c r="DY8" s="75"/>
      <c r="DZ8" s="75"/>
      <c r="EA8" s="75"/>
      <c r="EB8" s="75"/>
      <c r="EC8" s="75"/>
      <c r="ED8" s="75"/>
      <c r="EE8" s="75"/>
      <c r="EF8" s="75"/>
      <c r="EG8" s="75"/>
      <c r="EH8" s="75"/>
      <c r="EI8" s="75"/>
      <c r="EJ8" s="75"/>
      <c r="EK8" s="75"/>
      <c r="EL8" s="75"/>
      <c r="EM8" s="75"/>
      <c r="EN8" s="75"/>
      <c r="EO8" s="75"/>
      <c r="EP8" s="75"/>
      <c r="EQ8" s="75"/>
      <c r="ER8" s="75"/>
      <c r="ES8" s="75"/>
      <c r="ET8" s="75"/>
      <c r="EU8" s="75"/>
      <c r="EV8" s="75"/>
      <c r="EW8" s="75"/>
      <c r="EX8" s="75"/>
    </row>
    <row r="9" spans="1:154" s="18" customFormat="1" ht="312" x14ac:dyDescent="0.25">
      <c r="A9" s="767"/>
      <c r="B9" s="767"/>
      <c r="C9" s="767"/>
      <c r="D9" s="767"/>
      <c r="E9" s="768"/>
      <c r="F9" s="767"/>
      <c r="G9" s="768"/>
      <c r="H9" s="767"/>
      <c r="I9" s="767" t="s">
        <v>384</v>
      </c>
      <c r="J9" s="767"/>
      <c r="K9" s="767"/>
      <c r="L9" s="767" t="s">
        <v>1670</v>
      </c>
      <c r="M9" s="767" t="s">
        <v>1671</v>
      </c>
      <c r="N9" s="768" t="s">
        <v>60</v>
      </c>
      <c r="O9" s="768">
        <v>0</v>
      </c>
      <c r="P9" s="768">
        <v>816</v>
      </c>
      <c r="Q9" s="769" t="s">
        <v>1672</v>
      </c>
      <c r="R9" s="769" t="s">
        <v>1673</v>
      </c>
      <c r="S9" s="771" t="s">
        <v>60</v>
      </c>
      <c r="T9" s="771">
        <v>0</v>
      </c>
      <c r="U9" s="786">
        <v>816</v>
      </c>
      <c r="V9" s="772"/>
      <c r="W9" s="773"/>
      <c r="X9" s="774"/>
      <c r="Y9" s="782">
        <v>14</v>
      </c>
      <c r="Z9" s="782">
        <v>816</v>
      </c>
      <c r="AA9" s="784">
        <f>Y9/Z9</f>
        <v>1.7156862745098041E-2</v>
      </c>
      <c r="AB9" s="785" t="s">
        <v>1674</v>
      </c>
      <c r="AC9" s="771">
        <v>27</v>
      </c>
      <c r="AD9" s="771">
        <v>816</v>
      </c>
      <c r="AE9" s="787">
        <f>AC9/AD9</f>
        <v>3.3088235294117647E-2</v>
      </c>
      <c r="AF9" s="778" t="s">
        <v>1675</v>
      </c>
      <c r="AG9" s="788">
        <v>40</v>
      </c>
      <c r="AH9" s="788">
        <v>816</v>
      </c>
      <c r="AI9" s="789">
        <f>AG9/AH9</f>
        <v>4.9019607843137254E-2</v>
      </c>
      <c r="AJ9" s="774" t="s">
        <v>1676</v>
      </c>
      <c r="AK9" s="771">
        <v>59</v>
      </c>
      <c r="AL9" s="771">
        <v>816</v>
      </c>
      <c r="AM9" s="787">
        <f>AK9/AL9</f>
        <v>7.2303921568627458E-2</v>
      </c>
      <c r="AN9" s="778" t="s">
        <v>1677</v>
      </c>
      <c r="AO9" s="788">
        <v>93</v>
      </c>
      <c r="AP9" s="788">
        <v>816</v>
      </c>
      <c r="AQ9" s="789">
        <f>AO9/AP9</f>
        <v>0.11397058823529412</v>
      </c>
      <c r="AR9" s="774" t="s">
        <v>1678</v>
      </c>
      <c r="AS9" s="771">
        <v>123</v>
      </c>
      <c r="AT9" s="771">
        <v>816</v>
      </c>
      <c r="AU9" s="787">
        <f>AS9/AT9</f>
        <v>0.15073529411764705</v>
      </c>
      <c r="AV9" s="778" t="s">
        <v>1679</v>
      </c>
      <c r="AW9" s="788">
        <v>173</v>
      </c>
      <c r="AX9" s="788">
        <v>816</v>
      </c>
      <c r="AY9" s="789">
        <f>AW9/AX9</f>
        <v>0.21200980392156862</v>
      </c>
      <c r="AZ9" s="774" t="s">
        <v>1680</v>
      </c>
      <c r="BA9" s="771">
        <v>213</v>
      </c>
      <c r="BB9" s="771">
        <v>816</v>
      </c>
      <c r="BC9" s="787">
        <f>BA9/BB9</f>
        <v>0.2610294117647059</v>
      </c>
      <c r="BD9" s="778" t="s">
        <v>1681</v>
      </c>
      <c r="BE9" s="788">
        <v>247</v>
      </c>
      <c r="BF9" s="788">
        <v>816</v>
      </c>
      <c r="BG9" s="789">
        <f>BE9/BF9</f>
        <v>0.30269607843137253</v>
      </c>
      <c r="BH9" s="774" t="s">
        <v>1682</v>
      </c>
      <c r="BI9" s="771">
        <v>275</v>
      </c>
      <c r="BJ9" s="771">
        <v>816</v>
      </c>
      <c r="BK9" s="787">
        <f>BI9/BJ9</f>
        <v>0.33700980392156865</v>
      </c>
      <c r="BL9" s="778" t="s">
        <v>1683</v>
      </c>
      <c r="BM9" s="788">
        <v>322</v>
      </c>
      <c r="BN9" s="788">
        <v>816</v>
      </c>
      <c r="BO9" s="789">
        <f>BM9/BN9</f>
        <v>0.39460784313725489</v>
      </c>
      <c r="BP9" s="774" t="s">
        <v>1684</v>
      </c>
      <c r="BQ9" s="771">
        <v>360</v>
      </c>
      <c r="BR9" s="771">
        <v>816</v>
      </c>
      <c r="BS9" s="787">
        <f>BQ9/BR9</f>
        <v>0.44117647058823528</v>
      </c>
      <c r="BT9" s="778" t="s">
        <v>1685</v>
      </c>
      <c r="BU9" s="788">
        <v>412</v>
      </c>
      <c r="BV9" s="788">
        <v>816</v>
      </c>
      <c r="BW9" s="789">
        <f>BU9/BV9</f>
        <v>0.50490196078431371</v>
      </c>
      <c r="BX9" s="774" t="s">
        <v>1686</v>
      </c>
      <c r="BY9" s="771">
        <v>446</v>
      </c>
      <c r="BZ9" s="771">
        <v>816</v>
      </c>
      <c r="CA9" s="787">
        <f>BY9/BZ9</f>
        <v>0.54656862745098034</v>
      </c>
      <c r="CB9" s="778" t="s">
        <v>1687</v>
      </c>
      <c r="CC9" s="788">
        <v>512</v>
      </c>
      <c r="CD9" s="788">
        <v>816</v>
      </c>
      <c r="CE9" s="789">
        <f>CC9/CD9</f>
        <v>0.62745098039215685</v>
      </c>
      <c r="CF9" s="774" t="s">
        <v>1688</v>
      </c>
      <c r="CG9" s="771">
        <v>539</v>
      </c>
      <c r="CH9" s="771">
        <v>816</v>
      </c>
      <c r="CI9" s="787">
        <f>CG9/CH9</f>
        <v>0.66053921568627449</v>
      </c>
      <c r="CJ9" s="778" t="s">
        <v>1689</v>
      </c>
      <c r="CK9" s="788">
        <v>601</v>
      </c>
      <c r="CL9" s="788">
        <v>816</v>
      </c>
      <c r="CM9" s="789">
        <f>CK9/CL9</f>
        <v>0.7365196078431373</v>
      </c>
      <c r="CN9" s="774" t="s">
        <v>1690</v>
      </c>
      <c r="CO9" s="771">
        <v>625</v>
      </c>
      <c r="CP9" s="771">
        <v>816</v>
      </c>
      <c r="CQ9" s="787">
        <f>CO9/CP9</f>
        <v>0.76593137254901966</v>
      </c>
      <c r="CR9" s="778" t="s">
        <v>1691</v>
      </c>
      <c r="CS9" s="75"/>
      <c r="CT9" s="75"/>
      <c r="CU9" s="75"/>
      <c r="CV9" s="75"/>
      <c r="CW9" s="75"/>
      <c r="CX9" s="75"/>
      <c r="CY9" s="75"/>
      <c r="CZ9" s="75"/>
      <c r="DA9" s="75"/>
      <c r="DB9" s="75"/>
      <c r="DC9" s="75"/>
      <c r="DD9" s="75"/>
      <c r="DE9" s="75"/>
      <c r="DF9" s="75"/>
      <c r="DG9" s="75"/>
      <c r="DH9" s="75"/>
      <c r="DI9" s="75"/>
      <c r="DJ9" s="75"/>
      <c r="DK9" s="75"/>
      <c r="DL9" s="75"/>
      <c r="DM9" s="75"/>
      <c r="DN9" s="75"/>
      <c r="DO9" s="75"/>
      <c r="DP9" s="75"/>
      <c r="DQ9" s="75"/>
      <c r="DR9" s="75"/>
      <c r="DS9" s="75"/>
      <c r="DT9" s="75"/>
      <c r="DU9" s="75"/>
      <c r="DV9" s="75"/>
      <c r="DW9" s="75"/>
      <c r="DX9" s="75"/>
      <c r="DY9" s="75"/>
      <c r="DZ9" s="75"/>
      <c r="EA9" s="75"/>
      <c r="EB9" s="75"/>
      <c r="EC9" s="75"/>
      <c r="ED9" s="75"/>
      <c r="EE9" s="75"/>
      <c r="EF9" s="75"/>
      <c r="EG9" s="75"/>
      <c r="EH9" s="75"/>
      <c r="EI9" s="75"/>
      <c r="EJ9" s="75"/>
      <c r="EK9" s="75"/>
      <c r="EL9" s="75"/>
      <c r="EM9" s="75"/>
      <c r="EN9" s="75"/>
      <c r="EO9" s="75"/>
      <c r="EP9" s="75"/>
      <c r="EQ9" s="75"/>
      <c r="ER9" s="75"/>
      <c r="ES9" s="75"/>
      <c r="ET9" s="75"/>
      <c r="EU9" s="75"/>
      <c r="EV9" s="75"/>
      <c r="EW9" s="75"/>
      <c r="EX9" s="75"/>
    </row>
    <row r="10" spans="1:154" s="18" customFormat="1" ht="84" x14ac:dyDescent="0.25">
      <c r="A10" s="767"/>
      <c r="B10" s="767"/>
      <c r="C10" s="767"/>
      <c r="D10" s="767"/>
      <c r="E10" s="768"/>
      <c r="F10" s="767"/>
      <c r="G10" s="768"/>
      <c r="H10" s="767"/>
      <c r="I10" s="767"/>
      <c r="J10" s="767"/>
      <c r="K10" s="767"/>
      <c r="L10" s="767"/>
      <c r="M10" s="767"/>
      <c r="N10" s="768"/>
      <c r="O10" s="768"/>
      <c r="P10" s="768"/>
      <c r="Q10" s="780" t="s">
        <v>1692</v>
      </c>
      <c r="R10" s="781" t="s">
        <v>1693</v>
      </c>
      <c r="S10" s="782" t="s">
        <v>60</v>
      </c>
      <c r="T10" s="782">
        <v>0</v>
      </c>
      <c r="U10" s="783">
        <v>359</v>
      </c>
      <c r="V10" s="772"/>
      <c r="W10" s="773"/>
      <c r="X10" s="774"/>
      <c r="Y10" s="771"/>
      <c r="Z10" s="771"/>
      <c r="AA10" s="777"/>
      <c r="AB10" s="771"/>
      <c r="AC10" s="771">
        <v>3</v>
      </c>
      <c r="AD10" s="771">
        <v>359</v>
      </c>
      <c r="AE10" s="784">
        <f>AC10/AD10</f>
        <v>8.356545961002786E-3</v>
      </c>
      <c r="AF10" s="778" t="s">
        <v>1694</v>
      </c>
      <c r="AG10" s="788"/>
      <c r="AH10" s="788"/>
      <c r="AI10" s="789"/>
      <c r="AJ10" s="774"/>
      <c r="AK10" s="771">
        <v>24</v>
      </c>
      <c r="AL10" s="771">
        <v>359</v>
      </c>
      <c r="AM10" s="787">
        <f>AK10/AL10</f>
        <v>6.6852367688022288E-2</v>
      </c>
      <c r="AN10" s="778" t="s">
        <v>1695</v>
      </c>
      <c r="AO10" s="788"/>
      <c r="AP10" s="788"/>
      <c r="AQ10" s="789"/>
      <c r="AR10" s="774"/>
      <c r="AS10" s="771">
        <v>83</v>
      </c>
      <c r="AT10" s="771">
        <v>359</v>
      </c>
      <c r="AU10" s="784">
        <f>AS10/AT10</f>
        <v>0.23119777158774374</v>
      </c>
      <c r="AV10" s="778" t="s">
        <v>1696</v>
      </c>
      <c r="AW10" s="788"/>
      <c r="AX10" s="788"/>
      <c r="AY10" s="789"/>
      <c r="AZ10" s="774"/>
      <c r="BA10" s="771">
        <v>83</v>
      </c>
      <c r="BB10" s="771">
        <v>359</v>
      </c>
      <c r="BC10" s="784">
        <f>BA10/BB10</f>
        <v>0.23119777158774374</v>
      </c>
      <c r="BD10" s="778" t="s">
        <v>1664</v>
      </c>
      <c r="BE10" s="788"/>
      <c r="BF10" s="788"/>
      <c r="BG10" s="789"/>
      <c r="BH10" s="774"/>
      <c r="BI10" s="771">
        <v>83</v>
      </c>
      <c r="BJ10" s="771">
        <v>359</v>
      </c>
      <c r="BK10" s="784">
        <f>BI10/BJ10</f>
        <v>0.23119777158774374</v>
      </c>
      <c r="BL10" s="778" t="s">
        <v>1697</v>
      </c>
      <c r="BM10" s="788"/>
      <c r="BN10" s="788"/>
      <c r="BO10" s="789"/>
      <c r="BP10" s="774"/>
      <c r="BQ10" s="771">
        <v>83</v>
      </c>
      <c r="BR10" s="771">
        <v>359</v>
      </c>
      <c r="BS10" s="784">
        <f>BQ10/BR10</f>
        <v>0.23119777158774374</v>
      </c>
      <c r="BT10" s="778" t="s">
        <v>1698</v>
      </c>
      <c r="BU10" s="788"/>
      <c r="BV10" s="788"/>
      <c r="BW10" s="789"/>
      <c r="BX10" s="774"/>
      <c r="BY10" s="771">
        <v>83</v>
      </c>
      <c r="BZ10" s="771">
        <v>359</v>
      </c>
      <c r="CA10" s="784">
        <f>BY10/BZ10</f>
        <v>0.23119777158774374</v>
      </c>
      <c r="CB10" s="778" t="s">
        <v>1699</v>
      </c>
      <c r="CC10" s="788"/>
      <c r="CD10" s="788"/>
      <c r="CE10" s="789"/>
      <c r="CF10" s="774"/>
      <c r="CG10" s="771">
        <v>83</v>
      </c>
      <c r="CH10" s="771">
        <v>359</v>
      </c>
      <c r="CI10" s="784">
        <f>CG10/CH10</f>
        <v>0.23119777158774374</v>
      </c>
      <c r="CJ10" s="778" t="s">
        <v>1700</v>
      </c>
      <c r="CK10" s="788"/>
      <c r="CL10" s="788"/>
      <c r="CM10" s="789"/>
      <c r="CN10" s="774"/>
      <c r="CO10" s="771">
        <v>83</v>
      </c>
      <c r="CP10" s="771">
        <v>359</v>
      </c>
      <c r="CQ10" s="784">
        <f>CO10/CP10</f>
        <v>0.23119777158774374</v>
      </c>
      <c r="CR10" s="778" t="s">
        <v>1701</v>
      </c>
      <c r="CS10" s="75"/>
      <c r="CT10" s="75"/>
      <c r="CU10" s="75"/>
      <c r="CV10" s="75"/>
      <c r="CW10" s="75"/>
      <c r="CX10" s="75"/>
      <c r="CY10" s="75"/>
      <c r="CZ10" s="75"/>
      <c r="DA10" s="75"/>
      <c r="DB10" s="75"/>
      <c r="DC10" s="75"/>
      <c r="DD10" s="75"/>
      <c r="DE10" s="75"/>
      <c r="DF10" s="75"/>
      <c r="DG10" s="75"/>
      <c r="DH10" s="75"/>
      <c r="DI10" s="75"/>
      <c r="DJ10" s="75"/>
      <c r="DK10" s="75"/>
      <c r="DL10" s="75"/>
      <c r="DM10" s="75"/>
      <c r="DN10" s="75"/>
      <c r="DO10" s="75"/>
      <c r="DP10" s="75"/>
      <c r="DQ10" s="75"/>
      <c r="DR10" s="75"/>
      <c r="DS10" s="75"/>
      <c r="DT10" s="75"/>
      <c r="DU10" s="75"/>
      <c r="DV10" s="75"/>
      <c r="DW10" s="75"/>
      <c r="DX10" s="75"/>
      <c r="DY10" s="75"/>
      <c r="DZ10" s="75"/>
      <c r="EA10" s="75"/>
      <c r="EB10" s="75"/>
      <c r="EC10" s="75"/>
      <c r="ED10" s="75"/>
      <c r="EE10" s="75"/>
      <c r="EF10" s="75"/>
      <c r="EG10" s="75"/>
      <c r="EH10" s="75"/>
      <c r="EI10" s="75"/>
      <c r="EJ10" s="75"/>
      <c r="EK10" s="75"/>
      <c r="EL10" s="75"/>
      <c r="EM10" s="75"/>
      <c r="EN10" s="75"/>
      <c r="EO10" s="75"/>
      <c r="EP10" s="75"/>
      <c r="EQ10" s="75"/>
      <c r="ER10" s="75"/>
      <c r="ES10" s="75"/>
      <c r="ET10" s="75"/>
      <c r="EU10" s="75"/>
      <c r="EV10" s="75"/>
      <c r="EW10" s="75"/>
      <c r="EX10" s="75"/>
    </row>
    <row r="11" spans="1:154" s="29" customFormat="1" ht="288" x14ac:dyDescent="0.25">
      <c r="A11" s="767"/>
      <c r="B11" s="767"/>
      <c r="C11" s="767"/>
      <c r="D11" s="767"/>
      <c r="E11" s="768"/>
      <c r="F11" s="767"/>
      <c r="G11" s="768"/>
      <c r="H11" s="767"/>
      <c r="I11" s="774" t="s">
        <v>55</v>
      </c>
      <c r="J11" s="767"/>
      <c r="K11" s="767"/>
      <c r="L11" s="785" t="s">
        <v>1702</v>
      </c>
      <c r="M11" s="785" t="s">
        <v>1703</v>
      </c>
      <c r="N11" s="782" t="s">
        <v>93</v>
      </c>
      <c r="O11" s="790">
        <v>0.83</v>
      </c>
      <c r="P11" s="782" t="s">
        <v>1704</v>
      </c>
      <c r="Q11" s="791"/>
      <c r="R11" s="781"/>
      <c r="S11" s="780"/>
      <c r="T11" s="782"/>
      <c r="U11" s="782"/>
      <c r="V11" s="772"/>
      <c r="W11" s="773"/>
      <c r="X11" s="774"/>
      <c r="Y11" s="782"/>
      <c r="Z11" s="782"/>
      <c r="AA11" s="790"/>
      <c r="AB11" s="785"/>
      <c r="AC11" s="785"/>
      <c r="AD11" s="785"/>
      <c r="AE11" s="785"/>
      <c r="AF11" s="785"/>
      <c r="AG11" s="782"/>
      <c r="AH11" s="782"/>
      <c r="AI11" s="790"/>
      <c r="AJ11" s="785"/>
      <c r="AK11" s="785"/>
      <c r="AL11" s="785"/>
      <c r="AM11" s="785"/>
      <c r="AN11" s="785"/>
      <c r="AO11" s="782"/>
      <c r="AP11" s="782"/>
      <c r="AQ11" s="790"/>
      <c r="AR11" s="785"/>
      <c r="AS11" s="785"/>
      <c r="AT11" s="785"/>
      <c r="AU11" s="785"/>
      <c r="AV11" s="785"/>
      <c r="AW11" s="782"/>
      <c r="AX11" s="782"/>
      <c r="AY11" s="790"/>
      <c r="AZ11" s="785"/>
      <c r="BA11" s="785"/>
      <c r="BB11" s="785"/>
      <c r="BC11" s="785"/>
      <c r="BD11" s="785"/>
      <c r="BE11" s="782"/>
      <c r="BF11" s="782"/>
      <c r="BG11" s="790"/>
      <c r="BH11" s="785"/>
      <c r="BI11" s="785"/>
      <c r="BJ11" s="785"/>
      <c r="BK11" s="785"/>
      <c r="BL11" s="785"/>
      <c r="BM11" s="792">
        <v>0.87</v>
      </c>
      <c r="BN11" s="782" t="s">
        <v>1705</v>
      </c>
      <c r="BO11" s="782"/>
      <c r="BP11" s="793" t="s">
        <v>1706</v>
      </c>
      <c r="BQ11" s="785"/>
      <c r="BR11" s="785"/>
      <c r="BS11" s="785"/>
      <c r="BT11" s="785"/>
      <c r="BU11" s="792">
        <v>0.87</v>
      </c>
      <c r="BV11" s="782" t="s">
        <v>1705</v>
      </c>
      <c r="BW11" s="792">
        <v>0.87</v>
      </c>
      <c r="BX11" s="793" t="s">
        <v>1706</v>
      </c>
      <c r="BY11" s="785"/>
      <c r="BZ11" s="785"/>
      <c r="CA11" s="785"/>
      <c r="CB11" s="785"/>
      <c r="CC11" s="792">
        <v>0.87</v>
      </c>
      <c r="CD11" s="782" t="s">
        <v>1705</v>
      </c>
      <c r="CE11" s="792">
        <v>0.87</v>
      </c>
      <c r="CF11" s="793" t="s">
        <v>1706</v>
      </c>
      <c r="CG11" s="785"/>
      <c r="CH11" s="785"/>
      <c r="CI11" s="785"/>
      <c r="CJ11" s="785"/>
      <c r="CK11" s="792"/>
      <c r="CL11" s="782" t="s">
        <v>1705</v>
      </c>
      <c r="CM11" s="792">
        <v>0.87</v>
      </c>
      <c r="CN11" s="793"/>
      <c r="CO11" s="785"/>
      <c r="CP11" s="785"/>
      <c r="CQ11" s="785"/>
      <c r="CR11" s="785"/>
      <c r="CS11" s="75"/>
      <c r="CT11" s="75"/>
      <c r="CU11" s="75"/>
      <c r="CV11" s="75"/>
      <c r="CW11" s="75"/>
      <c r="CX11" s="75"/>
      <c r="CY11" s="75"/>
      <c r="CZ11" s="75"/>
      <c r="DA11" s="75"/>
      <c r="DB11" s="75"/>
      <c r="DC11" s="75"/>
      <c r="DD11" s="75"/>
      <c r="DE11" s="75"/>
      <c r="DF11" s="75"/>
      <c r="DG11" s="75"/>
      <c r="DH11" s="75"/>
      <c r="DI11" s="75"/>
      <c r="DJ11" s="75"/>
      <c r="DK11" s="75"/>
      <c r="DL11" s="75"/>
      <c r="DM11" s="75"/>
      <c r="DN11" s="75"/>
      <c r="DO11" s="75"/>
      <c r="DP11" s="75"/>
      <c r="DQ11" s="75"/>
      <c r="DR11" s="75"/>
      <c r="DS11" s="75"/>
      <c r="DT11" s="75"/>
      <c r="DU11" s="75"/>
      <c r="DV11" s="75"/>
      <c r="DW11" s="75"/>
      <c r="DX11" s="75"/>
      <c r="DY11" s="75"/>
      <c r="DZ11" s="75"/>
      <c r="EA11" s="75"/>
      <c r="EB11" s="75"/>
      <c r="EC11" s="75"/>
      <c r="ED11" s="75"/>
      <c r="EE11" s="75"/>
      <c r="EF11" s="75"/>
      <c r="EG11" s="75"/>
      <c r="EH11" s="75"/>
      <c r="EI11" s="75"/>
      <c r="EJ11" s="75"/>
      <c r="EK11" s="75"/>
      <c r="EL11" s="75"/>
      <c r="EM11" s="75"/>
      <c r="EN11" s="75"/>
      <c r="EO11" s="75"/>
      <c r="EP11" s="75"/>
      <c r="EQ11" s="75"/>
      <c r="ER11" s="75"/>
      <c r="ES11" s="75"/>
      <c r="ET11" s="75"/>
      <c r="EU11" s="75"/>
      <c r="EV11" s="75"/>
      <c r="EW11" s="75"/>
      <c r="EX11" s="75"/>
    </row>
    <row r="12" spans="1:154" s="18" customFormat="1" ht="276" x14ac:dyDescent="0.25">
      <c r="A12" s="767"/>
      <c r="B12" s="767"/>
      <c r="C12" s="767"/>
      <c r="D12" s="767"/>
      <c r="E12" s="768"/>
      <c r="F12" s="767"/>
      <c r="G12" s="768"/>
      <c r="H12" s="767"/>
      <c r="I12" s="774"/>
      <c r="J12" s="767"/>
      <c r="K12" s="767"/>
      <c r="L12" s="769" t="s">
        <v>1707</v>
      </c>
      <c r="M12" s="778" t="s">
        <v>1708</v>
      </c>
      <c r="N12" s="771" t="s">
        <v>93</v>
      </c>
      <c r="O12" s="777">
        <v>0.79</v>
      </c>
      <c r="P12" s="777" t="s">
        <v>1704</v>
      </c>
      <c r="Q12" s="794"/>
      <c r="R12" s="769"/>
      <c r="S12" s="794"/>
      <c r="T12" s="771"/>
      <c r="U12" s="795"/>
      <c r="V12" s="772"/>
      <c r="W12" s="773"/>
      <c r="X12" s="774"/>
      <c r="Y12" s="771"/>
      <c r="Z12" s="795"/>
      <c r="AA12" s="777"/>
      <c r="AB12" s="771"/>
      <c r="AC12" s="771"/>
      <c r="AD12" s="771"/>
      <c r="AE12" s="771"/>
      <c r="AF12" s="771"/>
      <c r="AG12" s="771"/>
      <c r="AH12" s="795"/>
      <c r="AI12" s="777"/>
      <c r="AJ12" s="771"/>
      <c r="AK12" s="771"/>
      <c r="AL12" s="771"/>
      <c r="AM12" s="771"/>
      <c r="AN12" s="771"/>
      <c r="AO12" s="771"/>
      <c r="AP12" s="795"/>
      <c r="AQ12" s="777"/>
      <c r="AR12" s="771"/>
      <c r="AS12" s="771"/>
      <c r="AT12" s="771"/>
      <c r="AU12" s="771"/>
      <c r="AV12" s="771"/>
      <c r="AW12" s="771"/>
      <c r="AX12" s="795"/>
      <c r="AY12" s="777"/>
      <c r="AZ12" s="771"/>
      <c r="BA12" s="771"/>
      <c r="BB12" s="771"/>
      <c r="BC12" s="771"/>
      <c r="BD12" s="771"/>
      <c r="BE12" s="771"/>
      <c r="BF12" s="795"/>
      <c r="BG12" s="777"/>
      <c r="BH12" s="771"/>
      <c r="BI12" s="771"/>
      <c r="BJ12" s="771"/>
      <c r="BK12" s="771"/>
      <c r="BL12" s="771"/>
      <c r="BM12" s="796">
        <v>0.77</v>
      </c>
      <c r="BN12" s="796" t="s">
        <v>1705</v>
      </c>
      <c r="BO12" s="797"/>
      <c r="BP12" s="798" t="s">
        <v>1709</v>
      </c>
      <c r="BQ12" s="771"/>
      <c r="BR12" s="771"/>
      <c r="BS12" s="771"/>
      <c r="BT12" s="771"/>
      <c r="BU12" s="796">
        <v>0.77</v>
      </c>
      <c r="BV12" s="796" t="s">
        <v>1705</v>
      </c>
      <c r="BW12" s="797">
        <v>0.77</v>
      </c>
      <c r="BX12" s="798" t="s">
        <v>1709</v>
      </c>
      <c r="BY12" s="771"/>
      <c r="BZ12" s="771"/>
      <c r="CA12" s="771"/>
      <c r="CB12" s="771"/>
      <c r="CC12" s="796">
        <v>0.77</v>
      </c>
      <c r="CD12" s="796" t="s">
        <v>1705</v>
      </c>
      <c r="CE12" s="797">
        <v>0.77</v>
      </c>
      <c r="CF12" s="798" t="s">
        <v>1709</v>
      </c>
      <c r="CG12" s="771"/>
      <c r="CH12" s="771"/>
      <c r="CI12" s="771"/>
      <c r="CJ12" s="771"/>
      <c r="CK12" s="796"/>
      <c r="CL12" s="796" t="s">
        <v>1705</v>
      </c>
      <c r="CM12" s="797">
        <v>0.77</v>
      </c>
      <c r="CN12" s="798"/>
      <c r="CO12" s="771"/>
      <c r="CP12" s="771"/>
      <c r="CQ12" s="771"/>
      <c r="CR12" s="771"/>
      <c r="CS12" s="75"/>
      <c r="CT12" s="75"/>
      <c r="CU12" s="75"/>
      <c r="CV12" s="75"/>
      <c r="CW12" s="75"/>
      <c r="CX12" s="75"/>
      <c r="CY12" s="75"/>
      <c r="CZ12" s="75"/>
      <c r="DA12" s="75"/>
      <c r="DB12" s="75"/>
      <c r="DC12" s="75"/>
      <c r="DD12" s="75"/>
      <c r="DE12" s="75"/>
      <c r="DF12" s="75"/>
      <c r="DG12" s="75"/>
      <c r="DH12" s="75"/>
      <c r="DI12" s="75"/>
      <c r="DJ12" s="75"/>
      <c r="DK12" s="75"/>
      <c r="DL12" s="75"/>
      <c r="DM12" s="75"/>
      <c r="DN12" s="75"/>
      <c r="DO12" s="75"/>
      <c r="DP12" s="75"/>
      <c r="DQ12" s="75"/>
      <c r="DR12" s="75"/>
      <c r="DS12" s="75"/>
      <c r="DT12" s="75"/>
      <c r="DU12" s="75"/>
      <c r="DV12" s="75"/>
      <c r="DW12" s="75"/>
      <c r="DX12" s="75"/>
      <c r="DY12" s="75"/>
      <c r="DZ12" s="75"/>
      <c r="EA12" s="75"/>
      <c r="EB12" s="75"/>
      <c r="EC12" s="75"/>
      <c r="ED12" s="75"/>
      <c r="EE12" s="75"/>
      <c r="EF12" s="75"/>
      <c r="EG12" s="75"/>
      <c r="EH12" s="75"/>
      <c r="EI12" s="75"/>
      <c r="EJ12" s="75"/>
      <c r="EK12" s="75"/>
      <c r="EL12" s="75"/>
      <c r="EM12" s="75"/>
      <c r="EN12" s="75"/>
      <c r="EO12" s="75"/>
      <c r="EP12" s="75"/>
      <c r="EQ12" s="75"/>
      <c r="ER12" s="75"/>
      <c r="ES12" s="75"/>
      <c r="ET12" s="75"/>
      <c r="EU12" s="75"/>
      <c r="EV12" s="75"/>
      <c r="EW12" s="75"/>
      <c r="EX12" s="75"/>
    </row>
    <row r="13" spans="1:154" s="29" customFormat="1" ht="24" x14ac:dyDescent="0.25">
      <c r="A13" s="767"/>
      <c r="B13" s="767"/>
      <c r="C13" s="767"/>
      <c r="D13" s="767"/>
      <c r="E13" s="768"/>
      <c r="F13" s="767"/>
      <c r="G13" s="768"/>
      <c r="H13" s="767"/>
      <c r="I13" s="788" t="s">
        <v>384</v>
      </c>
      <c r="J13" s="767"/>
      <c r="K13" s="767"/>
      <c r="L13" s="781" t="s">
        <v>1710</v>
      </c>
      <c r="M13" s="785" t="s">
        <v>1711</v>
      </c>
      <c r="N13" s="782" t="s">
        <v>60</v>
      </c>
      <c r="O13" s="782">
        <v>0</v>
      </c>
      <c r="P13" s="790">
        <v>1</v>
      </c>
      <c r="Q13" s="780"/>
      <c r="R13" s="781"/>
      <c r="S13" s="780"/>
      <c r="T13" s="782"/>
      <c r="U13" s="792"/>
      <c r="V13" s="772"/>
      <c r="W13" s="773"/>
      <c r="X13" s="774"/>
      <c r="Y13" s="782"/>
      <c r="Z13" s="792"/>
      <c r="AA13" s="790"/>
      <c r="AB13" s="782"/>
      <c r="AC13" s="782"/>
      <c r="AD13" s="782"/>
      <c r="AE13" s="782"/>
      <c r="AF13" s="782"/>
      <c r="AG13" s="782"/>
      <c r="AH13" s="792"/>
      <c r="AI13" s="790"/>
      <c r="AJ13" s="782"/>
      <c r="AK13" s="782"/>
      <c r="AL13" s="782"/>
      <c r="AM13" s="782"/>
      <c r="AN13" s="782"/>
      <c r="AO13" s="782"/>
      <c r="AP13" s="792"/>
      <c r="AQ13" s="790"/>
      <c r="AR13" s="782"/>
      <c r="AS13" s="782"/>
      <c r="AT13" s="782"/>
      <c r="AU13" s="782"/>
      <c r="AV13" s="782"/>
      <c r="AW13" s="782"/>
      <c r="AX13" s="792"/>
      <c r="AY13" s="790"/>
      <c r="AZ13" s="782"/>
      <c r="BA13" s="782"/>
      <c r="BB13" s="782"/>
      <c r="BC13" s="782"/>
      <c r="BD13" s="782"/>
      <c r="BE13" s="782"/>
      <c r="BF13" s="792"/>
      <c r="BG13" s="790"/>
      <c r="BH13" s="782"/>
      <c r="BI13" s="782"/>
      <c r="BJ13" s="782"/>
      <c r="BK13" s="782"/>
      <c r="BL13" s="782"/>
      <c r="BM13" s="782"/>
      <c r="BN13" s="792"/>
      <c r="BO13" s="790"/>
      <c r="BP13" s="782"/>
      <c r="BQ13" s="782"/>
      <c r="BR13" s="782"/>
      <c r="BS13" s="782"/>
      <c r="BT13" s="782"/>
      <c r="BU13" s="782"/>
      <c r="BV13" s="792"/>
      <c r="BW13" s="790"/>
      <c r="BX13" s="782"/>
      <c r="BY13" s="782"/>
      <c r="BZ13" s="782"/>
      <c r="CA13" s="782"/>
      <c r="CB13" s="782"/>
      <c r="CC13" s="782"/>
      <c r="CD13" s="792"/>
      <c r="CE13" s="790"/>
      <c r="CF13" s="782"/>
      <c r="CG13" s="782"/>
      <c r="CH13" s="782"/>
      <c r="CI13" s="782"/>
      <c r="CJ13" s="782"/>
      <c r="CK13" s="782"/>
      <c r="CL13" s="792"/>
      <c r="CM13" s="790"/>
      <c r="CN13" s="782"/>
      <c r="CO13" s="782"/>
      <c r="CP13" s="782"/>
      <c r="CQ13" s="782"/>
      <c r="CR13" s="782"/>
      <c r="CS13" s="75"/>
      <c r="CT13" s="75"/>
      <c r="CU13" s="75"/>
      <c r="CV13" s="75"/>
      <c r="CW13" s="75"/>
      <c r="CX13" s="75"/>
      <c r="CY13" s="75"/>
      <c r="CZ13" s="75"/>
      <c r="DA13" s="75"/>
      <c r="DB13" s="75"/>
      <c r="DC13" s="75"/>
      <c r="DD13" s="75"/>
      <c r="DE13" s="75"/>
      <c r="DF13" s="75"/>
      <c r="DG13" s="75"/>
      <c r="DH13" s="75"/>
      <c r="DI13" s="75"/>
      <c r="DJ13" s="75"/>
      <c r="DK13" s="75"/>
      <c r="DL13" s="75"/>
      <c r="DM13" s="75"/>
      <c r="DN13" s="75"/>
      <c r="DO13" s="75"/>
      <c r="DP13" s="75"/>
      <c r="DQ13" s="75"/>
      <c r="DR13" s="75"/>
      <c r="DS13" s="75"/>
      <c r="DT13" s="75"/>
      <c r="DU13" s="75"/>
      <c r="DV13" s="75"/>
      <c r="DW13" s="75"/>
      <c r="DX13" s="75"/>
      <c r="DY13" s="75"/>
      <c r="DZ13" s="75"/>
      <c r="EA13" s="75"/>
      <c r="EB13" s="75"/>
      <c r="EC13" s="75"/>
      <c r="ED13" s="75"/>
      <c r="EE13" s="75"/>
      <c r="EF13" s="75"/>
      <c r="EG13" s="75"/>
      <c r="EH13" s="75"/>
      <c r="EI13" s="75"/>
      <c r="EJ13" s="75"/>
      <c r="EK13" s="75"/>
      <c r="EL13" s="75"/>
      <c r="EM13" s="75"/>
      <c r="EN13" s="75"/>
      <c r="EO13" s="75"/>
      <c r="EP13" s="75"/>
      <c r="EQ13" s="75"/>
      <c r="ER13" s="75"/>
      <c r="ES13" s="75"/>
      <c r="ET13" s="75"/>
      <c r="EU13" s="75"/>
      <c r="EV13" s="75"/>
      <c r="EW13" s="75"/>
      <c r="EX13" s="75"/>
    </row>
    <row r="14" spans="1:154" s="18" customFormat="1" ht="24" x14ac:dyDescent="0.25">
      <c r="A14" s="767"/>
      <c r="B14" s="767"/>
      <c r="C14" s="767"/>
      <c r="D14" s="767"/>
      <c r="E14" s="768"/>
      <c r="F14" s="767"/>
      <c r="G14" s="768"/>
      <c r="H14" s="767"/>
      <c r="I14" s="788"/>
      <c r="J14" s="767"/>
      <c r="K14" s="767"/>
      <c r="L14" s="769" t="s">
        <v>1712</v>
      </c>
      <c r="M14" s="769" t="s">
        <v>1713</v>
      </c>
      <c r="N14" s="771" t="s">
        <v>93</v>
      </c>
      <c r="O14" s="771">
        <v>0</v>
      </c>
      <c r="P14" s="777">
        <v>1</v>
      </c>
      <c r="Q14" s="794"/>
      <c r="R14" s="769"/>
      <c r="S14" s="794"/>
      <c r="T14" s="771"/>
      <c r="U14" s="795"/>
      <c r="V14" s="772"/>
      <c r="W14" s="773"/>
      <c r="X14" s="774"/>
      <c r="Y14" s="771"/>
      <c r="Z14" s="777"/>
      <c r="AA14" s="777"/>
      <c r="AB14" s="771"/>
      <c r="AC14" s="771"/>
      <c r="AD14" s="771"/>
      <c r="AE14" s="771"/>
      <c r="AF14" s="771"/>
      <c r="AG14" s="771"/>
      <c r="AH14" s="777"/>
      <c r="AI14" s="777"/>
      <c r="AJ14" s="771"/>
      <c r="AK14" s="771"/>
      <c r="AL14" s="771"/>
      <c r="AM14" s="771"/>
      <c r="AN14" s="771"/>
      <c r="AO14" s="771"/>
      <c r="AP14" s="777"/>
      <c r="AQ14" s="777"/>
      <c r="AR14" s="771"/>
      <c r="AS14" s="771"/>
      <c r="AT14" s="771"/>
      <c r="AU14" s="771"/>
      <c r="AV14" s="771"/>
      <c r="AW14" s="771"/>
      <c r="AX14" s="777"/>
      <c r="AY14" s="777"/>
      <c r="AZ14" s="771"/>
      <c r="BA14" s="771"/>
      <c r="BB14" s="771"/>
      <c r="BC14" s="771"/>
      <c r="BD14" s="771"/>
      <c r="BE14" s="771"/>
      <c r="BF14" s="777"/>
      <c r="BG14" s="777"/>
      <c r="BH14" s="771"/>
      <c r="BI14" s="771"/>
      <c r="BJ14" s="771"/>
      <c r="BK14" s="771"/>
      <c r="BL14" s="771"/>
      <c r="BM14" s="771"/>
      <c r="BN14" s="777"/>
      <c r="BO14" s="777"/>
      <c r="BP14" s="771"/>
      <c r="BQ14" s="771"/>
      <c r="BR14" s="771"/>
      <c r="BS14" s="771"/>
      <c r="BT14" s="771"/>
      <c r="BU14" s="771"/>
      <c r="BV14" s="777"/>
      <c r="BW14" s="777"/>
      <c r="BX14" s="771"/>
      <c r="BY14" s="771"/>
      <c r="BZ14" s="771"/>
      <c r="CA14" s="771"/>
      <c r="CB14" s="771"/>
      <c r="CC14" s="771"/>
      <c r="CD14" s="777"/>
      <c r="CE14" s="777"/>
      <c r="CF14" s="771"/>
      <c r="CG14" s="771"/>
      <c r="CH14" s="771"/>
      <c r="CI14" s="771"/>
      <c r="CJ14" s="771"/>
      <c r="CK14" s="771"/>
      <c r="CL14" s="777"/>
      <c r="CM14" s="777"/>
      <c r="CN14" s="771"/>
      <c r="CO14" s="771"/>
      <c r="CP14" s="771"/>
      <c r="CQ14" s="771"/>
      <c r="CR14" s="771"/>
      <c r="CS14" s="75"/>
      <c r="CT14" s="75"/>
      <c r="CU14" s="75"/>
      <c r="CV14" s="75"/>
      <c r="CW14" s="75"/>
      <c r="CX14" s="75"/>
      <c r="CY14" s="75"/>
      <c r="CZ14" s="75"/>
      <c r="DA14" s="75"/>
      <c r="DB14" s="75"/>
      <c r="DC14" s="75"/>
      <c r="DD14" s="75"/>
      <c r="DE14" s="75"/>
      <c r="DF14" s="75"/>
      <c r="DG14" s="75"/>
      <c r="DH14" s="75"/>
      <c r="DI14" s="75"/>
      <c r="DJ14" s="75"/>
      <c r="DK14" s="75"/>
      <c r="DL14" s="75"/>
      <c r="DM14" s="75"/>
      <c r="DN14" s="75"/>
      <c r="DO14" s="75"/>
      <c r="DP14" s="75"/>
      <c r="DQ14" s="75"/>
      <c r="DR14" s="75"/>
      <c r="DS14" s="75"/>
      <c r="DT14" s="75"/>
      <c r="DU14" s="75"/>
      <c r="DV14" s="75"/>
      <c r="DW14" s="75"/>
      <c r="DX14" s="75"/>
      <c r="DY14" s="75"/>
      <c r="DZ14" s="75"/>
      <c r="EA14" s="75"/>
      <c r="EB14" s="75"/>
      <c r="EC14" s="75"/>
      <c r="ED14" s="75"/>
      <c r="EE14" s="75"/>
      <c r="EF14" s="75"/>
      <c r="EG14" s="75"/>
      <c r="EH14" s="75"/>
      <c r="EI14" s="75"/>
      <c r="EJ14" s="75"/>
      <c r="EK14" s="75"/>
      <c r="EL14" s="75"/>
      <c r="EM14" s="75"/>
      <c r="EN14" s="75"/>
      <c r="EO14" s="75"/>
      <c r="EP14" s="75"/>
      <c r="EQ14" s="75"/>
      <c r="ER14" s="75"/>
      <c r="ES14" s="75"/>
      <c r="ET14" s="75"/>
      <c r="EU14" s="75"/>
      <c r="EV14" s="75"/>
      <c r="EW14" s="75"/>
      <c r="EX14" s="75"/>
    </row>
    <row r="15" spans="1:154" s="29" customFormat="1" ht="24" x14ac:dyDescent="0.25">
      <c r="A15" s="767"/>
      <c r="B15" s="767"/>
      <c r="C15" s="767"/>
      <c r="D15" s="767"/>
      <c r="E15" s="768"/>
      <c r="F15" s="767"/>
      <c r="G15" s="768"/>
      <c r="H15" s="767"/>
      <c r="I15" s="788"/>
      <c r="J15" s="767"/>
      <c r="K15" s="767"/>
      <c r="L15" s="781" t="s">
        <v>1714</v>
      </c>
      <c r="M15" s="785" t="s">
        <v>1715</v>
      </c>
      <c r="N15" s="782" t="s">
        <v>93</v>
      </c>
      <c r="O15" s="782">
        <v>0</v>
      </c>
      <c r="P15" s="790">
        <v>1</v>
      </c>
      <c r="Q15" s="780"/>
      <c r="R15" s="781"/>
      <c r="S15" s="780"/>
      <c r="T15" s="782"/>
      <c r="U15" s="792"/>
      <c r="V15" s="772"/>
      <c r="W15" s="773"/>
      <c r="X15" s="774"/>
      <c r="Y15" s="782"/>
      <c r="Z15" s="790"/>
      <c r="AA15" s="790"/>
      <c r="AB15" s="782"/>
      <c r="AC15" s="782"/>
      <c r="AD15" s="782"/>
      <c r="AE15" s="782"/>
      <c r="AF15" s="782"/>
      <c r="AG15" s="782"/>
      <c r="AH15" s="790"/>
      <c r="AI15" s="790"/>
      <c r="AJ15" s="782"/>
      <c r="AK15" s="782"/>
      <c r="AL15" s="782"/>
      <c r="AM15" s="782"/>
      <c r="AN15" s="782"/>
      <c r="AO15" s="782"/>
      <c r="AP15" s="790"/>
      <c r="AQ15" s="790"/>
      <c r="AR15" s="782"/>
      <c r="AS15" s="782"/>
      <c r="AT15" s="782"/>
      <c r="AU15" s="782"/>
      <c r="AV15" s="782"/>
      <c r="AW15" s="782"/>
      <c r="AX15" s="790"/>
      <c r="AY15" s="790"/>
      <c r="AZ15" s="782"/>
      <c r="BA15" s="782"/>
      <c r="BB15" s="782"/>
      <c r="BC15" s="782"/>
      <c r="BD15" s="782"/>
      <c r="BE15" s="782"/>
      <c r="BF15" s="790"/>
      <c r="BG15" s="790"/>
      <c r="BH15" s="782"/>
      <c r="BI15" s="782"/>
      <c r="BJ15" s="782"/>
      <c r="BK15" s="782"/>
      <c r="BL15" s="782"/>
      <c r="BM15" s="782"/>
      <c r="BN15" s="790"/>
      <c r="BO15" s="790"/>
      <c r="BP15" s="782"/>
      <c r="BQ15" s="782"/>
      <c r="BR15" s="782"/>
      <c r="BS15" s="782"/>
      <c r="BT15" s="782"/>
      <c r="BU15" s="782"/>
      <c r="BV15" s="790"/>
      <c r="BW15" s="790"/>
      <c r="BX15" s="782"/>
      <c r="BY15" s="782"/>
      <c r="BZ15" s="782"/>
      <c r="CA15" s="782"/>
      <c r="CB15" s="782"/>
      <c r="CC15" s="782"/>
      <c r="CD15" s="790"/>
      <c r="CE15" s="790"/>
      <c r="CF15" s="782"/>
      <c r="CG15" s="782"/>
      <c r="CH15" s="782"/>
      <c r="CI15" s="782"/>
      <c r="CJ15" s="782"/>
      <c r="CK15" s="782"/>
      <c r="CL15" s="790"/>
      <c r="CM15" s="790"/>
      <c r="CN15" s="782"/>
      <c r="CO15" s="782"/>
      <c r="CP15" s="782"/>
      <c r="CQ15" s="782"/>
      <c r="CR15" s="782"/>
      <c r="CS15" s="75"/>
      <c r="CT15" s="75"/>
      <c r="CU15" s="75"/>
      <c r="CV15" s="75"/>
      <c r="CW15" s="75"/>
      <c r="CX15" s="75"/>
      <c r="CY15" s="75"/>
      <c r="CZ15" s="75"/>
      <c r="DA15" s="75"/>
      <c r="DB15" s="75"/>
      <c r="DC15" s="75"/>
      <c r="DD15" s="75"/>
      <c r="DE15" s="75"/>
      <c r="DF15" s="75"/>
      <c r="DG15" s="75"/>
      <c r="DH15" s="75"/>
      <c r="DI15" s="75"/>
      <c r="DJ15" s="75"/>
      <c r="DK15" s="75"/>
      <c r="DL15" s="75"/>
      <c r="DM15" s="75"/>
      <c r="DN15" s="75"/>
      <c r="DO15" s="75"/>
      <c r="DP15" s="75"/>
      <c r="DQ15" s="75"/>
      <c r="DR15" s="75"/>
      <c r="DS15" s="75"/>
      <c r="DT15" s="75"/>
      <c r="DU15" s="75"/>
      <c r="DV15" s="75"/>
      <c r="DW15" s="75"/>
      <c r="DX15" s="75"/>
      <c r="DY15" s="75"/>
      <c r="DZ15" s="75"/>
      <c r="EA15" s="75"/>
      <c r="EB15" s="75"/>
      <c r="EC15" s="75"/>
      <c r="ED15" s="75"/>
      <c r="EE15" s="75"/>
      <c r="EF15" s="75"/>
      <c r="EG15" s="75"/>
      <c r="EH15" s="75"/>
      <c r="EI15" s="75"/>
      <c r="EJ15" s="75"/>
      <c r="EK15" s="75"/>
      <c r="EL15" s="75"/>
      <c r="EM15" s="75"/>
      <c r="EN15" s="75"/>
      <c r="EO15" s="75"/>
      <c r="EP15" s="75"/>
      <c r="EQ15" s="75"/>
      <c r="ER15" s="75"/>
      <c r="ES15" s="75"/>
      <c r="ET15" s="75"/>
      <c r="EU15" s="75"/>
      <c r="EV15" s="75"/>
      <c r="EW15" s="75"/>
      <c r="EX15" s="75"/>
    </row>
    <row r="16" spans="1:154" s="29" customFormat="1" ht="24" x14ac:dyDescent="0.25">
      <c r="A16" s="767"/>
      <c r="B16" s="767"/>
      <c r="C16" s="767"/>
      <c r="D16" s="767"/>
      <c r="E16" s="768"/>
      <c r="F16" s="767"/>
      <c r="G16" s="768"/>
      <c r="H16" s="767"/>
      <c r="I16" s="788"/>
      <c r="J16" s="767"/>
      <c r="K16" s="767"/>
      <c r="L16" s="769" t="s">
        <v>1716</v>
      </c>
      <c r="M16" s="778" t="s">
        <v>1717</v>
      </c>
      <c r="N16" s="771" t="s">
        <v>93</v>
      </c>
      <c r="O16" s="771">
        <v>0</v>
      </c>
      <c r="P16" s="777">
        <v>1</v>
      </c>
      <c r="Q16" s="794"/>
      <c r="R16" s="769"/>
      <c r="S16" s="794"/>
      <c r="T16" s="771"/>
      <c r="U16" s="795"/>
      <c r="V16" s="772"/>
      <c r="W16" s="773"/>
      <c r="X16" s="774"/>
      <c r="Y16" s="771"/>
      <c r="Z16" s="777"/>
      <c r="AA16" s="777"/>
      <c r="AB16" s="771"/>
      <c r="AC16" s="771"/>
      <c r="AD16" s="771"/>
      <c r="AE16" s="771"/>
      <c r="AF16" s="771"/>
      <c r="AG16" s="771"/>
      <c r="AH16" s="777"/>
      <c r="AI16" s="777"/>
      <c r="AJ16" s="771"/>
      <c r="AK16" s="771"/>
      <c r="AL16" s="771"/>
      <c r="AM16" s="771"/>
      <c r="AN16" s="771"/>
      <c r="AO16" s="771"/>
      <c r="AP16" s="777"/>
      <c r="AQ16" s="777"/>
      <c r="AR16" s="771"/>
      <c r="AS16" s="771"/>
      <c r="AT16" s="771"/>
      <c r="AU16" s="771"/>
      <c r="AV16" s="771"/>
      <c r="AW16" s="771"/>
      <c r="AX16" s="777"/>
      <c r="AY16" s="777"/>
      <c r="AZ16" s="771"/>
      <c r="BA16" s="771"/>
      <c r="BB16" s="771"/>
      <c r="BC16" s="771"/>
      <c r="BD16" s="771"/>
      <c r="BE16" s="771"/>
      <c r="BF16" s="777"/>
      <c r="BG16" s="777"/>
      <c r="BH16" s="771"/>
      <c r="BI16" s="771"/>
      <c r="BJ16" s="771"/>
      <c r="BK16" s="771"/>
      <c r="BL16" s="771"/>
      <c r="BM16" s="771"/>
      <c r="BN16" s="777"/>
      <c r="BO16" s="777"/>
      <c r="BP16" s="771"/>
      <c r="BQ16" s="771"/>
      <c r="BR16" s="771"/>
      <c r="BS16" s="771"/>
      <c r="BT16" s="771"/>
      <c r="BU16" s="771"/>
      <c r="BV16" s="777"/>
      <c r="BW16" s="777"/>
      <c r="BX16" s="771"/>
      <c r="BY16" s="771"/>
      <c r="BZ16" s="771"/>
      <c r="CA16" s="771"/>
      <c r="CB16" s="771"/>
      <c r="CC16" s="771"/>
      <c r="CD16" s="777"/>
      <c r="CE16" s="777"/>
      <c r="CF16" s="771"/>
      <c r="CG16" s="771"/>
      <c r="CH16" s="771"/>
      <c r="CI16" s="771"/>
      <c r="CJ16" s="771"/>
      <c r="CK16" s="771"/>
      <c r="CL16" s="777"/>
      <c r="CM16" s="777"/>
      <c r="CN16" s="771"/>
      <c r="CO16" s="771"/>
      <c r="CP16" s="771"/>
      <c r="CQ16" s="771"/>
      <c r="CR16" s="771"/>
      <c r="CS16" s="75"/>
      <c r="CT16" s="75"/>
      <c r="CU16" s="75"/>
      <c r="CV16" s="75"/>
      <c r="CW16" s="75"/>
      <c r="CX16" s="75"/>
      <c r="CY16" s="75"/>
      <c r="CZ16" s="75"/>
      <c r="DA16" s="75"/>
      <c r="DB16" s="75"/>
      <c r="DC16" s="75"/>
      <c r="DD16" s="75"/>
      <c r="DE16" s="75"/>
      <c r="DF16" s="75"/>
      <c r="DG16" s="75"/>
      <c r="DH16" s="75"/>
      <c r="DI16" s="75"/>
      <c r="DJ16" s="75"/>
      <c r="DK16" s="75"/>
      <c r="DL16" s="75"/>
      <c r="DM16" s="75"/>
      <c r="DN16" s="75"/>
      <c r="DO16" s="75"/>
      <c r="DP16" s="75"/>
      <c r="DQ16" s="75"/>
      <c r="DR16" s="75"/>
      <c r="DS16" s="75"/>
      <c r="DT16" s="75"/>
      <c r="DU16" s="75"/>
      <c r="DV16" s="75"/>
      <c r="DW16" s="75"/>
      <c r="DX16" s="75"/>
      <c r="DY16" s="75"/>
      <c r="DZ16" s="75"/>
      <c r="EA16" s="75"/>
      <c r="EB16" s="75"/>
      <c r="EC16" s="75"/>
      <c r="ED16" s="75"/>
      <c r="EE16" s="75"/>
      <c r="EF16" s="75"/>
      <c r="EG16" s="75"/>
      <c r="EH16" s="75"/>
      <c r="EI16" s="75"/>
      <c r="EJ16" s="75"/>
      <c r="EK16" s="75"/>
      <c r="EL16" s="75"/>
      <c r="EM16" s="75"/>
      <c r="EN16" s="75"/>
      <c r="EO16" s="75"/>
      <c r="EP16" s="75"/>
      <c r="EQ16" s="75"/>
      <c r="ER16" s="75"/>
      <c r="ES16" s="75"/>
      <c r="ET16" s="75"/>
      <c r="EU16" s="75"/>
      <c r="EV16" s="75"/>
      <c r="EW16" s="75"/>
      <c r="EX16" s="75"/>
    </row>
    <row r="17" spans="1:154" s="29" customFormat="1" ht="36" x14ac:dyDescent="0.25">
      <c r="A17" s="767"/>
      <c r="B17" s="767"/>
      <c r="C17" s="767"/>
      <c r="D17" s="767"/>
      <c r="E17" s="768"/>
      <c r="F17" s="767"/>
      <c r="G17" s="768"/>
      <c r="H17" s="767"/>
      <c r="I17" s="788"/>
      <c r="J17" s="767"/>
      <c r="K17" s="767"/>
      <c r="L17" s="781" t="s">
        <v>1718</v>
      </c>
      <c r="M17" s="785" t="s">
        <v>1719</v>
      </c>
      <c r="N17" s="782" t="s">
        <v>93</v>
      </c>
      <c r="O17" s="782">
        <v>0</v>
      </c>
      <c r="P17" s="790">
        <v>1</v>
      </c>
      <c r="Q17" s="780"/>
      <c r="R17" s="781"/>
      <c r="S17" s="780"/>
      <c r="T17" s="782"/>
      <c r="U17" s="782"/>
      <c r="V17" s="772"/>
      <c r="W17" s="773"/>
      <c r="X17" s="774"/>
      <c r="Y17" s="782"/>
      <c r="Z17" s="782"/>
      <c r="AA17" s="799"/>
      <c r="AB17" s="781"/>
      <c r="AC17" s="782"/>
      <c r="AD17" s="782"/>
      <c r="AE17" s="782"/>
      <c r="AF17" s="781"/>
      <c r="AG17" s="782"/>
      <c r="AH17" s="782"/>
      <c r="AI17" s="799"/>
      <c r="AJ17" s="781"/>
      <c r="AK17" s="782"/>
      <c r="AL17" s="782"/>
      <c r="AM17" s="782"/>
      <c r="AN17" s="781"/>
      <c r="AO17" s="782"/>
      <c r="AP17" s="782"/>
      <c r="AQ17" s="799"/>
      <c r="AR17" s="781"/>
      <c r="AS17" s="782"/>
      <c r="AT17" s="782"/>
      <c r="AU17" s="782"/>
      <c r="AV17" s="781"/>
      <c r="AW17" s="782"/>
      <c r="AX17" s="782"/>
      <c r="AY17" s="799"/>
      <c r="AZ17" s="781"/>
      <c r="BA17" s="782"/>
      <c r="BB17" s="782"/>
      <c r="BC17" s="782"/>
      <c r="BD17" s="781"/>
      <c r="BE17" s="782"/>
      <c r="BF17" s="782"/>
      <c r="BG17" s="799"/>
      <c r="BH17" s="781"/>
      <c r="BI17" s="782"/>
      <c r="BJ17" s="782"/>
      <c r="BK17" s="782"/>
      <c r="BL17" s="781"/>
      <c r="BM17" s="782"/>
      <c r="BN17" s="782"/>
      <c r="BO17" s="799"/>
      <c r="BP17" s="781"/>
      <c r="BQ17" s="782"/>
      <c r="BR17" s="782"/>
      <c r="BS17" s="782"/>
      <c r="BT17" s="781"/>
      <c r="BU17" s="782"/>
      <c r="BV17" s="782"/>
      <c r="BW17" s="799"/>
      <c r="BX17" s="781"/>
      <c r="BY17" s="782"/>
      <c r="BZ17" s="782"/>
      <c r="CA17" s="782"/>
      <c r="CB17" s="781"/>
      <c r="CC17" s="782"/>
      <c r="CD17" s="782"/>
      <c r="CE17" s="799"/>
      <c r="CF17" s="781"/>
      <c r="CG17" s="782"/>
      <c r="CH17" s="782"/>
      <c r="CI17" s="782"/>
      <c r="CJ17" s="781"/>
      <c r="CK17" s="782"/>
      <c r="CL17" s="782"/>
      <c r="CM17" s="799"/>
      <c r="CN17" s="781"/>
      <c r="CO17" s="782"/>
      <c r="CP17" s="782"/>
      <c r="CQ17" s="782"/>
      <c r="CR17" s="781"/>
      <c r="CS17" s="75"/>
      <c r="CT17" s="75"/>
      <c r="CU17" s="75"/>
      <c r="CV17" s="75"/>
      <c r="CW17" s="75"/>
      <c r="CX17" s="75"/>
      <c r="CY17" s="75"/>
      <c r="CZ17" s="75"/>
      <c r="DA17" s="75"/>
      <c r="DB17" s="75"/>
      <c r="DC17" s="75"/>
      <c r="DD17" s="75"/>
      <c r="DE17" s="75"/>
      <c r="DF17" s="75"/>
      <c r="DG17" s="75"/>
      <c r="DH17" s="75"/>
      <c r="DI17" s="75"/>
      <c r="DJ17" s="75"/>
      <c r="DK17" s="75"/>
      <c r="DL17" s="75"/>
      <c r="DM17" s="75"/>
      <c r="DN17" s="75"/>
      <c r="DO17" s="75"/>
      <c r="DP17" s="75"/>
      <c r="DQ17" s="75"/>
      <c r="DR17" s="75"/>
      <c r="DS17" s="75"/>
      <c r="DT17" s="75"/>
      <c r="DU17" s="75"/>
      <c r="DV17" s="75"/>
      <c r="DW17" s="75"/>
      <c r="DX17" s="75"/>
      <c r="DY17" s="75"/>
      <c r="DZ17" s="75"/>
      <c r="EA17" s="75"/>
      <c r="EB17" s="75"/>
      <c r="EC17" s="75"/>
      <c r="ED17" s="75"/>
      <c r="EE17" s="75"/>
      <c r="EF17" s="75"/>
      <c r="EG17" s="75"/>
      <c r="EH17" s="75"/>
      <c r="EI17" s="75"/>
      <c r="EJ17" s="75"/>
      <c r="EK17" s="75"/>
      <c r="EL17" s="75"/>
      <c r="EM17" s="75"/>
      <c r="EN17" s="75"/>
      <c r="EO17" s="75"/>
      <c r="EP17" s="75"/>
      <c r="EQ17" s="75"/>
      <c r="ER17" s="75"/>
      <c r="ES17" s="75"/>
      <c r="ET17" s="75"/>
      <c r="EU17" s="75"/>
      <c r="EV17" s="75"/>
      <c r="EW17" s="75"/>
      <c r="EX17" s="75"/>
    </row>
    <row r="18" spans="1:154" s="18" customFormat="1" ht="36" x14ac:dyDescent="0.25">
      <c r="A18" s="767"/>
      <c r="B18" s="767"/>
      <c r="C18" s="767"/>
      <c r="D18" s="767"/>
      <c r="E18" s="794" t="s">
        <v>1720</v>
      </c>
      <c r="F18" s="769" t="s">
        <v>851</v>
      </c>
      <c r="G18" s="768"/>
      <c r="H18" s="767"/>
      <c r="I18" s="778" t="s">
        <v>384</v>
      </c>
      <c r="J18" s="767"/>
      <c r="K18" s="767"/>
      <c r="L18" s="794" t="s">
        <v>1721</v>
      </c>
      <c r="M18" s="778" t="s">
        <v>1722</v>
      </c>
      <c r="N18" s="771" t="s">
        <v>93</v>
      </c>
      <c r="O18" s="771">
        <v>50</v>
      </c>
      <c r="P18" s="777">
        <v>0.4</v>
      </c>
      <c r="Q18" s="794"/>
      <c r="R18" s="769"/>
      <c r="S18" s="794"/>
      <c r="T18" s="771"/>
      <c r="U18" s="771"/>
      <c r="V18" s="772"/>
      <c r="W18" s="773"/>
      <c r="X18" s="774"/>
      <c r="Y18" s="800">
        <v>8.0799999999999997E-2</v>
      </c>
      <c r="Z18" s="795">
        <v>0.4</v>
      </c>
      <c r="AA18" s="777"/>
      <c r="AB18" s="769" t="s">
        <v>1723</v>
      </c>
      <c r="AC18" s="794"/>
      <c r="AD18" s="794"/>
      <c r="AE18" s="794"/>
      <c r="AF18" s="769"/>
      <c r="AG18" s="800">
        <v>7.3099999999999998E-2</v>
      </c>
      <c r="AH18" s="795">
        <v>0.4</v>
      </c>
      <c r="AI18" s="777"/>
      <c r="AJ18" s="769" t="s">
        <v>1724</v>
      </c>
      <c r="AK18" s="794"/>
      <c r="AL18" s="794"/>
      <c r="AM18" s="794"/>
      <c r="AN18" s="769"/>
      <c r="AO18" s="800">
        <v>7.9000000000000001E-2</v>
      </c>
      <c r="AP18" s="795">
        <v>0.4</v>
      </c>
      <c r="AQ18" s="777"/>
      <c r="AR18" s="769" t="s">
        <v>1725</v>
      </c>
      <c r="AS18" s="794"/>
      <c r="AT18" s="794"/>
      <c r="AU18" s="794"/>
      <c r="AV18" s="769"/>
      <c r="AW18" s="800">
        <v>8.0799999999999997E-2</v>
      </c>
      <c r="AX18" s="795">
        <v>0.4</v>
      </c>
      <c r="AY18" s="777"/>
      <c r="AZ18" s="769" t="s">
        <v>1726</v>
      </c>
      <c r="BA18" s="794"/>
      <c r="BB18" s="794"/>
      <c r="BC18" s="794"/>
      <c r="BD18" s="769"/>
      <c r="BE18" s="787">
        <v>8.2400000000000001E-2</v>
      </c>
      <c r="BF18" s="795">
        <v>0.4</v>
      </c>
      <c r="BG18" s="777"/>
      <c r="BH18" s="769" t="s">
        <v>1727</v>
      </c>
      <c r="BI18" s="794"/>
      <c r="BJ18" s="794"/>
      <c r="BK18" s="794"/>
      <c r="BL18" s="769"/>
      <c r="BM18" s="787" t="s">
        <v>1728</v>
      </c>
      <c r="BN18" s="795">
        <v>0.4</v>
      </c>
      <c r="BO18" s="777"/>
      <c r="BP18" s="769" t="s">
        <v>1729</v>
      </c>
      <c r="BQ18" s="794"/>
      <c r="BR18" s="794"/>
      <c r="BS18" s="794"/>
      <c r="BT18" s="769"/>
      <c r="BU18" s="787">
        <v>8.1600000000000006E-2</v>
      </c>
      <c r="BV18" s="795">
        <v>0.4</v>
      </c>
      <c r="BW18" s="777"/>
      <c r="BX18" s="769" t="s">
        <v>1730</v>
      </c>
      <c r="BY18" s="794"/>
      <c r="BZ18" s="794"/>
      <c r="CA18" s="794"/>
      <c r="CB18" s="769"/>
      <c r="CC18" s="787">
        <v>8.3000000000000004E-2</v>
      </c>
      <c r="CD18" s="795">
        <v>0.4</v>
      </c>
      <c r="CE18" s="777"/>
      <c r="CF18" s="769" t="s">
        <v>1731</v>
      </c>
      <c r="CG18" s="794"/>
      <c r="CH18" s="794"/>
      <c r="CI18" s="794"/>
      <c r="CJ18" s="769"/>
      <c r="CK18" s="787">
        <v>8.09E-2</v>
      </c>
      <c r="CL18" s="795">
        <v>0.4</v>
      </c>
      <c r="CM18" s="777"/>
      <c r="CN18" s="769" t="s">
        <v>1732</v>
      </c>
      <c r="CO18" s="794"/>
      <c r="CP18" s="794"/>
      <c r="CQ18" s="794"/>
      <c r="CR18" s="769"/>
      <c r="CS18" s="75"/>
      <c r="CT18" s="75"/>
      <c r="CU18" s="75"/>
      <c r="CV18" s="75"/>
      <c r="CW18" s="75"/>
      <c r="CX18" s="75"/>
      <c r="CY18" s="75"/>
      <c r="CZ18" s="75"/>
      <c r="DA18" s="75"/>
      <c r="DB18" s="75"/>
      <c r="DC18" s="75"/>
      <c r="DD18" s="75"/>
      <c r="DE18" s="75"/>
      <c r="DF18" s="75"/>
      <c r="DG18" s="75"/>
      <c r="DH18" s="75"/>
      <c r="DI18" s="75"/>
      <c r="DJ18" s="75"/>
      <c r="DK18" s="75"/>
      <c r="DL18" s="75"/>
      <c r="DM18" s="75"/>
      <c r="DN18" s="75"/>
      <c r="DO18" s="75"/>
      <c r="DP18" s="75"/>
      <c r="DQ18" s="75"/>
      <c r="DR18" s="75"/>
      <c r="DS18" s="75"/>
      <c r="DT18" s="75"/>
      <c r="DU18" s="75"/>
      <c r="DV18" s="75"/>
      <c r="DW18" s="75"/>
      <c r="DX18" s="75"/>
      <c r="DY18" s="75"/>
      <c r="DZ18" s="75"/>
      <c r="EA18" s="75"/>
      <c r="EB18" s="75"/>
      <c r="EC18" s="75"/>
      <c r="ED18" s="75"/>
      <c r="EE18" s="75"/>
      <c r="EF18" s="75"/>
      <c r="EG18" s="75"/>
      <c r="EH18" s="75"/>
      <c r="EI18" s="75"/>
      <c r="EJ18" s="75"/>
      <c r="EK18" s="75"/>
      <c r="EL18" s="75"/>
      <c r="EM18" s="75"/>
      <c r="EN18" s="75"/>
      <c r="EO18" s="75"/>
      <c r="EP18" s="75"/>
      <c r="EQ18" s="75"/>
      <c r="ER18" s="75"/>
      <c r="ES18" s="75"/>
      <c r="ET18" s="75"/>
      <c r="EU18" s="75"/>
      <c r="EV18" s="75"/>
      <c r="EW18" s="75"/>
      <c r="EX18" s="75"/>
    </row>
    <row r="19" spans="1:154" s="29" customFormat="1" ht="372" x14ac:dyDescent="0.25">
      <c r="A19" s="767"/>
      <c r="B19" s="767"/>
      <c r="C19" s="767"/>
      <c r="D19" s="767"/>
      <c r="E19" s="794" t="s">
        <v>1720</v>
      </c>
      <c r="F19" s="769" t="s">
        <v>851</v>
      </c>
      <c r="G19" s="788"/>
      <c r="H19" s="774"/>
      <c r="I19" s="788"/>
      <c r="J19" s="767"/>
      <c r="K19" s="774" t="s">
        <v>1733</v>
      </c>
      <c r="L19" s="801" t="s">
        <v>1734</v>
      </c>
      <c r="M19" s="767" t="s">
        <v>1734</v>
      </c>
      <c r="N19" s="768" t="s">
        <v>93</v>
      </c>
      <c r="O19" s="768">
        <v>0</v>
      </c>
      <c r="P19" s="775">
        <v>1</v>
      </c>
      <c r="Q19" s="769" t="s">
        <v>1735</v>
      </c>
      <c r="R19" s="769" t="s">
        <v>1736</v>
      </c>
      <c r="S19" s="794" t="s">
        <v>93</v>
      </c>
      <c r="T19" s="771">
        <v>0</v>
      </c>
      <c r="U19" s="777">
        <v>1</v>
      </c>
      <c r="V19" s="772">
        <v>2431029991</v>
      </c>
      <c r="W19" s="773"/>
      <c r="X19" s="774"/>
      <c r="Y19" s="802">
        <v>9</v>
      </c>
      <c r="Z19" s="788">
        <v>100</v>
      </c>
      <c r="AA19" s="803">
        <f>Y19/Z19</f>
        <v>0.09</v>
      </c>
      <c r="AB19" s="774" t="s">
        <v>1737</v>
      </c>
      <c r="AC19" s="804">
        <v>32</v>
      </c>
      <c r="AD19" s="792">
        <v>1</v>
      </c>
      <c r="AE19" s="792">
        <v>0.32</v>
      </c>
      <c r="AF19" s="781" t="s">
        <v>1738</v>
      </c>
      <c r="AG19" s="802">
        <v>14</v>
      </c>
      <c r="AH19" s="788">
        <v>100</v>
      </c>
      <c r="AI19" s="803">
        <f>AG19/AH19</f>
        <v>0.14000000000000001</v>
      </c>
      <c r="AJ19" s="774" t="s">
        <v>1739</v>
      </c>
      <c r="AK19" s="805"/>
      <c r="AL19" s="792">
        <v>1</v>
      </c>
      <c r="AM19" s="792"/>
      <c r="AN19" s="781"/>
      <c r="AO19" s="802">
        <v>22</v>
      </c>
      <c r="AP19" s="788">
        <v>100</v>
      </c>
      <c r="AQ19" s="803">
        <v>0.22</v>
      </c>
      <c r="AR19" s="774" t="s">
        <v>1740</v>
      </c>
      <c r="AS19" s="805">
        <v>0.42</v>
      </c>
      <c r="AT19" s="792">
        <v>1</v>
      </c>
      <c r="AU19" s="792">
        <v>0.42</v>
      </c>
      <c r="AV19" s="781" t="s">
        <v>1741</v>
      </c>
      <c r="AW19" s="806">
        <v>29</v>
      </c>
      <c r="AX19" s="788">
        <v>100</v>
      </c>
      <c r="AY19" s="803">
        <v>0.28999999999999998</v>
      </c>
      <c r="AZ19" s="774" t="s">
        <v>1742</v>
      </c>
      <c r="BA19" s="807">
        <v>0.51</v>
      </c>
      <c r="BB19" s="792">
        <v>1</v>
      </c>
      <c r="BC19" s="792">
        <v>0.51</v>
      </c>
      <c r="BD19" s="781" t="s">
        <v>1743</v>
      </c>
      <c r="BE19" s="781">
        <v>0</v>
      </c>
      <c r="BF19" s="788">
        <v>100</v>
      </c>
      <c r="BG19" s="803">
        <v>0.41</v>
      </c>
      <c r="BH19" s="774" t="s">
        <v>1744</v>
      </c>
      <c r="BI19" s="807">
        <v>0.52</v>
      </c>
      <c r="BJ19" s="792">
        <v>1</v>
      </c>
      <c r="BK19" s="792">
        <v>0.52</v>
      </c>
      <c r="BL19" s="781" t="s">
        <v>1745</v>
      </c>
      <c r="BM19" s="808">
        <v>0.68</v>
      </c>
      <c r="BN19" s="788">
        <v>100</v>
      </c>
      <c r="BO19" s="803">
        <v>0.68</v>
      </c>
      <c r="BP19" s="774" t="s">
        <v>1746</v>
      </c>
      <c r="BQ19" s="807">
        <v>0.54</v>
      </c>
      <c r="BR19" s="792">
        <v>1</v>
      </c>
      <c r="BS19" s="792">
        <v>0.54</v>
      </c>
      <c r="BT19" s="781" t="s">
        <v>1747</v>
      </c>
      <c r="BU19" s="808">
        <v>0.7</v>
      </c>
      <c r="BV19" s="788">
        <v>100</v>
      </c>
      <c r="BW19" s="803">
        <v>0.7</v>
      </c>
      <c r="BX19" s="774" t="s">
        <v>1748</v>
      </c>
      <c r="BY19" s="807">
        <v>0.7</v>
      </c>
      <c r="BZ19" s="792">
        <v>1</v>
      </c>
      <c r="CA19" s="792">
        <v>0.7</v>
      </c>
      <c r="CB19" s="781" t="s">
        <v>1749</v>
      </c>
      <c r="CC19" s="808">
        <v>0.74</v>
      </c>
      <c r="CD19" s="788">
        <v>100</v>
      </c>
      <c r="CE19" s="803">
        <v>0.74</v>
      </c>
      <c r="CF19" s="809" t="s">
        <v>1750</v>
      </c>
      <c r="CG19" s="807">
        <v>0.74</v>
      </c>
      <c r="CH19" s="792">
        <v>1</v>
      </c>
      <c r="CI19" s="792">
        <v>0.74</v>
      </c>
      <c r="CJ19" s="781" t="s">
        <v>1751</v>
      </c>
      <c r="CK19" s="808">
        <v>0.77</v>
      </c>
      <c r="CL19" s="788">
        <v>100</v>
      </c>
      <c r="CM19" s="803">
        <v>0.77</v>
      </c>
      <c r="CN19" s="809" t="s">
        <v>1752</v>
      </c>
      <c r="CO19" s="807">
        <v>0.81</v>
      </c>
      <c r="CP19" s="792">
        <v>1</v>
      </c>
      <c r="CQ19" s="792">
        <v>0.81</v>
      </c>
      <c r="CR19" s="781" t="s">
        <v>1753</v>
      </c>
      <c r="CS19" s="75"/>
      <c r="CT19" s="75"/>
      <c r="CU19" s="75"/>
      <c r="CV19" s="75"/>
      <c r="CW19" s="75"/>
      <c r="CX19" s="75"/>
      <c r="CY19" s="75"/>
      <c r="CZ19" s="75"/>
      <c r="DA19" s="75"/>
      <c r="DB19" s="75"/>
      <c r="DC19" s="75"/>
      <c r="DD19" s="75"/>
      <c r="DE19" s="75"/>
      <c r="DF19" s="75"/>
      <c r="DG19" s="75"/>
      <c r="DH19" s="75"/>
      <c r="DI19" s="75"/>
      <c r="DJ19" s="75"/>
      <c r="DK19" s="75"/>
      <c r="DL19" s="75"/>
      <c r="DM19" s="75"/>
      <c r="DN19" s="75"/>
      <c r="DO19" s="75"/>
      <c r="DP19" s="75"/>
      <c r="DQ19" s="75"/>
      <c r="DR19" s="75"/>
      <c r="DS19" s="75"/>
      <c r="DT19" s="75"/>
      <c r="DU19" s="75"/>
      <c r="DV19" s="75"/>
      <c r="DW19" s="75"/>
      <c r="DX19" s="75"/>
      <c r="DY19" s="75"/>
      <c r="DZ19" s="75"/>
      <c r="EA19" s="75"/>
      <c r="EB19" s="75"/>
      <c r="EC19" s="75"/>
      <c r="ED19" s="75"/>
      <c r="EE19" s="75"/>
      <c r="EF19" s="75"/>
      <c r="EG19" s="75"/>
      <c r="EH19" s="75"/>
      <c r="EI19" s="75"/>
      <c r="EJ19" s="75"/>
      <c r="EK19" s="75"/>
      <c r="EL19" s="75"/>
      <c r="EM19" s="75"/>
      <c r="EN19" s="75"/>
      <c r="EO19" s="75"/>
      <c r="EP19" s="75"/>
      <c r="EQ19" s="75"/>
      <c r="ER19" s="75"/>
      <c r="ES19" s="75"/>
      <c r="ET19" s="75"/>
      <c r="EU19" s="75"/>
      <c r="EV19" s="75"/>
      <c r="EW19" s="75"/>
      <c r="EX19" s="75"/>
    </row>
    <row r="20" spans="1:154" s="29" customFormat="1" ht="120" x14ac:dyDescent="0.25">
      <c r="A20" s="767"/>
      <c r="B20" s="767"/>
      <c r="C20" s="767"/>
      <c r="D20" s="767"/>
      <c r="E20" s="791" t="s">
        <v>1720</v>
      </c>
      <c r="F20" s="791" t="s">
        <v>851</v>
      </c>
      <c r="G20" s="788"/>
      <c r="H20" s="774"/>
      <c r="I20" s="788"/>
      <c r="J20" s="767"/>
      <c r="K20" s="774"/>
      <c r="L20" s="801"/>
      <c r="M20" s="767"/>
      <c r="N20" s="768"/>
      <c r="O20" s="768"/>
      <c r="P20" s="775"/>
      <c r="Q20" s="791" t="s">
        <v>1754</v>
      </c>
      <c r="R20" s="785" t="s">
        <v>1755</v>
      </c>
      <c r="S20" s="810" t="s">
        <v>93</v>
      </c>
      <c r="T20" s="782">
        <v>0</v>
      </c>
      <c r="U20" s="790">
        <v>1</v>
      </c>
      <c r="V20" s="772"/>
      <c r="W20" s="773"/>
      <c r="X20" s="774"/>
      <c r="Y20" s="802"/>
      <c r="Z20" s="788"/>
      <c r="AA20" s="803"/>
      <c r="AB20" s="774"/>
      <c r="AC20" s="782">
        <v>0</v>
      </c>
      <c r="AD20" s="782">
        <v>100</v>
      </c>
      <c r="AE20" s="782">
        <f>+AC20/AD20</f>
        <v>0</v>
      </c>
      <c r="AF20" s="785" t="s">
        <v>1756</v>
      </c>
      <c r="AG20" s="802"/>
      <c r="AH20" s="788"/>
      <c r="AI20" s="803"/>
      <c r="AJ20" s="774"/>
      <c r="AK20" s="805"/>
      <c r="AL20" s="782">
        <v>100</v>
      </c>
      <c r="AM20" s="805">
        <v>0</v>
      </c>
      <c r="AN20" s="811"/>
      <c r="AO20" s="802"/>
      <c r="AP20" s="788"/>
      <c r="AQ20" s="803"/>
      <c r="AR20" s="774"/>
      <c r="AS20" s="805">
        <v>0</v>
      </c>
      <c r="AT20" s="782">
        <v>100</v>
      </c>
      <c r="AU20" s="805">
        <v>0</v>
      </c>
      <c r="AV20" s="811" t="s">
        <v>1757</v>
      </c>
      <c r="AW20" s="806"/>
      <c r="AX20" s="788"/>
      <c r="AY20" s="803"/>
      <c r="AZ20" s="774"/>
      <c r="BA20" s="807">
        <v>0</v>
      </c>
      <c r="BB20" s="782">
        <v>100</v>
      </c>
      <c r="BC20" s="807">
        <v>0</v>
      </c>
      <c r="BD20" s="812" t="s">
        <v>1758</v>
      </c>
      <c r="BE20" s="781"/>
      <c r="BF20" s="788"/>
      <c r="BG20" s="803"/>
      <c r="BH20" s="774"/>
      <c r="BI20" s="807">
        <v>0</v>
      </c>
      <c r="BJ20" s="782">
        <v>100</v>
      </c>
      <c r="BK20" s="807">
        <v>0</v>
      </c>
      <c r="BL20" s="812" t="s">
        <v>1758</v>
      </c>
      <c r="BM20" s="808"/>
      <c r="BN20" s="788"/>
      <c r="BO20" s="803"/>
      <c r="BP20" s="774"/>
      <c r="BQ20" s="807">
        <v>0</v>
      </c>
      <c r="BR20" s="782">
        <v>100</v>
      </c>
      <c r="BS20" s="807">
        <v>0</v>
      </c>
      <c r="BT20" s="812" t="s">
        <v>1759</v>
      </c>
      <c r="BU20" s="808"/>
      <c r="BV20" s="788"/>
      <c r="BW20" s="803"/>
      <c r="BX20" s="774"/>
      <c r="BY20" s="813">
        <v>0</v>
      </c>
      <c r="BZ20" s="771">
        <v>100</v>
      </c>
      <c r="CA20" s="813">
        <v>0</v>
      </c>
      <c r="CB20" s="814" t="s">
        <v>1760</v>
      </c>
      <c r="CC20" s="808"/>
      <c r="CD20" s="788"/>
      <c r="CE20" s="803"/>
      <c r="CF20" s="809"/>
      <c r="CG20" s="813">
        <v>0</v>
      </c>
      <c r="CH20" s="771">
        <v>100</v>
      </c>
      <c r="CI20" s="813">
        <v>0</v>
      </c>
      <c r="CJ20" s="814" t="s">
        <v>1761</v>
      </c>
      <c r="CK20" s="808"/>
      <c r="CL20" s="788"/>
      <c r="CM20" s="803"/>
      <c r="CN20" s="809"/>
      <c r="CO20" s="807">
        <v>0.5625</v>
      </c>
      <c r="CP20" s="782">
        <v>100</v>
      </c>
      <c r="CQ20" s="807">
        <v>0.5625</v>
      </c>
      <c r="CR20" s="815" t="s">
        <v>1762</v>
      </c>
      <c r="CS20" s="75"/>
      <c r="CT20" s="75"/>
      <c r="CU20" s="75"/>
      <c r="CV20" s="75"/>
      <c r="CW20" s="75"/>
      <c r="CX20" s="75"/>
      <c r="CY20" s="75"/>
      <c r="CZ20" s="75"/>
      <c r="DA20" s="75"/>
      <c r="DB20" s="75"/>
      <c r="DC20" s="75"/>
      <c r="DD20" s="75"/>
      <c r="DE20" s="75"/>
      <c r="DF20" s="75"/>
      <c r="DG20" s="75"/>
      <c r="DH20" s="75"/>
      <c r="DI20" s="75"/>
      <c r="DJ20" s="75"/>
      <c r="DK20" s="75"/>
      <c r="DL20" s="75"/>
      <c r="DM20" s="75"/>
      <c r="DN20" s="75"/>
      <c r="DO20" s="75"/>
      <c r="DP20" s="75"/>
      <c r="DQ20" s="75"/>
      <c r="DR20" s="75"/>
      <c r="DS20" s="75"/>
      <c r="DT20" s="75"/>
      <c r="DU20" s="75"/>
      <c r="DV20" s="75"/>
      <c r="DW20" s="75"/>
      <c r="DX20" s="75"/>
      <c r="DY20" s="75"/>
      <c r="DZ20" s="75"/>
      <c r="EA20" s="75"/>
      <c r="EB20" s="75"/>
      <c r="EC20" s="75"/>
      <c r="ED20" s="75"/>
      <c r="EE20" s="75"/>
      <c r="EF20" s="75"/>
      <c r="EG20" s="75"/>
      <c r="EH20" s="75"/>
      <c r="EI20" s="75"/>
      <c r="EJ20" s="75"/>
      <c r="EK20" s="75"/>
      <c r="EL20" s="75"/>
      <c r="EM20" s="75"/>
      <c r="EN20" s="75"/>
      <c r="EO20" s="75"/>
      <c r="EP20" s="75"/>
      <c r="EQ20" s="75"/>
      <c r="ER20" s="75"/>
      <c r="ES20" s="75"/>
      <c r="ET20" s="75"/>
      <c r="EU20" s="75"/>
      <c r="EV20" s="75"/>
      <c r="EW20" s="75"/>
      <c r="EX20" s="75"/>
    </row>
    <row r="21" spans="1:154" s="29" customFormat="1" ht="300" x14ac:dyDescent="0.25">
      <c r="A21" s="767"/>
      <c r="B21" s="767"/>
      <c r="C21" s="767"/>
      <c r="D21" s="767"/>
      <c r="E21" s="791" t="s">
        <v>51</v>
      </c>
      <c r="F21" s="791" t="s">
        <v>1763</v>
      </c>
      <c r="G21" s="788"/>
      <c r="H21" s="774"/>
      <c r="I21" s="788"/>
      <c r="J21" s="767"/>
      <c r="K21" s="774"/>
      <c r="L21" s="791" t="s">
        <v>1764</v>
      </c>
      <c r="M21" s="785" t="s">
        <v>1765</v>
      </c>
      <c r="N21" s="810" t="s">
        <v>60</v>
      </c>
      <c r="O21" s="782">
        <v>0</v>
      </c>
      <c r="P21" s="790">
        <v>1</v>
      </c>
      <c r="Q21" s="780"/>
      <c r="R21" s="781"/>
      <c r="S21" s="781"/>
      <c r="T21" s="782"/>
      <c r="U21" s="782"/>
      <c r="V21" s="772"/>
      <c r="W21" s="773"/>
      <c r="X21" s="774"/>
      <c r="Y21" s="792">
        <v>0.08</v>
      </c>
      <c r="Z21" s="792">
        <v>1</v>
      </c>
      <c r="AA21" s="799">
        <v>0.08</v>
      </c>
      <c r="AB21" s="781" t="s">
        <v>1766</v>
      </c>
      <c r="AC21" s="782"/>
      <c r="AD21" s="782"/>
      <c r="AE21" s="782"/>
      <c r="AF21" s="781"/>
      <c r="AG21" s="792">
        <v>0.15</v>
      </c>
      <c r="AH21" s="792">
        <v>1</v>
      </c>
      <c r="AI21" s="799">
        <v>0.15</v>
      </c>
      <c r="AJ21" s="781" t="s">
        <v>1767</v>
      </c>
      <c r="AK21" s="782"/>
      <c r="AL21" s="782"/>
      <c r="AM21" s="782"/>
      <c r="AN21" s="781"/>
      <c r="AO21" s="792">
        <v>0.31</v>
      </c>
      <c r="AP21" s="792">
        <v>1</v>
      </c>
      <c r="AQ21" s="799">
        <v>0.31</v>
      </c>
      <c r="AR21" s="781" t="s">
        <v>1768</v>
      </c>
      <c r="AS21" s="782"/>
      <c r="AT21" s="782"/>
      <c r="AU21" s="782"/>
      <c r="AV21" s="781"/>
      <c r="AW21" s="792">
        <v>0.36</v>
      </c>
      <c r="AX21" s="792">
        <v>1</v>
      </c>
      <c r="AY21" s="799">
        <v>0.36</v>
      </c>
      <c r="AZ21" s="781" t="s">
        <v>1769</v>
      </c>
      <c r="BA21" s="782"/>
      <c r="BB21" s="782"/>
      <c r="BC21" s="782"/>
      <c r="BD21" s="781"/>
      <c r="BE21" s="792">
        <v>0.33</v>
      </c>
      <c r="BF21" s="792">
        <v>1</v>
      </c>
      <c r="BG21" s="799">
        <v>0.33</v>
      </c>
      <c r="BH21" s="781" t="s">
        <v>1770</v>
      </c>
      <c r="BI21" s="782"/>
      <c r="BJ21" s="782"/>
      <c r="BK21" s="782"/>
      <c r="BL21" s="781"/>
      <c r="BM21" s="792">
        <v>0.33</v>
      </c>
      <c r="BN21" s="792">
        <v>1</v>
      </c>
      <c r="BO21" s="799">
        <v>0.33</v>
      </c>
      <c r="BP21" s="781" t="s">
        <v>1771</v>
      </c>
      <c r="BQ21" s="782"/>
      <c r="BR21" s="782"/>
      <c r="BS21" s="782"/>
      <c r="BT21" s="781"/>
      <c r="BU21" s="783">
        <v>6</v>
      </c>
      <c r="BV21" s="792">
        <v>1</v>
      </c>
      <c r="BW21" s="816">
        <v>0.28571428571428598</v>
      </c>
      <c r="BX21" s="781" t="s">
        <v>1772</v>
      </c>
      <c r="BY21" s="782"/>
      <c r="BZ21" s="782"/>
      <c r="CA21" s="782"/>
      <c r="CB21" s="781"/>
      <c r="CC21" s="783">
        <v>7</v>
      </c>
      <c r="CD21" s="792">
        <v>1</v>
      </c>
      <c r="CE21" s="816">
        <f>(7/23)</f>
        <v>0.30434782608695654</v>
      </c>
      <c r="CF21" s="781" t="s">
        <v>1773</v>
      </c>
      <c r="CG21" s="782"/>
      <c r="CH21" s="782"/>
      <c r="CI21" s="782"/>
      <c r="CJ21" s="781"/>
      <c r="CK21" s="783">
        <v>8</v>
      </c>
      <c r="CL21" s="792">
        <v>1</v>
      </c>
      <c r="CM21" s="816">
        <f>8/18</f>
        <v>0.44444444444444442</v>
      </c>
      <c r="CN21" s="781" t="s">
        <v>1774</v>
      </c>
      <c r="CO21" s="782"/>
      <c r="CP21" s="782"/>
      <c r="CQ21" s="782"/>
      <c r="CR21" s="817"/>
      <c r="CS21" s="75"/>
      <c r="CT21" s="75"/>
      <c r="CU21" s="75"/>
      <c r="CV21" s="75"/>
      <c r="CW21" s="75"/>
      <c r="CX21" s="75"/>
      <c r="CY21" s="75"/>
      <c r="CZ21" s="75"/>
      <c r="DA21" s="75"/>
      <c r="DB21" s="75"/>
      <c r="DC21" s="75"/>
      <c r="DD21" s="75"/>
      <c r="DE21" s="75"/>
      <c r="DF21" s="75"/>
      <c r="DG21" s="75"/>
      <c r="DH21" s="75"/>
      <c r="DI21" s="75"/>
      <c r="DJ21" s="75"/>
      <c r="DK21" s="75"/>
      <c r="DL21" s="75"/>
      <c r="DM21" s="75"/>
      <c r="DN21" s="75"/>
      <c r="DO21" s="75"/>
      <c r="DP21" s="75"/>
      <c r="DQ21" s="75"/>
      <c r="DR21" s="75"/>
      <c r="DS21" s="75"/>
      <c r="DT21" s="75"/>
      <c r="DU21" s="75"/>
      <c r="DV21" s="75"/>
      <c r="DW21" s="75"/>
      <c r="DX21" s="75"/>
      <c r="DY21" s="75"/>
      <c r="DZ21" s="75"/>
      <c r="EA21" s="75"/>
      <c r="EB21" s="75"/>
      <c r="EC21" s="75"/>
      <c r="ED21" s="75"/>
      <c r="EE21" s="75"/>
      <c r="EF21" s="75"/>
      <c r="EG21" s="75"/>
      <c r="EH21" s="75"/>
      <c r="EI21" s="75"/>
      <c r="EJ21" s="75"/>
      <c r="EK21" s="75"/>
      <c r="EL21" s="75"/>
      <c r="EM21" s="75"/>
      <c r="EN21" s="75"/>
      <c r="EO21" s="75"/>
      <c r="EP21" s="75"/>
      <c r="EQ21" s="75"/>
      <c r="ER21" s="75"/>
      <c r="ES21" s="75"/>
      <c r="ET21" s="75"/>
      <c r="EU21" s="75"/>
      <c r="EV21" s="75"/>
      <c r="EW21" s="75"/>
      <c r="EX21" s="75"/>
    </row>
    <row r="22" spans="1:154" s="29" customFormat="1" ht="192" x14ac:dyDescent="0.25">
      <c r="A22" s="767"/>
      <c r="B22" s="767"/>
      <c r="C22" s="767"/>
      <c r="D22" s="767"/>
      <c r="E22" s="794" t="s">
        <v>51</v>
      </c>
      <c r="F22" s="769" t="s">
        <v>851</v>
      </c>
      <c r="G22" s="788"/>
      <c r="H22" s="774"/>
      <c r="I22" s="788"/>
      <c r="J22" s="767"/>
      <c r="K22" s="774"/>
      <c r="L22" s="769" t="s">
        <v>1775</v>
      </c>
      <c r="M22" s="769" t="s">
        <v>1776</v>
      </c>
      <c r="N22" s="794" t="s">
        <v>93</v>
      </c>
      <c r="O22" s="771">
        <v>0</v>
      </c>
      <c r="P22" s="777">
        <v>1</v>
      </c>
      <c r="Q22" s="769"/>
      <c r="R22" s="769"/>
      <c r="S22" s="769"/>
      <c r="T22" s="769"/>
      <c r="U22" s="769"/>
      <c r="V22" s="772"/>
      <c r="W22" s="773"/>
      <c r="X22" s="774"/>
      <c r="Y22" s="795">
        <v>0</v>
      </c>
      <c r="Z22" s="795">
        <v>1</v>
      </c>
      <c r="AA22" s="818">
        <v>0</v>
      </c>
      <c r="AB22" s="769" t="s">
        <v>1777</v>
      </c>
      <c r="AC22" s="794"/>
      <c r="AD22" s="794"/>
      <c r="AE22" s="794"/>
      <c r="AF22" s="769"/>
      <c r="AG22" s="795">
        <v>0.33</v>
      </c>
      <c r="AH22" s="795">
        <v>1</v>
      </c>
      <c r="AI22" s="818">
        <v>0.33</v>
      </c>
      <c r="AJ22" s="769" t="s">
        <v>1778</v>
      </c>
      <c r="AK22" s="794"/>
      <c r="AL22" s="794"/>
      <c r="AM22" s="794"/>
      <c r="AN22" s="769"/>
      <c r="AO22" s="795">
        <v>0.67</v>
      </c>
      <c r="AP22" s="795">
        <v>1</v>
      </c>
      <c r="AQ22" s="818">
        <v>0.67</v>
      </c>
      <c r="AR22" s="769" t="s">
        <v>1779</v>
      </c>
      <c r="AS22" s="794"/>
      <c r="AT22" s="794"/>
      <c r="AU22" s="794"/>
      <c r="AV22" s="769"/>
      <c r="AW22" s="795">
        <v>0.5</v>
      </c>
      <c r="AX22" s="795">
        <v>1</v>
      </c>
      <c r="AY22" s="818">
        <v>0.5</v>
      </c>
      <c r="AZ22" s="769" t="s">
        <v>1780</v>
      </c>
      <c r="BA22" s="794"/>
      <c r="BB22" s="794"/>
      <c r="BC22" s="794"/>
      <c r="BD22" s="769"/>
      <c r="BE22" s="795">
        <v>0.5</v>
      </c>
      <c r="BF22" s="795">
        <v>1</v>
      </c>
      <c r="BG22" s="818">
        <v>0.5</v>
      </c>
      <c r="BH22" s="769" t="s">
        <v>1781</v>
      </c>
      <c r="BI22" s="794"/>
      <c r="BJ22" s="794"/>
      <c r="BK22" s="794"/>
      <c r="BL22" s="769"/>
      <c r="BM22" s="795">
        <v>0.71</v>
      </c>
      <c r="BN22" s="795">
        <v>1</v>
      </c>
      <c r="BO22" s="818">
        <v>0.71</v>
      </c>
      <c r="BP22" s="769" t="s">
        <v>1782</v>
      </c>
      <c r="BQ22" s="794"/>
      <c r="BR22" s="794"/>
      <c r="BS22" s="794"/>
      <c r="BT22" s="769"/>
      <c r="BU22" s="783">
        <v>15</v>
      </c>
      <c r="BV22" s="795">
        <v>1</v>
      </c>
      <c r="BW22" s="777">
        <f>15/17</f>
        <v>0.88235294117647056</v>
      </c>
      <c r="BX22" s="769" t="s">
        <v>1783</v>
      </c>
      <c r="BY22" s="794"/>
      <c r="BZ22" s="794"/>
      <c r="CA22" s="794"/>
      <c r="CB22" s="769"/>
      <c r="CC22" s="783">
        <v>16</v>
      </c>
      <c r="CD22" s="795">
        <v>1</v>
      </c>
      <c r="CE22" s="777">
        <f>(16/17)</f>
        <v>0.94117647058823528</v>
      </c>
      <c r="CF22" s="769" t="s">
        <v>1784</v>
      </c>
      <c r="CG22" s="794"/>
      <c r="CH22" s="794"/>
      <c r="CI22" s="794"/>
      <c r="CJ22" s="769"/>
      <c r="CK22" s="783">
        <v>18</v>
      </c>
      <c r="CL22" s="795">
        <v>1</v>
      </c>
      <c r="CM22" s="777">
        <f>18/20</f>
        <v>0.9</v>
      </c>
      <c r="CN22" s="769" t="s">
        <v>1785</v>
      </c>
      <c r="CO22" s="794"/>
      <c r="CP22" s="794"/>
      <c r="CQ22" s="794"/>
      <c r="CR22" s="769"/>
      <c r="CS22" s="75"/>
      <c r="CT22" s="75"/>
      <c r="CU22" s="75"/>
      <c r="CV22" s="75"/>
      <c r="CW22" s="75"/>
      <c r="CX22" s="75"/>
      <c r="CY22" s="75"/>
      <c r="CZ22" s="75"/>
      <c r="DA22" s="75"/>
      <c r="DB22" s="75"/>
      <c r="DC22" s="75"/>
      <c r="DD22" s="75"/>
      <c r="DE22" s="75"/>
      <c r="DF22" s="75"/>
      <c r="DG22" s="75"/>
      <c r="DH22" s="75"/>
      <c r="DI22" s="75"/>
      <c r="DJ22" s="75"/>
      <c r="DK22" s="75"/>
      <c r="DL22" s="75"/>
      <c r="DM22" s="75"/>
      <c r="DN22" s="75"/>
      <c r="DO22" s="75"/>
      <c r="DP22" s="75"/>
      <c r="DQ22" s="75"/>
      <c r="DR22" s="75"/>
      <c r="DS22" s="75"/>
      <c r="DT22" s="75"/>
      <c r="DU22" s="75"/>
      <c r="DV22" s="75"/>
      <c r="DW22" s="75"/>
      <c r="DX22" s="75"/>
      <c r="DY22" s="75"/>
      <c r="DZ22" s="75"/>
      <c r="EA22" s="75"/>
      <c r="EB22" s="75"/>
      <c r="EC22" s="75"/>
      <c r="ED22" s="75"/>
      <c r="EE22" s="75"/>
      <c r="EF22" s="75"/>
      <c r="EG22" s="75"/>
      <c r="EH22" s="75"/>
      <c r="EI22" s="75"/>
      <c r="EJ22" s="75"/>
      <c r="EK22" s="75"/>
      <c r="EL22" s="75"/>
      <c r="EM22" s="75"/>
      <c r="EN22" s="75"/>
      <c r="EO22" s="75"/>
      <c r="EP22" s="75"/>
      <c r="EQ22" s="75"/>
      <c r="ER22" s="75"/>
      <c r="ES22" s="75"/>
      <c r="ET22" s="75"/>
      <c r="EU22" s="75"/>
      <c r="EV22" s="75"/>
      <c r="EW22" s="75"/>
      <c r="EX22" s="75"/>
    </row>
    <row r="23" spans="1:154" s="29" customFormat="1" ht="108" x14ac:dyDescent="0.25">
      <c r="A23" s="767"/>
      <c r="B23" s="767"/>
      <c r="C23" s="767"/>
      <c r="D23" s="767"/>
      <c r="E23" s="791" t="s">
        <v>90</v>
      </c>
      <c r="F23" s="791" t="s">
        <v>52</v>
      </c>
      <c r="G23" s="788"/>
      <c r="H23" s="774"/>
      <c r="I23" s="788"/>
      <c r="J23" s="767"/>
      <c r="K23" s="774"/>
      <c r="L23" s="774" t="s">
        <v>1786</v>
      </c>
      <c r="M23" s="774" t="s">
        <v>1787</v>
      </c>
      <c r="N23" s="788" t="s">
        <v>60</v>
      </c>
      <c r="O23" s="788">
        <v>0</v>
      </c>
      <c r="P23" s="819">
        <v>3</v>
      </c>
      <c r="Q23" s="769" t="s">
        <v>1788</v>
      </c>
      <c r="R23" s="769" t="s">
        <v>1789</v>
      </c>
      <c r="S23" s="794" t="s">
        <v>60</v>
      </c>
      <c r="T23" s="771">
        <v>0</v>
      </c>
      <c r="U23" s="820">
        <v>5</v>
      </c>
      <c r="V23" s="772"/>
      <c r="W23" s="773"/>
      <c r="X23" s="774"/>
      <c r="Y23" s="788">
        <v>0</v>
      </c>
      <c r="Z23" s="788">
        <v>3</v>
      </c>
      <c r="AA23" s="803">
        <v>0</v>
      </c>
      <c r="AB23" s="774" t="s">
        <v>1790</v>
      </c>
      <c r="AC23" s="782">
        <v>0</v>
      </c>
      <c r="AD23" s="782">
        <v>5</v>
      </c>
      <c r="AE23" s="782">
        <v>0</v>
      </c>
      <c r="AF23" s="781" t="s">
        <v>1791</v>
      </c>
      <c r="AG23" s="788">
        <v>0</v>
      </c>
      <c r="AH23" s="788">
        <v>3</v>
      </c>
      <c r="AI23" s="803">
        <v>0</v>
      </c>
      <c r="AJ23" s="774" t="s">
        <v>1792</v>
      </c>
      <c r="AK23" s="782">
        <v>0</v>
      </c>
      <c r="AL23" s="782">
        <v>5</v>
      </c>
      <c r="AM23" s="782">
        <v>0</v>
      </c>
      <c r="AN23" s="781" t="s">
        <v>1793</v>
      </c>
      <c r="AO23" s="788">
        <v>0</v>
      </c>
      <c r="AP23" s="788">
        <v>3</v>
      </c>
      <c r="AQ23" s="803">
        <v>0</v>
      </c>
      <c r="AR23" s="774" t="s">
        <v>1794</v>
      </c>
      <c r="AS23" s="782">
        <v>0</v>
      </c>
      <c r="AT23" s="782">
        <v>5</v>
      </c>
      <c r="AU23" s="782">
        <v>0</v>
      </c>
      <c r="AV23" s="781" t="s">
        <v>1793</v>
      </c>
      <c r="AW23" s="788">
        <v>0</v>
      </c>
      <c r="AX23" s="788">
        <v>3</v>
      </c>
      <c r="AY23" s="803">
        <v>0</v>
      </c>
      <c r="AZ23" s="774" t="s">
        <v>1794</v>
      </c>
      <c r="BA23" s="782">
        <v>2</v>
      </c>
      <c r="BB23" s="782">
        <v>5</v>
      </c>
      <c r="BC23" s="782">
        <v>2</v>
      </c>
      <c r="BD23" s="781" t="s">
        <v>1795</v>
      </c>
      <c r="BE23" s="788">
        <v>1</v>
      </c>
      <c r="BF23" s="788">
        <v>3</v>
      </c>
      <c r="BG23" s="803">
        <f>BE23/BF23</f>
        <v>0.33333333333333331</v>
      </c>
      <c r="BH23" s="774" t="s">
        <v>1794</v>
      </c>
      <c r="BI23" s="782">
        <v>5</v>
      </c>
      <c r="BJ23" s="782">
        <v>5</v>
      </c>
      <c r="BK23" s="782">
        <v>5</v>
      </c>
      <c r="BL23" s="781" t="s">
        <v>1796</v>
      </c>
      <c r="BM23" s="788">
        <v>1</v>
      </c>
      <c r="BN23" s="788">
        <v>3</v>
      </c>
      <c r="BO23" s="803">
        <f>BM23/BN23</f>
        <v>0.33333333333333331</v>
      </c>
      <c r="BP23" s="774" t="s">
        <v>1794</v>
      </c>
      <c r="BQ23" s="782">
        <v>5</v>
      </c>
      <c r="BR23" s="782">
        <v>5</v>
      </c>
      <c r="BS23" s="782">
        <v>5</v>
      </c>
      <c r="BT23" s="781" t="s">
        <v>1796</v>
      </c>
      <c r="BU23" s="788">
        <v>1</v>
      </c>
      <c r="BV23" s="788">
        <v>3</v>
      </c>
      <c r="BW23" s="803">
        <f>BU23/BV23</f>
        <v>0.33333333333333331</v>
      </c>
      <c r="BX23" s="774" t="s">
        <v>1797</v>
      </c>
      <c r="BY23" s="782">
        <v>5</v>
      </c>
      <c r="BZ23" s="782">
        <v>5</v>
      </c>
      <c r="CA23" s="792">
        <v>1</v>
      </c>
      <c r="CB23" s="781" t="s">
        <v>1798</v>
      </c>
      <c r="CC23" s="788">
        <v>2</v>
      </c>
      <c r="CD23" s="788">
        <v>3</v>
      </c>
      <c r="CE23" s="803">
        <f>CC23/CD23</f>
        <v>0.66666666666666663</v>
      </c>
      <c r="CF23" s="821" t="s">
        <v>1799</v>
      </c>
      <c r="CG23" s="782">
        <v>5</v>
      </c>
      <c r="CH23" s="782">
        <v>5</v>
      </c>
      <c r="CI23" s="792">
        <v>1</v>
      </c>
      <c r="CJ23" s="781" t="s">
        <v>1800</v>
      </c>
      <c r="CK23" s="788">
        <v>3</v>
      </c>
      <c r="CL23" s="788">
        <v>3</v>
      </c>
      <c r="CM23" s="803">
        <f>CK23/CL23</f>
        <v>1</v>
      </c>
      <c r="CN23" s="821" t="s">
        <v>1801</v>
      </c>
      <c r="CO23" s="782">
        <v>5</v>
      </c>
      <c r="CP23" s="782">
        <v>5</v>
      </c>
      <c r="CQ23" s="792">
        <v>1</v>
      </c>
      <c r="CR23" s="781" t="s">
        <v>1802</v>
      </c>
      <c r="CS23" s="75"/>
      <c r="CT23" s="75"/>
      <c r="CU23" s="75"/>
      <c r="CV23" s="75"/>
      <c r="CW23" s="75"/>
      <c r="CX23" s="75"/>
      <c r="CY23" s="75"/>
      <c r="CZ23" s="75"/>
      <c r="DA23" s="75"/>
      <c r="DB23" s="75"/>
      <c r="DC23" s="75"/>
      <c r="DD23" s="75"/>
      <c r="DE23" s="75"/>
      <c r="DF23" s="75"/>
      <c r="DG23" s="75"/>
      <c r="DH23" s="75"/>
      <c r="DI23" s="75"/>
      <c r="DJ23" s="75"/>
      <c r="DK23" s="75"/>
      <c r="DL23" s="75"/>
      <c r="DM23" s="75"/>
      <c r="DN23" s="75"/>
      <c r="DO23" s="75"/>
      <c r="DP23" s="75"/>
      <c r="DQ23" s="75"/>
      <c r="DR23" s="75"/>
      <c r="DS23" s="75"/>
      <c r="DT23" s="75"/>
      <c r="DU23" s="75"/>
      <c r="DV23" s="75"/>
      <c r="DW23" s="75"/>
      <c r="DX23" s="75"/>
      <c r="DY23" s="75"/>
      <c r="DZ23" s="75"/>
      <c r="EA23" s="75"/>
      <c r="EB23" s="75"/>
      <c r="EC23" s="75"/>
      <c r="ED23" s="75"/>
      <c r="EE23" s="75"/>
      <c r="EF23" s="75"/>
      <c r="EG23" s="75"/>
      <c r="EH23" s="75"/>
      <c r="EI23" s="75"/>
      <c r="EJ23" s="75"/>
      <c r="EK23" s="75"/>
      <c r="EL23" s="75"/>
      <c r="EM23" s="75"/>
      <c r="EN23" s="75"/>
      <c r="EO23" s="75"/>
      <c r="EP23" s="75"/>
      <c r="EQ23" s="75"/>
      <c r="ER23" s="75"/>
      <c r="ES23" s="75"/>
      <c r="ET23" s="75"/>
      <c r="EU23" s="75"/>
      <c r="EV23" s="75"/>
      <c r="EW23" s="75"/>
      <c r="EX23" s="75"/>
    </row>
    <row r="24" spans="1:154" s="18" customFormat="1" ht="409.5" x14ac:dyDescent="0.25">
      <c r="A24" s="767"/>
      <c r="B24" s="767"/>
      <c r="C24" s="767"/>
      <c r="D24" s="767" t="s">
        <v>354</v>
      </c>
      <c r="E24" s="794" t="s">
        <v>938</v>
      </c>
      <c r="F24" s="769" t="s">
        <v>939</v>
      </c>
      <c r="G24" s="788"/>
      <c r="H24" s="774"/>
      <c r="I24" s="788"/>
      <c r="J24" s="767"/>
      <c r="K24" s="774"/>
      <c r="L24" s="774"/>
      <c r="M24" s="774"/>
      <c r="N24" s="788"/>
      <c r="O24" s="788"/>
      <c r="P24" s="819"/>
      <c r="Q24" s="791" t="s">
        <v>1803</v>
      </c>
      <c r="R24" s="785" t="s">
        <v>1804</v>
      </c>
      <c r="S24" s="810" t="s">
        <v>60</v>
      </c>
      <c r="T24" s="782">
        <v>0</v>
      </c>
      <c r="U24" s="822">
        <v>3</v>
      </c>
      <c r="V24" s="772"/>
      <c r="W24" s="773"/>
      <c r="X24" s="774"/>
      <c r="Y24" s="788"/>
      <c r="Z24" s="788"/>
      <c r="AA24" s="803"/>
      <c r="AB24" s="774"/>
      <c r="AC24" s="771">
        <v>0</v>
      </c>
      <c r="AD24" s="771">
        <v>3</v>
      </c>
      <c r="AE24" s="771">
        <v>0</v>
      </c>
      <c r="AF24" s="769" t="s">
        <v>1790</v>
      </c>
      <c r="AG24" s="788"/>
      <c r="AH24" s="788"/>
      <c r="AI24" s="803"/>
      <c r="AJ24" s="774"/>
      <c r="AK24" s="771">
        <v>0</v>
      </c>
      <c r="AL24" s="771">
        <v>3</v>
      </c>
      <c r="AM24" s="771">
        <v>0</v>
      </c>
      <c r="AN24" s="769" t="s">
        <v>1792</v>
      </c>
      <c r="AO24" s="788"/>
      <c r="AP24" s="788"/>
      <c r="AQ24" s="803"/>
      <c r="AR24" s="774"/>
      <c r="AS24" s="771">
        <v>0</v>
      </c>
      <c r="AT24" s="771">
        <v>3</v>
      </c>
      <c r="AU24" s="771">
        <v>0</v>
      </c>
      <c r="AV24" s="769" t="s">
        <v>1794</v>
      </c>
      <c r="AW24" s="788"/>
      <c r="AX24" s="788"/>
      <c r="AY24" s="803"/>
      <c r="AZ24" s="774"/>
      <c r="BA24" s="771">
        <v>0</v>
      </c>
      <c r="BB24" s="771">
        <v>3</v>
      </c>
      <c r="BC24" s="771">
        <v>0</v>
      </c>
      <c r="BD24" s="769" t="s">
        <v>1805</v>
      </c>
      <c r="BE24" s="788"/>
      <c r="BF24" s="788"/>
      <c r="BG24" s="803"/>
      <c r="BH24" s="774"/>
      <c r="BI24" s="771">
        <v>1</v>
      </c>
      <c r="BJ24" s="771">
        <v>3</v>
      </c>
      <c r="BK24" s="795">
        <v>0.33</v>
      </c>
      <c r="BL24" s="769" t="s">
        <v>1806</v>
      </c>
      <c r="BM24" s="788"/>
      <c r="BN24" s="788"/>
      <c r="BO24" s="803"/>
      <c r="BP24" s="774"/>
      <c r="BQ24" s="771">
        <v>1</v>
      </c>
      <c r="BR24" s="771">
        <v>3</v>
      </c>
      <c r="BS24" s="795">
        <v>0.33</v>
      </c>
      <c r="BT24" s="769" t="s">
        <v>1807</v>
      </c>
      <c r="BU24" s="788"/>
      <c r="BV24" s="788"/>
      <c r="BW24" s="803"/>
      <c r="BX24" s="774"/>
      <c r="BY24" s="771">
        <v>1</v>
      </c>
      <c r="BZ24" s="771">
        <v>3</v>
      </c>
      <c r="CA24" s="795">
        <f>BY24/BZ24</f>
        <v>0.33333333333333331</v>
      </c>
      <c r="CB24" s="769" t="s">
        <v>1808</v>
      </c>
      <c r="CC24" s="788"/>
      <c r="CD24" s="788"/>
      <c r="CE24" s="803"/>
      <c r="CF24" s="821"/>
      <c r="CG24" s="771">
        <v>2</v>
      </c>
      <c r="CH24" s="771">
        <v>3</v>
      </c>
      <c r="CI24" s="795">
        <f>CG24/CH24</f>
        <v>0.66666666666666663</v>
      </c>
      <c r="CJ24" s="769" t="s">
        <v>1799</v>
      </c>
      <c r="CK24" s="788"/>
      <c r="CL24" s="788"/>
      <c r="CM24" s="803"/>
      <c r="CN24" s="821"/>
      <c r="CO24" s="771">
        <v>3</v>
      </c>
      <c r="CP24" s="771">
        <v>3</v>
      </c>
      <c r="CQ24" s="795">
        <f>CO24/CP24</f>
        <v>1</v>
      </c>
      <c r="CR24" s="823" t="s">
        <v>1809</v>
      </c>
      <c r="CS24" s="75"/>
      <c r="CT24" s="75"/>
      <c r="CU24" s="75"/>
      <c r="CV24" s="75"/>
      <c r="CW24" s="75"/>
      <c r="CX24" s="75"/>
      <c r="CY24" s="75"/>
      <c r="CZ24" s="75"/>
      <c r="DA24" s="75"/>
      <c r="DB24" s="75"/>
      <c r="DC24" s="75"/>
      <c r="DD24" s="75"/>
      <c r="DE24" s="75"/>
      <c r="DF24" s="75"/>
      <c r="DG24" s="75"/>
      <c r="DH24" s="75"/>
      <c r="DI24" s="75"/>
      <c r="DJ24" s="75"/>
      <c r="DK24" s="75"/>
      <c r="DL24" s="75"/>
      <c r="DM24" s="75"/>
      <c r="DN24" s="75"/>
      <c r="DO24" s="75"/>
      <c r="DP24" s="75"/>
      <c r="DQ24" s="75"/>
      <c r="DR24" s="75"/>
      <c r="DS24" s="75"/>
      <c r="DT24" s="75"/>
      <c r="DU24" s="75"/>
      <c r="DV24" s="75"/>
      <c r="DW24" s="75"/>
      <c r="DX24" s="75"/>
      <c r="DY24" s="75"/>
      <c r="DZ24" s="75"/>
      <c r="EA24" s="75"/>
      <c r="EB24" s="75"/>
      <c r="EC24" s="75"/>
      <c r="ED24" s="75"/>
      <c r="EE24" s="75"/>
      <c r="EF24" s="75"/>
      <c r="EG24" s="75"/>
      <c r="EH24" s="75"/>
      <c r="EI24" s="75"/>
      <c r="EJ24" s="75"/>
      <c r="EK24" s="75"/>
      <c r="EL24" s="75"/>
      <c r="EM24" s="75"/>
      <c r="EN24" s="75"/>
      <c r="EO24" s="75"/>
      <c r="EP24" s="75"/>
      <c r="EQ24" s="75"/>
      <c r="ER24" s="75"/>
      <c r="ES24" s="75"/>
      <c r="ET24" s="75"/>
      <c r="EU24" s="75"/>
      <c r="EV24" s="75"/>
      <c r="EW24" s="75"/>
      <c r="EX24" s="75"/>
    </row>
    <row r="25" spans="1:154" s="29" customFormat="1" ht="288" x14ac:dyDescent="0.25">
      <c r="A25" s="767"/>
      <c r="B25" s="767"/>
      <c r="C25" s="767"/>
      <c r="D25" s="767"/>
      <c r="E25" s="791" t="s">
        <v>90</v>
      </c>
      <c r="F25" s="791" t="s">
        <v>52</v>
      </c>
      <c r="G25" s="788"/>
      <c r="H25" s="774"/>
      <c r="I25" s="788"/>
      <c r="J25" s="767"/>
      <c r="K25" s="774"/>
      <c r="L25" s="774"/>
      <c r="M25" s="774"/>
      <c r="N25" s="788"/>
      <c r="O25" s="788"/>
      <c r="P25" s="819"/>
      <c r="Q25" s="769" t="s">
        <v>1810</v>
      </c>
      <c r="R25" s="769" t="s">
        <v>1811</v>
      </c>
      <c r="S25" s="794" t="s">
        <v>60</v>
      </c>
      <c r="T25" s="771">
        <v>0</v>
      </c>
      <c r="U25" s="820">
        <v>3</v>
      </c>
      <c r="V25" s="772"/>
      <c r="W25" s="773"/>
      <c r="X25" s="774"/>
      <c r="Y25" s="788"/>
      <c r="Z25" s="788"/>
      <c r="AA25" s="803"/>
      <c r="AB25" s="774"/>
      <c r="AC25" s="780">
        <v>0</v>
      </c>
      <c r="AD25" s="824">
        <v>3</v>
      </c>
      <c r="AE25" s="780">
        <v>0</v>
      </c>
      <c r="AF25" s="781" t="s">
        <v>1812</v>
      </c>
      <c r="AG25" s="788"/>
      <c r="AH25" s="788"/>
      <c r="AI25" s="803"/>
      <c r="AJ25" s="774"/>
      <c r="AK25" s="780">
        <v>0</v>
      </c>
      <c r="AL25" s="824">
        <v>3</v>
      </c>
      <c r="AM25" s="780">
        <v>0</v>
      </c>
      <c r="AN25" s="781" t="s">
        <v>1813</v>
      </c>
      <c r="AO25" s="788"/>
      <c r="AP25" s="788"/>
      <c r="AQ25" s="803"/>
      <c r="AR25" s="774"/>
      <c r="AS25" s="780">
        <v>0</v>
      </c>
      <c r="AT25" s="824">
        <v>3</v>
      </c>
      <c r="AU25" s="780">
        <v>0</v>
      </c>
      <c r="AV25" s="781" t="s">
        <v>1814</v>
      </c>
      <c r="AW25" s="788"/>
      <c r="AX25" s="788"/>
      <c r="AY25" s="803"/>
      <c r="AZ25" s="774"/>
      <c r="BA25" s="780">
        <v>1</v>
      </c>
      <c r="BB25" s="824">
        <v>3</v>
      </c>
      <c r="BC25" s="780">
        <v>1</v>
      </c>
      <c r="BD25" s="781" t="s">
        <v>1815</v>
      </c>
      <c r="BE25" s="788"/>
      <c r="BF25" s="788"/>
      <c r="BG25" s="803"/>
      <c r="BH25" s="774"/>
      <c r="BI25" s="780">
        <v>1</v>
      </c>
      <c r="BJ25" s="824">
        <v>3</v>
      </c>
      <c r="BK25" s="780">
        <v>1</v>
      </c>
      <c r="BL25" s="781" t="s">
        <v>1816</v>
      </c>
      <c r="BM25" s="788"/>
      <c r="BN25" s="788"/>
      <c r="BO25" s="803"/>
      <c r="BP25" s="774"/>
      <c r="BQ25" s="780">
        <v>1</v>
      </c>
      <c r="BR25" s="824">
        <v>3</v>
      </c>
      <c r="BS25" s="780">
        <v>1</v>
      </c>
      <c r="BT25" s="781" t="s">
        <v>1817</v>
      </c>
      <c r="BU25" s="788"/>
      <c r="BV25" s="788"/>
      <c r="BW25" s="803"/>
      <c r="BX25" s="774"/>
      <c r="BY25" s="782">
        <v>1</v>
      </c>
      <c r="BZ25" s="783">
        <v>3</v>
      </c>
      <c r="CA25" s="792">
        <v>0.33</v>
      </c>
      <c r="CB25" s="769" t="s">
        <v>1818</v>
      </c>
      <c r="CC25" s="788"/>
      <c r="CD25" s="788"/>
      <c r="CE25" s="803"/>
      <c r="CF25" s="821"/>
      <c r="CG25" s="782">
        <v>3</v>
      </c>
      <c r="CH25" s="783">
        <v>3</v>
      </c>
      <c r="CI25" s="792">
        <v>1</v>
      </c>
      <c r="CJ25" s="769" t="s">
        <v>1819</v>
      </c>
      <c r="CK25" s="788"/>
      <c r="CL25" s="788"/>
      <c r="CM25" s="803"/>
      <c r="CN25" s="821"/>
      <c r="CO25" s="782">
        <v>3</v>
      </c>
      <c r="CP25" s="783">
        <v>3</v>
      </c>
      <c r="CQ25" s="792">
        <v>1</v>
      </c>
      <c r="CR25" s="769" t="s">
        <v>1820</v>
      </c>
      <c r="CS25" s="75"/>
      <c r="CT25" s="75"/>
      <c r="CU25" s="75"/>
      <c r="CV25" s="75"/>
      <c r="CW25" s="75"/>
      <c r="CX25" s="75"/>
      <c r="CY25" s="75"/>
      <c r="CZ25" s="75"/>
      <c r="DA25" s="75"/>
      <c r="DB25" s="75"/>
      <c r="DC25" s="75"/>
      <c r="DD25" s="75"/>
      <c r="DE25" s="75"/>
      <c r="DF25" s="75"/>
      <c r="DG25" s="75"/>
      <c r="DH25" s="75"/>
      <c r="DI25" s="75"/>
      <c r="DJ25" s="75"/>
      <c r="DK25" s="75"/>
      <c r="DL25" s="75"/>
      <c r="DM25" s="75"/>
      <c r="DN25" s="75"/>
      <c r="DO25" s="75"/>
      <c r="DP25" s="75"/>
      <c r="DQ25" s="75"/>
      <c r="DR25" s="75"/>
      <c r="DS25" s="75"/>
      <c r="DT25" s="75"/>
      <c r="DU25" s="75"/>
      <c r="DV25" s="75"/>
      <c r="DW25" s="75"/>
      <c r="DX25" s="75"/>
      <c r="DY25" s="75"/>
      <c r="DZ25" s="75"/>
      <c r="EA25" s="75"/>
      <c r="EB25" s="75"/>
      <c r="EC25" s="75"/>
      <c r="ED25" s="75"/>
      <c r="EE25" s="75"/>
      <c r="EF25" s="75"/>
      <c r="EG25" s="75"/>
      <c r="EH25" s="75"/>
      <c r="EI25" s="75"/>
      <c r="EJ25" s="75"/>
      <c r="EK25" s="75"/>
      <c r="EL25" s="75"/>
      <c r="EM25" s="75"/>
      <c r="EN25" s="75"/>
      <c r="EO25" s="75"/>
      <c r="EP25" s="75"/>
      <c r="EQ25" s="75"/>
      <c r="ER25" s="75"/>
      <c r="ES25" s="75"/>
      <c r="ET25" s="75"/>
      <c r="EU25" s="75"/>
      <c r="EV25" s="75"/>
      <c r="EW25" s="75"/>
      <c r="EX25" s="75"/>
    </row>
    <row r="26" spans="1:154" x14ac:dyDescent="0.25">
      <c r="P26" s="825"/>
    </row>
    <row r="27" spans="1:154" ht="18.75" x14ac:dyDescent="0.25">
      <c r="AO27" s="382" t="s">
        <v>1630</v>
      </c>
      <c r="AP27" s="382"/>
      <c r="AQ27" s="42">
        <v>0.24</v>
      </c>
      <c r="AS27" s="382" t="s">
        <v>1631</v>
      </c>
      <c r="AT27" s="382"/>
      <c r="AU27" s="42">
        <v>0.13800000000000001</v>
      </c>
      <c r="BM27" s="382" t="s">
        <v>1630</v>
      </c>
      <c r="BN27" s="382"/>
      <c r="BO27" s="42">
        <v>0.53700000000000003</v>
      </c>
      <c r="BQ27" s="382" t="s">
        <v>1631</v>
      </c>
      <c r="BR27" s="382"/>
      <c r="BS27" s="42">
        <v>0.38100000000000001</v>
      </c>
      <c r="CJ27" s="382" t="s">
        <v>1630</v>
      </c>
      <c r="CK27" s="382"/>
      <c r="CL27" s="42">
        <v>0.73499999999999999</v>
      </c>
      <c r="CN27" s="382" t="s">
        <v>1631</v>
      </c>
      <c r="CO27" s="382"/>
      <c r="CP27" s="42">
        <v>0.6915</v>
      </c>
    </row>
  </sheetData>
  <sheetProtection algorithmName="SHA-512" hashValue="Ohkkjjq+NiZdr6MXbqc7sH61Mm0+XvvQmZSMsl3klfaRFlSKKzmCH4AlrdC5mz4jKoI7n9vhoQjdBe1gFJ1GGg==" saltValue="jbkViFXXWH2B9jxxsqjSWA==" spinCount="100000" sheet="1" objects="1" scenarios="1" selectLockedCells="1"/>
  <mergeCells count="226">
    <mergeCell ref="CM23:CM25"/>
    <mergeCell ref="CN23:CN25"/>
    <mergeCell ref="D24:D25"/>
    <mergeCell ref="AO27:AP27"/>
    <mergeCell ref="AS27:AT27"/>
    <mergeCell ref="BM27:BN27"/>
    <mergeCell ref="BQ27:BR27"/>
    <mergeCell ref="CJ27:CK27"/>
    <mergeCell ref="CN27:CO27"/>
    <mergeCell ref="CC23:CC25"/>
    <mergeCell ref="CD23:CD25"/>
    <mergeCell ref="CE23:CE25"/>
    <mergeCell ref="CF23:CF25"/>
    <mergeCell ref="CK23:CK25"/>
    <mergeCell ref="CL23:CL25"/>
    <mergeCell ref="BO23:BO25"/>
    <mergeCell ref="BP23:BP25"/>
    <mergeCell ref="BU23:BU25"/>
    <mergeCell ref="BV23:BV25"/>
    <mergeCell ref="BW23:BW25"/>
    <mergeCell ref="BX23:BX25"/>
    <mergeCell ref="BE23:BE25"/>
    <mergeCell ref="BF23:BF25"/>
    <mergeCell ref="BG23:BG25"/>
    <mergeCell ref="BH23:BH25"/>
    <mergeCell ref="BM23:BM25"/>
    <mergeCell ref="BN23:BN25"/>
    <mergeCell ref="AQ23:AQ25"/>
    <mergeCell ref="AR23:AR25"/>
    <mergeCell ref="AW23:AW25"/>
    <mergeCell ref="AX23:AX25"/>
    <mergeCell ref="AY23:AY25"/>
    <mergeCell ref="AZ23:AZ25"/>
    <mergeCell ref="AG23:AG25"/>
    <mergeCell ref="AH23:AH25"/>
    <mergeCell ref="AI23:AI25"/>
    <mergeCell ref="AJ23:AJ25"/>
    <mergeCell ref="AO23:AO25"/>
    <mergeCell ref="AP23:AP25"/>
    <mergeCell ref="CN19:CN20"/>
    <mergeCell ref="L23:L25"/>
    <mergeCell ref="M23:M25"/>
    <mergeCell ref="N23:N25"/>
    <mergeCell ref="O23:O25"/>
    <mergeCell ref="P23:P25"/>
    <mergeCell ref="Y23:Y25"/>
    <mergeCell ref="Z23:Z25"/>
    <mergeCell ref="AA23:AA25"/>
    <mergeCell ref="AB23:AB25"/>
    <mergeCell ref="CD19:CD20"/>
    <mergeCell ref="CE19:CE20"/>
    <mergeCell ref="CF19:CF20"/>
    <mergeCell ref="CK19:CK20"/>
    <mergeCell ref="CL19:CL20"/>
    <mergeCell ref="CM19:CM20"/>
    <mergeCell ref="BP19:BP20"/>
    <mergeCell ref="BU19:BU20"/>
    <mergeCell ref="BV19:BV20"/>
    <mergeCell ref="BW19:BW20"/>
    <mergeCell ref="BX19:BX20"/>
    <mergeCell ref="CC19:CC20"/>
    <mergeCell ref="BF19:BF20"/>
    <mergeCell ref="BG19:BG20"/>
    <mergeCell ref="BH19:BH20"/>
    <mergeCell ref="BM19:BM20"/>
    <mergeCell ref="BN19:BN20"/>
    <mergeCell ref="BO19:BO20"/>
    <mergeCell ref="AQ19:AQ20"/>
    <mergeCell ref="AR19:AR20"/>
    <mergeCell ref="AW19:AW20"/>
    <mergeCell ref="AX19:AX20"/>
    <mergeCell ref="AY19:AY20"/>
    <mergeCell ref="AZ19:AZ20"/>
    <mergeCell ref="AG19:AG20"/>
    <mergeCell ref="AH19:AH20"/>
    <mergeCell ref="AI19:AI20"/>
    <mergeCell ref="AJ19:AJ20"/>
    <mergeCell ref="AO19:AO20"/>
    <mergeCell ref="AP19:AP20"/>
    <mergeCell ref="K19:K25"/>
    <mergeCell ref="L19:L20"/>
    <mergeCell ref="M19:M20"/>
    <mergeCell ref="N19:N20"/>
    <mergeCell ref="O19:O20"/>
    <mergeCell ref="P19:P20"/>
    <mergeCell ref="CF9:CF10"/>
    <mergeCell ref="CK9:CK10"/>
    <mergeCell ref="CL9:CL10"/>
    <mergeCell ref="CM9:CM10"/>
    <mergeCell ref="CN9:CN10"/>
    <mergeCell ref="I11:I12"/>
    <mergeCell ref="BV9:BV10"/>
    <mergeCell ref="BW9:BW10"/>
    <mergeCell ref="BX9:BX10"/>
    <mergeCell ref="CC9:CC10"/>
    <mergeCell ref="CD9:CD10"/>
    <mergeCell ref="CE9:CE10"/>
    <mergeCell ref="BH9:BH10"/>
    <mergeCell ref="BM9:BM10"/>
    <mergeCell ref="BN9:BN10"/>
    <mergeCell ref="BO9:BO10"/>
    <mergeCell ref="BP9:BP10"/>
    <mergeCell ref="BU9:BU10"/>
    <mergeCell ref="AX9:AX10"/>
    <mergeCell ref="AY9:AY10"/>
    <mergeCell ref="AZ9:AZ10"/>
    <mergeCell ref="BE9:BE10"/>
    <mergeCell ref="BF9:BF10"/>
    <mergeCell ref="BG9:BG10"/>
    <mergeCell ref="AJ9:AJ10"/>
    <mergeCell ref="AO9:AO10"/>
    <mergeCell ref="AP9:AP10"/>
    <mergeCell ref="AQ9:AQ10"/>
    <mergeCell ref="AR9:AR10"/>
    <mergeCell ref="AW9:AW10"/>
    <mergeCell ref="CN7:CN8"/>
    <mergeCell ref="I9:I10"/>
    <mergeCell ref="L9:L10"/>
    <mergeCell ref="M9:M10"/>
    <mergeCell ref="N9:N10"/>
    <mergeCell ref="O9:O10"/>
    <mergeCell ref="P9:P10"/>
    <mergeCell ref="AG9:AG10"/>
    <mergeCell ref="AH9:AH10"/>
    <mergeCell ref="AI9:AI10"/>
    <mergeCell ref="CD7:CD8"/>
    <mergeCell ref="CE7:CE8"/>
    <mergeCell ref="CF7:CF8"/>
    <mergeCell ref="CK7:CK8"/>
    <mergeCell ref="CL7:CL8"/>
    <mergeCell ref="CM7:CM8"/>
    <mergeCell ref="BP7:BP8"/>
    <mergeCell ref="BU7:BU8"/>
    <mergeCell ref="BV7:BV8"/>
    <mergeCell ref="BW7:BW8"/>
    <mergeCell ref="BX7:BX8"/>
    <mergeCell ref="CC7:CC8"/>
    <mergeCell ref="BF7:BF8"/>
    <mergeCell ref="BG7:BG8"/>
    <mergeCell ref="BH7:BH8"/>
    <mergeCell ref="BM7:BM8"/>
    <mergeCell ref="BN7:BN8"/>
    <mergeCell ref="BO7:BO8"/>
    <mergeCell ref="AR7:AR8"/>
    <mergeCell ref="AW7:AW8"/>
    <mergeCell ref="AX7:AX8"/>
    <mergeCell ref="AY7:AY8"/>
    <mergeCell ref="AZ7:AZ8"/>
    <mergeCell ref="BE7:BE8"/>
    <mergeCell ref="AH7:AH8"/>
    <mergeCell ref="AI7:AI8"/>
    <mergeCell ref="AJ7:AJ8"/>
    <mergeCell ref="AO7:AO8"/>
    <mergeCell ref="AP7:AP8"/>
    <mergeCell ref="AQ7:AQ8"/>
    <mergeCell ref="X7:X25"/>
    <mergeCell ref="Y7:Y8"/>
    <mergeCell ref="Z7:Z8"/>
    <mergeCell ref="AA7:AA8"/>
    <mergeCell ref="AB7:AB8"/>
    <mergeCell ref="AG7:AG8"/>
    <mergeCell ref="Y19:Y20"/>
    <mergeCell ref="Z19:Z20"/>
    <mergeCell ref="AA19:AA20"/>
    <mergeCell ref="AB19:AB20"/>
    <mergeCell ref="M7:M8"/>
    <mergeCell ref="N7:N8"/>
    <mergeCell ref="O7:O8"/>
    <mergeCell ref="P7:P8"/>
    <mergeCell ref="V7:V18"/>
    <mergeCell ref="W7:W25"/>
    <mergeCell ref="V19:V25"/>
    <mergeCell ref="G7:G18"/>
    <mergeCell ref="H7:H18"/>
    <mergeCell ref="I7:I8"/>
    <mergeCell ref="J7:J25"/>
    <mergeCell ref="K7:K18"/>
    <mergeCell ref="L7:L8"/>
    <mergeCell ref="I13:I17"/>
    <mergeCell ref="G19:G25"/>
    <mergeCell ref="H19:H25"/>
    <mergeCell ref="I19:I25"/>
    <mergeCell ref="CC5:CF5"/>
    <mergeCell ref="CG5:CJ5"/>
    <mergeCell ref="CK5:CN5"/>
    <mergeCell ref="CO5:CR5"/>
    <mergeCell ref="A7:A25"/>
    <mergeCell ref="B7:B25"/>
    <mergeCell ref="C7:C25"/>
    <mergeCell ref="D7:D23"/>
    <mergeCell ref="E7:E17"/>
    <mergeCell ref="F7:F17"/>
    <mergeCell ref="BE5:BH5"/>
    <mergeCell ref="BI5:BL5"/>
    <mergeCell ref="BM5:BP5"/>
    <mergeCell ref="BQ5:BT5"/>
    <mergeCell ref="BU5:BX5"/>
    <mergeCell ref="BY5:CB5"/>
    <mergeCell ref="AG5:AJ5"/>
    <mergeCell ref="AK5:AN5"/>
    <mergeCell ref="AO5:AR5"/>
    <mergeCell ref="AS5:AV5"/>
    <mergeCell ref="AW5:AZ5"/>
    <mergeCell ref="BA5:BD5"/>
    <mergeCell ref="BU4:CB4"/>
    <mergeCell ref="CC4:CJ4"/>
    <mergeCell ref="CK4:CR4"/>
    <mergeCell ref="A5:C5"/>
    <mergeCell ref="E5:F5"/>
    <mergeCell ref="G5:I5"/>
    <mergeCell ref="J5:J6"/>
    <mergeCell ref="K5:K6"/>
    <mergeCell ref="Y5:AB5"/>
    <mergeCell ref="AC5:AF5"/>
    <mergeCell ref="Y4:AF4"/>
    <mergeCell ref="AG4:AN4"/>
    <mergeCell ref="AO4:AV4"/>
    <mergeCell ref="AW4:BD4"/>
    <mergeCell ref="BE4:BL4"/>
    <mergeCell ref="BM4:BT4"/>
    <mergeCell ref="A4:K4"/>
    <mergeCell ref="L4:P5"/>
    <mergeCell ref="Q4:U5"/>
    <mergeCell ref="V4:W5"/>
    <mergeCell ref="X4:X5"/>
    <mergeCell ref="C1:CP3"/>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AAG21"/>
  <sheetViews>
    <sheetView topLeftCell="CW1" zoomScale="90" zoomScaleNormal="90" workbookViewId="0">
      <selection activeCell="DH1" sqref="DH1"/>
    </sheetView>
  </sheetViews>
  <sheetFormatPr baseColWidth="10" defaultRowHeight="15" x14ac:dyDescent="0.25"/>
  <cols>
    <col min="1" max="1" width="21.140625" style="250" customWidth="1"/>
    <col min="2" max="2" width="17.85546875" style="250" customWidth="1"/>
    <col min="3" max="3" width="24.140625" style="250" customWidth="1"/>
    <col min="4" max="4" width="26.42578125" style="250" customWidth="1"/>
    <col min="5" max="5" width="18.140625" style="250" customWidth="1"/>
    <col min="6" max="6" width="20.5703125" style="250" customWidth="1"/>
    <col min="7" max="7" width="14" style="250" customWidth="1"/>
    <col min="8" max="8" width="16.5703125" style="250" customWidth="1"/>
    <col min="9" max="9" width="15.140625" style="250" customWidth="1"/>
    <col min="10" max="10" width="15.85546875" style="250" customWidth="1"/>
    <col min="11" max="11" width="16.42578125" style="250" customWidth="1"/>
    <col min="12" max="12" width="21.85546875" style="250" customWidth="1"/>
    <col min="13" max="13" width="23" style="250" customWidth="1"/>
    <col min="14" max="14" width="11.42578125" style="250"/>
    <col min="15" max="15" width="13.5703125" style="250" customWidth="1"/>
    <col min="16" max="16" width="11.42578125" style="250"/>
    <col min="17" max="17" width="20.28515625" style="250" customWidth="1"/>
    <col min="18" max="18" width="20.140625" style="250" customWidth="1"/>
    <col min="19" max="19" width="12.28515625" style="250" customWidth="1"/>
    <col min="20" max="20" width="11.42578125" style="250"/>
    <col min="21" max="21" width="11.5703125" style="250" customWidth="1"/>
    <col min="22" max="22" width="14.140625" style="251" bestFit="1" customWidth="1"/>
    <col min="23" max="23" width="16.7109375" style="251" customWidth="1"/>
    <col min="24" max="24" width="16.7109375" style="250" customWidth="1"/>
    <col min="25" max="25" width="16.28515625" style="250" customWidth="1"/>
    <col min="26" max="26" width="11.42578125" style="250"/>
    <col min="27" max="27" width="16" style="250" customWidth="1"/>
    <col min="28" max="28" width="40.5703125" style="250" customWidth="1"/>
    <col min="29" max="29" width="14.5703125" style="250" customWidth="1"/>
    <col min="30" max="30" width="11.42578125" style="250"/>
    <col min="31" max="31" width="13" style="250" customWidth="1"/>
    <col min="32" max="32" width="32.85546875" style="250" customWidth="1"/>
    <col min="33" max="33" width="18.140625" style="250" bestFit="1" customWidth="1"/>
    <col min="34" max="34" width="11.42578125" style="250"/>
    <col min="35" max="35" width="16" style="250" customWidth="1"/>
    <col min="36" max="36" width="40.5703125" style="250" customWidth="1"/>
    <col min="37" max="37" width="17.140625" style="250" bestFit="1" customWidth="1"/>
    <col min="38" max="38" width="11.42578125" style="250"/>
    <col min="39" max="39" width="13" style="250" customWidth="1"/>
    <col min="40" max="40" width="32.85546875" style="250" customWidth="1"/>
    <col min="41" max="41" width="18.140625" style="250" bestFit="1" customWidth="1"/>
    <col min="42" max="42" width="11.42578125" style="250"/>
    <col min="43" max="43" width="16" style="250" customWidth="1"/>
    <col min="44" max="44" width="40.5703125" style="250" customWidth="1"/>
    <col min="45" max="45" width="17.140625" style="250" bestFit="1" customWidth="1"/>
    <col min="46" max="46" width="11.42578125" style="250"/>
    <col min="47" max="47" width="13" style="250" customWidth="1"/>
    <col min="48" max="48" width="32.85546875" style="250" customWidth="1"/>
    <col min="49" max="49" width="16.42578125" style="250" hidden="1" customWidth="1"/>
    <col min="50" max="50" width="16.42578125" style="281" hidden="1" customWidth="1"/>
    <col min="51" max="51" width="20.140625" style="250" hidden="1" customWidth="1"/>
    <col min="52" max="52" width="16.140625" style="250" hidden="1" customWidth="1"/>
    <col min="53" max="53" width="18.28515625" style="250" hidden="1" customWidth="1"/>
    <col min="54" max="54" width="20.42578125" style="250" hidden="1" customWidth="1"/>
    <col min="55" max="55" width="20.140625" style="250" hidden="1" customWidth="1"/>
    <col min="56" max="56" width="16.140625" style="250" hidden="1" customWidth="1"/>
    <col min="57" max="57" width="18.28515625" style="250" hidden="1" customWidth="1"/>
    <col min="58" max="58" width="20.42578125" style="250" hidden="1" customWidth="1"/>
    <col min="59" max="59" width="20.140625" style="250" hidden="1" customWidth="1"/>
    <col min="60" max="60" width="16.140625" style="250" hidden="1" customWidth="1"/>
    <col min="61" max="61" width="18.28515625" style="250" hidden="1" customWidth="1"/>
    <col min="62" max="62" width="20.42578125" style="250" hidden="1" customWidth="1"/>
    <col min="63" max="63" width="18.140625" style="250" bestFit="1" customWidth="1"/>
    <col min="64" max="64" width="11.42578125" style="250"/>
    <col min="65" max="65" width="16" style="250" customWidth="1"/>
    <col min="66" max="66" width="40.5703125" style="250" customWidth="1"/>
    <col min="67" max="67" width="17.140625" style="250" bestFit="1" customWidth="1"/>
    <col min="68" max="68" width="11.42578125" style="250"/>
    <col min="69" max="69" width="13" style="250" customWidth="1"/>
    <col min="70" max="70" width="32.85546875" style="250" customWidth="1"/>
    <col min="71" max="71" width="18.140625" style="250" bestFit="1" customWidth="1"/>
    <col min="72" max="72" width="11.42578125" style="250"/>
    <col min="73" max="73" width="16" style="250" customWidth="1"/>
    <col min="74" max="74" width="54.42578125" style="250" customWidth="1"/>
    <col min="75" max="75" width="17.140625" style="250" bestFit="1" customWidth="1"/>
    <col min="76" max="76" width="11.42578125" style="250"/>
    <col min="77" max="77" width="13" style="250" customWidth="1"/>
    <col min="78" max="78" width="32.85546875" style="250" customWidth="1"/>
    <col min="79" max="79" width="11.5703125" bestFit="1" customWidth="1"/>
    <col min="80" max="80" width="11.5703125" style="250" bestFit="1" customWidth="1"/>
    <col min="81" max="81" width="11.5703125" style="250" customWidth="1"/>
    <col min="82" max="82" width="43.7109375" style="250" bestFit="1" customWidth="1"/>
    <col min="83" max="83" width="11.5703125" style="250" bestFit="1" customWidth="1"/>
    <col min="84" max="85" width="11.42578125" style="250"/>
    <col min="86" max="86" width="33.140625" style="250" customWidth="1"/>
    <col min="87" max="89" width="11.42578125" style="250"/>
    <col min="90" max="90" width="55.5703125" style="250" bestFit="1" customWidth="1"/>
    <col min="91" max="97" width="11.42578125" style="250"/>
    <col min="98" max="98" width="79.85546875" style="250" bestFit="1" customWidth="1"/>
    <col min="99" max="105" width="11.42578125" style="256"/>
    <col min="106" max="106" width="80.140625" style="256" bestFit="1" customWidth="1"/>
    <col min="107" max="107" width="12.85546875" style="256" customWidth="1"/>
    <col min="108" max="110" width="11.42578125" style="256"/>
    <col min="111" max="16384" width="11.42578125" style="250"/>
  </cols>
  <sheetData>
    <row r="1" spans="1:709" s="201" customFormat="1" ht="15.75" customHeight="1" x14ac:dyDescent="0.25">
      <c r="A1" s="40"/>
      <c r="B1" s="40"/>
      <c r="C1" s="556" t="s">
        <v>0</v>
      </c>
      <c r="D1" s="556"/>
      <c r="E1" s="556"/>
      <c r="F1" s="556"/>
      <c r="G1" s="556"/>
      <c r="H1" s="556"/>
      <c r="I1" s="556"/>
      <c r="J1" s="556"/>
      <c r="K1" s="556"/>
      <c r="L1" s="556"/>
      <c r="M1" s="556"/>
      <c r="N1" s="556"/>
      <c r="O1" s="556"/>
      <c r="P1" s="556"/>
      <c r="Q1" s="556"/>
      <c r="R1" s="556"/>
      <c r="S1" s="556"/>
      <c r="T1" s="556"/>
      <c r="U1" s="556"/>
      <c r="V1" s="556"/>
      <c r="W1" s="556"/>
      <c r="X1" s="556"/>
      <c r="Y1" s="556"/>
      <c r="Z1" s="556"/>
      <c r="AA1" s="556"/>
      <c r="AB1" s="556"/>
      <c r="AC1" s="556"/>
      <c r="AD1" s="556"/>
      <c r="AE1" s="556"/>
      <c r="AF1" s="556"/>
      <c r="AG1" s="556"/>
      <c r="AH1" s="556"/>
      <c r="AI1" s="556"/>
      <c r="AJ1" s="556"/>
      <c r="AK1" s="556"/>
      <c r="AL1" s="556"/>
      <c r="AM1" s="556"/>
      <c r="AN1" s="556"/>
      <c r="AO1" s="556"/>
      <c r="AP1" s="556"/>
      <c r="AQ1" s="556"/>
      <c r="AR1" s="556"/>
      <c r="AS1" s="556"/>
      <c r="AT1" s="556"/>
      <c r="AU1" s="556"/>
      <c r="AV1" s="556"/>
      <c r="AW1" s="556"/>
      <c r="AX1" s="556"/>
      <c r="AY1" s="556"/>
      <c r="AZ1" s="556"/>
      <c r="BA1" s="556"/>
      <c r="BB1" s="556"/>
      <c r="BC1" s="556"/>
      <c r="BD1" s="556"/>
      <c r="BE1" s="556"/>
      <c r="BF1" s="556"/>
      <c r="BG1" s="556"/>
      <c r="BH1" s="556"/>
      <c r="BI1" s="556"/>
      <c r="BJ1" s="556"/>
      <c r="BK1" s="556"/>
      <c r="BL1" s="556"/>
      <c r="BM1" s="556"/>
      <c r="BN1" s="556"/>
      <c r="BO1" s="556"/>
      <c r="BP1" s="556"/>
      <c r="BQ1" s="556"/>
      <c r="BR1" s="556"/>
      <c r="BS1" s="556"/>
      <c r="BT1" s="556"/>
      <c r="BU1" s="556"/>
      <c r="BV1" s="556"/>
      <c r="BW1" s="556"/>
      <c r="BX1" s="556"/>
      <c r="BY1" s="556"/>
      <c r="BZ1" s="556"/>
      <c r="CA1" s="556"/>
      <c r="CB1" s="556"/>
      <c r="CC1" s="556"/>
      <c r="CD1" s="556"/>
      <c r="CE1" s="556"/>
      <c r="CF1" s="556"/>
      <c r="CG1" s="556"/>
      <c r="CH1" s="556"/>
      <c r="CI1" s="556"/>
      <c r="CJ1" s="556"/>
      <c r="CK1" s="556"/>
      <c r="CL1" s="556"/>
      <c r="CM1" s="556"/>
      <c r="CN1" s="556"/>
      <c r="CO1" s="556"/>
      <c r="CP1" s="556"/>
      <c r="CQ1" s="556"/>
      <c r="CR1" s="556"/>
      <c r="CS1" s="556"/>
      <c r="CT1" s="556"/>
      <c r="CU1" s="556"/>
      <c r="CV1" s="556"/>
      <c r="CW1" s="556"/>
      <c r="CX1" s="556"/>
      <c r="CY1" s="556"/>
      <c r="CZ1" s="556"/>
      <c r="DA1" s="556"/>
      <c r="DB1" s="662"/>
      <c r="DC1" s="705" t="s">
        <v>1</v>
      </c>
      <c r="DD1" s="705"/>
      <c r="DE1" s="706">
        <v>43458</v>
      </c>
      <c r="DF1" s="706"/>
    </row>
    <row r="2" spans="1:709" s="201" customFormat="1" ht="19.5" customHeight="1" x14ac:dyDescent="0.25">
      <c r="A2" s="40"/>
      <c r="B2" s="40"/>
      <c r="C2" s="556"/>
      <c r="D2" s="556"/>
      <c r="E2" s="556"/>
      <c r="F2" s="556"/>
      <c r="G2" s="556"/>
      <c r="H2" s="556"/>
      <c r="I2" s="556"/>
      <c r="J2" s="556"/>
      <c r="K2" s="556"/>
      <c r="L2" s="556"/>
      <c r="M2" s="556"/>
      <c r="N2" s="556"/>
      <c r="O2" s="556"/>
      <c r="P2" s="556"/>
      <c r="Q2" s="556"/>
      <c r="R2" s="556"/>
      <c r="S2" s="556"/>
      <c r="T2" s="556"/>
      <c r="U2" s="556"/>
      <c r="V2" s="556"/>
      <c r="W2" s="556"/>
      <c r="X2" s="556"/>
      <c r="Y2" s="556"/>
      <c r="Z2" s="556"/>
      <c r="AA2" s="556"/>
      <c r="AB2" s="556"/>
      <c r="AC2" s="556"/>
      <c r="AD2" s="556"/>
      <c r="AE2" s="556"/>
      <c r="AF2" s="556"/>
      <c r="AG2" s="556"/>
      <c r="AH2" s="556"/>
      <c r="AI2" s="556"/>
      <c r="AJ2" s="556"/>
      <c r="AK2" s="556"/>
      <c r="AL2" s="556"/>
      <c r="AM2" s="556"/>
      <c r="AN2" s="556"/>
      <c r="AO2" s="556"/>
      <c r="AP2" s="556"/>
      <c r="AQ2" s="556"/>
      <c r="AR2" s="556"/>
      <c r="AS2" s="556"/>
      <c r="AT2" s="556"/>
      <c r="AU2" s="556"/>
      <c r="AV2" s="556"/>
      <c r="AW2" s="556"/>
      <c r="AX2" s="556"/>
      <c r="AY2" s="556"/>
      <c r="AZ2" s="556"/>
      <c r="BA2" s="556"/>
      <c r="BB2" s="556"/>
      <c r="BC2" s="556"/>
      <c r="BD2" s="556"/>
      <c r="BE2" s="556"/>
      <c r="BF2" s="556"/>
      <c r="BG2" s="556"/>
      <c r="BH2" s="556"/>
      <c r="BI2" s="556"/>
      <c r="BJ2" s="556"/>
      <c r="BK2" s="556"/>
      <c r="BL2" s="556"/>
      <c r="BM2" s="556"/>
      <c r="BN2" s="556"/>
      <c r="BO2" s="556"/>
      <c r="BP2" s="556"/>
      <c r="BQ2" s="556"/>
      <c r="BR2" s="556"/>
      <c r="BS2" s="556"/>
      <c r="BT2" s="556"/>
      <c r="BU2" s="556"/>
      <c r="BV2" s="556"/>
      <c r="BW2" s="556"/>
      <c r="BX2" s="556"/>
      <c r="BY2" s="556"/>
      <c r="BZ2" s="556"/>
      <c r="CA2" s="556"/>
      <c r="CB2" s="556"/>
      <c r="CC2" s="556"/>
      <c r="CD2" s="556"/>
      <c r="CE2" s="556"/>
      <c r="CF2" s="556"/>
      <c r="CG2" s="556"/>
      <c r="CH2" s="556"/>
      <c r="CI2" s="556"/>
      <c r="CJ2" s="556"/>
      <c r="CK2" s="556"/>
      <c r="CL2" s="556"/>
      <c r="CM2" s="556"/>
      <c r="CN2" s="556"/>
      <c r="CO2" s="556"/>
      <c r="CP2" s="556"/>
      <c r="CQ2" s="556"/>
      <c r="CR2" s="556"/>
      <c r="CS2" s="556"/>
      <c r="CT2" s="556"/>
      <c r="CU2" s="556"/>
      <c r="CV2" s="556"/>
      <c r="CW2" s="556"/>
      <c r="CX2" s="556"/>
      <c r="CY2" s="556"/>
      <c r="CZ2" s="556"/>
      <c r="DA2" s="556"/>
      <c r="DB2" s="662"/>
      <c r="DC2" s="705" t="s">
        <v>2</v>
      </c>
      <c r="DD2" s="705"/>
      <c r="DE2" s="705">
        <v>5</v>
      </c>
      <c r="DF2" s="705"/>
    </row>
    <row r="3" spans="1:709" s="201" customFormat="1" ht="15.75" customHeight="1" x14ac:dyDescent="0.25">
      <c r="A3" s="40"/>
      <c r="B3" s="40"/>
      <c r="C3" s="556"/>
      <c r="D3" s="556"/>
      <c r="E3" s="556"/>
      <c r="F3" s="556"/>
      <c r="G3" s="556"/>
      <c r="H3" s="556"/>
      <c r="I3" s="556"/>
      <c r="J3" s="556"/>
      <c r="K3" s="556"/>
      <c r="L3" s="556"/>
      <c r="M3" s="556"/>
      <c r="N3" s="556"/>
      <c r="O3" s="556"/>
      <c r="P3" s="556"/>
      <c r="Q3" s="556"/>
      <c r="R3" s="556"/>
      <c r="S3" s="556"/>
      <c r="T3" s="556"/>
      <c r="U3" s="556"/>
      <c r="V3" s="556"/>
      <c r="W3" s="556"/>
      <c r="X3" s="556"/>
      <c r="Y3" s="556"/>
      <c r="Z3" s="556"/>
      <c r="AA3" s="556"/>
      <c r="AB3" s="556"/>
      <c r="AC3" s="556"/>
      <c r="AD3" s="556"/>
      <c r="AE3" s="556"/>
      <c r="AF3" s="556"/>
      <c r="AG3" s="556"/>
      <c r="AH3" s="556"/>
      <c r="AI3" s="556"/>
      <c r="AJ3" s="556"/>
      <c r="AK3" s="556"/>
      <c r="AL3" s="556"/>
      <c r="AM3" s="556"/>
      <c r="AN3" s="556"/>
      <c r="AO3" s="556"/>
      <c r="AP3" s="556"/>
      <c r="AQ3" s="556"/>
      <c r="AR3" s="556"/>
      <c r="AS3" s="556"/>
      <c r="AT3" s="556"/>
      <c r="AU3" s="556"/>
      <c r="AV3" s="556"/>
      <c r="AW3" s="556"/>
      <c r="AX3" s="556"/>
      <c r="AY3" s="556"/>
      <c r="AZ3" s="556"/>
      <c r="BA3" s="556"/>
      <c r="BB3" s="556"/>
      <c r="BC3" s="556"/>
      <c r="BD3" s="556"/>
      <c r="BE3" s="556"/>
      <c r="BF3" s="556"/>
      <c r="BG3" s="556"/>
      <c r="BH3" s="556"/>
      <c r="BI3" s="556"/>
      <c r="BJ3" s="556"/>
      <c r="BK3" s="556"/>
      <c r="BL3" s="556"/>
      <c r="BM3" s="556"/>
      <c r="BN3" s="556"/>
      <c r="BO3" s="556"/>
      <c r="BP3" s="556"/>
      <c r="BQ3" s="556"/>
      <c r="BR3" s="556"/>
      <c r="BS3" s="556"/>
      <c r="BT3" s="556"/>
      <c r="BU3" s="556"/>
      <c r="BV3" s="556"/>
      <c r="BW3" s="556"/>
      <c r="BX3" s="556"/>
      <c r="BY3" s="556"/>
      <c r="BZ3" s="556"/>
      <c r="CA3" s="556"/>
      <c r="CB3" s="556"/>
      <c r="CC3" s="556"/>
      <c r="CD3" s="556"/>
      <c r="CE3" s="556"/>
      <c r="CF3" s="556"/>
      <c r="CG3" s="556"/>
      <c r="CH3" s="556"/>
      <c r="CI3" s="556"/>
      <c r="CJ3" s="556"/>
      <c r="CK3" s="556"/>
      <c r="CL3" s="556"/>
      <c r="CM3" s="556"/>
      <c r="CN3" s="556"/>
      <c r="CO3" s="556"/>
      <c r="CP3" s="556"/>
      <c r="CQ3" s="556"/>
      <c r="CR3" s="556"/>
      <c r="CS3" s="556"/>
      <c r="CT3" s="556"/>
      <c r="CU3" s="556"/>
      <c r="CV3" s="556"/>
      <c r="CW3" s="556"/>
      <c r="CX3" s="556"/>
      <c r="CY3" s="556"/>
      <c r="CZ3" s="556"/>
      <c r="DA3" s="556"/>
      <c r="DB3" s="662"/>
      <c r="DC3" s="705" t="s">
        <v>3</v>
      </c>
      <c r="DD3" s="705"/>
      <c r="DE3" s="705" t="s">
        <v>4</v>
      </c>
      <c r="DF3" s="705"/>
    </row>
    <row r="4" spans="1:709" s="202" customFormat="1" ht="15" customHeight="1" x14ac:dyDescent="0.25">
      <c r="A4" s="557" t="s">
        <v>5</v>
      </c>
      <c r="B4" s="558"/>
      <c r="C4" s="558"/>
      <c r="D4" s="558"/>
      <c r="E4" s="558"/>
      <c r="F4" s="558"/>
      <c r="G4" s="558"/>
      <c r="H4" s="558"/>
      <c r="I4" s="558"/>
      <c r="J4" s="558"/>
      <c r="K4" s="559"/>
      <c r="L4" s="560" t="s">
        <v>6</v>
      </c>
      <c r="M4" s="561"/>
      <c r="N4" s="561"/>
      <c r="O4" s="561"/>
      <c r="P4" s="562"/>
      <c r="Q4" s="560" t="s">
        <v>7</v>
      </c>
      <c r="R4" s="561"/>
      <c r="S4" s="561"/>
      <c r="T4" s="561"/>
      <c r="U4" s="562"/>
      <c r="V4" s="563" t="s">
        <v>8</v>
      </c>
      <c r="W4" s="564"/>
      <c r="X4" s="567" t="s">
        <v>9</v>
      </c>
      <c r="Y4" s="549" t="s">
        <v>10</v>
      </c>
      <c r="Z4" s="550"/>
      <c r="AA4" s="550"/>
      <c r="AB4" s="550"/>
      <c r="AC4" s="550"/>
      <c r="AD4" s="550"/>
      <c r="AE4" s="550"/>
      <c r="AF4" s="551"/>
      <c r="AG4" s="549" t="s">
        <v>11</v>
      </c>
      <c r="AH4" s="550"/>
      <c r="AI4" s="550"/>
      <c r="AJ4" s="550"/>
      <c r="AK4" s="550"/>
      <c r="AL4" s="550"/>
      <c r="AM4" s="550"/>
      <c r="AN4" s="551"/>
      <c r="AO4" s="549" t="s">
        <v>12</v>
      </c>
      <c r="AP4" s="550"/>
      <c r="AQ4" s="550"/>
      <c r="AR4" s="550"/>
      <c r="AS4" s="550"/>
      <c r="AT4" s="550"/>
      <c r="AU4" s="550"/>
      <c r="AV4" s="551"/>
      <c r="BK4" s="549" t="s">
        <v>13</v>
      </c>
      <c r="BL4" s="550"/>
      <c r="BM4" s="550"/>
      <c r="BN4" s="550"/>
      <c r="BO4" s="550"/>
      <c r="BP4" s="550"/>
      <c r="BQ4" s="550"/>
      <c r="BR4" s="551"/>
      <c r="BS4" s="549" t="s">
        <v>14</v>
      </c>
      <c r="BT4" s="550"/>
      <c r="BU4" s="550"/>
      <c r="BV4" s="550"/>
      <c r="BW4" s="550"/>
      <c r="BX4" s="550"/>
      <c r="BY4" s="550"/>
      <c r="BZ4" s="551"/>
      <c r="CA4" s="549" t="s">
        <v>15</v>
      </c>
      <c r="CB4" s="550"/>
      <c r="CC4" s="550"/>
      <c r="CD4" s="550"/>
      <c r="CE4" s="550"/>
      <c r="CF4" s="550"/>
      <c r="CG4" s="550"/>
      <c r="CH4" s="551"/>
      <c r="CI4" s="549" t="s">
        <v>16</v>
      </c>
      <c r="CJ4" s="550"/>
      <c r="CK4" s="550"/>
      <c r="CL4" s="550"/>
      <c r="CM4" s="550"/>
      <c r="CN4" s="550"/>
      <c r="CO4" s="550"/>
      <c r="CP4" s="551"/>
      <c r="CQ4" s="549" t="s">
        <v>382</v>
      </c>
      <c r="CR4" s="550"/>
      <c r="CS4" s="550"/>
      <c r="CT4" s="550"/>
      <c r="CU4" s="550"/>
      <c r="CV4" s="550"/>
      <c r="CW4" s="550"/>
      <c r="CX4" s="551"/>
      <c r="CY4" s="549" t="s">
        <v>595</v>
      </c>
      <c r="CZ4" s="550"/>
      <c r="DA4" s="550"/>
      <c r="DB4" s="550"/>
      <c r="DC4" s="550"/>
      <c r="DD4" s="550"/>
      <c r="DE4" s="550"/>
      <c r="DF4" s="551"/>
    </row>
    <row r="5" spans="1:709" s="202" customFormat="1" ht="30" customHeight="1" x14ac:dyDescent="0.25">
      <c r="A5" s="538" t="s">
        <v>17</v>
      </c>
      <c r="B5" s="539"/>
      <c r="C5" s="542"/>
      <c r="D5" s="148" t="s">
        <v>18</v>
      </c>
      <c r="E5" s="538" t="s">
        <v>19</v>
      </c>
      <c r="F5" s="542"/>
      <c r="G5" s="538" t="s">
        <v>20</v>
      </c>
      <c r="H5" s="539"/>
      <c r="I5" s="542"/>
      <c r="J5" s="506" t="s">
        <v>21</v>
      </c>
      <c r="K5" s="506" t="s">
        <v>22</v>
      </c>
      <c r="L5" s="549"/>
      <c r="M5" s="550"/>
      <c r="N5" s="550"/>
      <c r="O5" s="550"/>
      <c r="P5" s="551"/>
      <c r="Q5" s="549"/>
      <c r="R5" s="550"/>
      <c r="S5" s="550"/>
      <c r="T5" s="550"/>
      <c r="U5" s="551"/>
      <c r="V5" s="565"/>
      <c r="W5" s="566"/>
      <c r="X5" s="568"/>
      <c r="Y5" s="538" t="s">
        <v>23</v>
      </c>
      <c r="Z5" s="539"/>
      <c r="AA5" s="539"/>
      <c r="AB5" s="540"/>
      <c r="AC5" s="541" t="s">
        <v>24</v>
      </c>
      <c r="AD5" s="539"/>
      <c r="AE5" s="539"/>
      <c r="AF5" s="542"/>
      <c r="AG5" s="538" t="s">
        <v>23</v>
      </c>
      <c r="AH5" s="539"/>
      <c r="AI5" s="539"/>
      <c r="AJ5" s="540"/>
      <c r="AK5" s="541" t="s">
        <v>24</v>
      </c>
      <c r="AL5" s="539"/>
      <c r="AM5" s="539"/>
      <c r="AN5" s="542"/>
      <c r="AO5" s="538" t="s">
        <v>23</v>
      </c>
      <c r="AP5" s="539"/>
      <c r="AQ5" s="539"/>
      <c r="AR5" s="540"/>
      <c r="AS5" s="541" t="s">
        <v>24</v>
      </c>
      <c r="AT5" s="539"/>
      <c r="AU5" s="539"/>
      <c r="AV5" s="542"/>
      <c r="AY5" s="537" t="s">
        <v>783</v>
      </c>
      <c r="AZ5" s="537"/>
      <c r="BA5" s="537"/>
      <c r="BB5" s="537"/>
      <c r="BC5" s="537" t="s">
        <v>784</v>
      </c>
      <c r="BD5" s="537"/>
      <c r="BE5" s="537"/>
      <c r="BF5" s="537"/>
      <c r="BG5" s="537" t="s">
        <v>785</v>
      </c>
      <c r="BH5" s="537"/>
      <c r="BI5" s="537"/>
      <c r="BJ5" s="537"/>
      <c r="BK5" s="538" t="s">
        <v>23</v>
      </c>
      <c r="BL5" s="539"/>
      <c r="BM5" s="539"/>
      <c r="BN5" s="540"/>
      <c r="BO5" s="541" t="s">
        <v>24</v>
      </c>
      <c r="BP5" s="539"/>
      <c r="BQ5" s="539"/>
      <c r="BR5" s="542"/>
      <c r="BS5" s="538" t="s">
        <v>23</v>
      </c>
      <c r="BT5" s="539"/>
      <c r="BU5" s="539"/>
      <c r="BV5" s="540"/>
      <c r="BW5" s="541" t="s">
        <v>24</v>
      </c>
      <c r="BX5" s="539"/>
      <c r="BY5" s="539"/>
      <c r="BZ5" s="542"/>
      <c r="CA5" s="538" t="s">
        <v>23</v>
      </c>
      <c r="CB5" s="539"/>
      <c r="CC5" s="539"/>
      <c r="CD5" s="540"/>
      <c r="CE5" s="541" t="s">
        <v>24</v>
      </c>
      <c r="CF5" s="539"/>
      <c r="CG5" s="539"/>
      <c r="CH5" s="542"/>
      <c r="CI5" s="538" t="s">
        <v>23</v>
      </c>
      <c r="CJ5" s="539"/>
      <c r="CK5" s="539"/>
      <c r="CL5" s="540"/>
      <c r="CM5" s="541" t="s">
        <v>24</v>
      </c>
      <c r="CN5" s="539"/>
      <c r="CO5" s="539"/>
      <c r="CP5" s="542"/>
      <c r="CQ5" s="538" t="s">
        <v>23</v>
      </c>
      <c r="CR5" s="539"/>
      <c r="CS5" s="539"/>
      <c r="CT5" s="540"/>
      <c r="CU5" s="553" t="s">
        <v>24</v>
      </c>
      <c r="CV5" s="554"/>
      <c r="CW5" s="554"/>
      <c r="CX5" s="555"/>
      <c r="CY5" s="538" t="s">
        <v>23</v>
      </c>
      <c r="CZ5" s="539"/>
      <c r="DA5" s="539"/>
      <c r="DB5" s="540"/>
      <c r="DC5" s="541" t="s">
        <v>24</v>
      </c>
      <c r="DD5" s="539"/>
      <c r="DE5" s="539"/>
      <c r="DF5" s="542"/>
    </row>
    <row r="6" spans="1:709" s="202" customFormat="1" ht="45" x14ac:dyDescent="0.25">
      <c r="A6" s="150" t="s">
        <v>25</v>
      </c>
      <c r="B6" s="150" t="s">
        <v>26</v>
      </c>
      <c r="C6" s="150" t="s">
        <v>27</v>
      </c>
      <c r="D6" s="150" t="s">
        <v>28</v>
      </c>
      <c r="E6" s="150" t="s">
        <v>29</v>
      </c>
      <c r="F6" s="150" t="s">
        <v>30</v>
      </c>
      <c r="G6" s="150" t="s">
        <v>31</v>
      </c>
      <c r="H6" s="150" t="s">
        <v>32</v>
      </c>
      <c r="I6" s="150" t="s">
        <v>33</v>
      </c>
      <c r="J6" s="552"/>
      <c r="K6" s="552"/>
      <c r="L6" s="150" t="s">
        <v>6</v>
      </c>
      <c r="M6" s="150" t="s">
        <v>34</v>
      </c>
      <c r="N6" s="150" t="s">
        <v>35</v>
      </c>
      <c r="O6" s="150" t="s">
        <v>36</v>
      </c>
      <c r="P6" s="150" t="s">
        <v>37</v>
      </c>
      <c r="Q6" s="150" t="s">
        <v>7</v>
      </c>
      <c r="R6" s="150" t="s">
        <v>38</v>
      </c>
      <c r="S6" s="150" t="s">
        <v>35</v>
      </c>
      <c r="T6" s="150" t="s">
        <v>36</v>
      </c>
      <c r="U6" s="150" t="s">
        <v>39</v>
      </c>
      <c r="V6" s="203" t="s">
        <v>40</v>
      </c>
      <c r="W6" s="203" t="s">
        <v>41</v>
      </c>
      <c r="X6" s="150" t="s">
        <v>42</v>
      </c>
      <c r="Y6" s="150" t="s">
        <v>43</v>
      </c>
      <c r="Z6" s="150" t="s">
        <v>44</v>
      </c>
      <c r="AA6" s="150" t="s">
        <v>45</v>
      </c>
      <c r="AB6" s="150" t="s">
        <v>46</v>
      </c>
      <c r="AC6" s="150" t="s">
        <v>43</v>
      </c>
      <c r="AD6" s="150" t="s">
        <v>44</v>
      </c>
      <c r="AE6" s="150" t="s">
        <v>45</v>
      </c>
      <c r="AF6" s="150" t="s">
        <v>46</v>
      </c>
      <c r="AG6" s="150" t="s">
        <v>43</v>
      </c>
      <c r="AH6" s="150" t="s">
        <v>44</v>
      </c>
      <c r="AI6" s="150" t="s">
        <v>45</v>
      </c>
      <c r="AJ6" s="150" t="s">
        <v>46</v>
      </c>
      <c r="AK6" s="150" t="s">
        <v>43</v>
      </c>
      <c r="AL6" s="150" t="s">
        <v>44</v>
      </c>
      <c r="AM6" s="150" t="s">
        <v>45</v>
      </c>
      <c r="AN6" s="150" t="s">
        <v>46</v>
      </c>
      <c r="AO6" s="150" t="s">
        <v>43</v>
      </c>
      <c r="AP6" s="150" t="s">
        <v>44</v>
      </c>
      <c r="AQ6" s="150" t="s">
        <v>45</v>
      </c>
      <c r="AR6" s="150" t="s">
        <v>46</v>
      </c>
      <c r="AS6" s="150" t="s">
        <v>43</v>
      </c>
      <c r="AT6" s="150" t="s">
        <v>44</v>
      </c>
      <c r="AU6" s="150" t="s">
        <v>45</v>
      </c>
      <c r="AV6" s="150" t="s">
        <v>46</v>
      </c>
      <c r="AY6" s="204" t="s">
        <v>786</v>
      </c>
      <c r="AZ6" s="204" t="s">
        <v>787</v>
      </c>
      <c r="BA6" s="205" t="s">
        <v>788</v>
      </c>
      <c r="BB6" s="205" t="s">
        <v>789</v>
      </c>
      <c r="BC6" s="204" t="s">
        <v>786</v>
      </c>
      <c r="BD6" s="204" t="s">
        <v>787</v>
      </c>
      <c r="BE6" s="205" t="s">
        <v>788</v>
      </c>
      <c r="BF6" s="205" t="s">
        <v>789</v>
      </c>
      <c r="BG6" s="204" t="s">
        <v>786</v>
      </c>
      <c r="BH6" s="204" t="s">
        <v>787</v>
      </c>
      <c r="BI6" s="205" t="s">
        <v>788</v>
      </c>
      <c r="BJ6" s="205" t="s">
        <v>789</v>
      </c>
      <c r="BK6" s="150" t="s">
        <v>43</v>
      </c>
      <c r="BL6" s="150" t="s">
        <v>44</v>
      </c>
      <c r="BM6" s="150" t="s">
        <v>45</v>
      </c>
      <c r="BN6" s="150" t="s">
        <v>46</v>
      </c>
      <c r="BO6" s="150" t="s">
        <v>43</v>
      </c>
      <c r="BP6" s="150" t="s">
        <v>44</v>
      </c>
      <c r="BQ6" s="150" t="s">
        <v>45</v>
      </c>
      <c r="BR6" s="150" t="s">
        <v>46</v>
      </c>
      <c r="BS6" s="150" t="s">
        <v>43</v>
      </c>
      <c r="BT6" s="150" t="s">
        <v>44</v>
      </c>
      <c r="BU6" s="150" t="s">
        <v>45</v>
      </c>
      <c r="BV6" s="150" t="s">
        <v>46</v>
      </c>
      <c r="BW6" s="150" t="s">
        <v>43</v>
      </c>
      <c r="BX6" s="150" t="s">
        <v>44</v>
      </c>
      <c r="BY6" s="150" t="s">
        <v>45</v>
      </c>
      <c r="BZ6" s="150" t="s">
        <v>46</v>
      </c>
      <c r="CA6" s="150" t="s">
        <v>43</v>
      </c>
      <c r="CB6" s="150" t="s">
        <v>44</v>
      </c>
      <c r="CC6" s="150" t="s">
        <v>45</v>
      </c>
      <c r="CD6" s="150" t="s">
        <v>46</v>
      </c>
      <c r="CE6" s="150" t="s">
        <v>43</v>
      </c>
      <c r="CF6" s="150" t="s">
        <v>44</v>
      </c>
      <c r="CG6" s="150" t="s">
        <v>45</v>
      </c>
      <c r="CH6" s="150" t="s">
        <v>46</v>
      </c>
      <c r="CI6" s="150" t="s">
        <v>43</v>
      </c>
      <c r="CJ6" s="150" t="s">
        <v>44</v>
      </c>
      <c r="CK6" s="150" t="s">
        <v>45</v>
      </c>
      <c r="CL6" s="150" t="s">
        <v>46</v>
      </c>
      <c r="CM6" s="150" t="s">
        <v>43</v>
      </c>
      <c r="CN6" s="150" t="s">
        <v>44</v>
      </c>
      <c r="CO6" s="150" t="s">
        <v>45</v>
      </c>
      <c r="CP6" s="150" t="s">
        <v>46</v>
      </c>
      <c r="CQ6" s="150" t="s">
        <v>43</v>
      </c>
      <c r="CR6" s="150" t="s">
        <v>44</v>
      </c>
      <c r="CS6" s="150" t="s">
        <v>45</v>
      </c>
      <c r="CT6" s="150" t="s">
        <v>46</v>
      </c>
      <c r="CU6" s="206" t="s">
        <v>43</v>
      </c>
      <c r="CV6" s="206" t="s">
        <v>44</v>
      </c>
      <c r="CW6" s="206" t="s">
        <v>45</v>
      </c>
      <c r="CX6" s="206" t="s">
        <v>46</v>
      </c>
      <c r="CY6" s="150" t="s">
        <v>43</v>
      </c>
      <c r="CZ6" s="150" t="s">
        <v>44</v>
      </c>
      <c r="DA6" s="150" t="s">
        <v>45</v>
      </c>
      <c r="DB6" s="150" t="s">
        <v>46</v>
      </c>
      <c r="DC6" s="150" t="s">
        <v>43</v>
      </c>
      <c r="DD6" s="150" t="s">
        <v>44</v>
      </c>
      <c r="DE6" s="150" t="s">
        <v>45</v>
      </c>
      <c r="DF6" s="150" t="s">
        <v>46</v>
      </c>
    </row>
    <row r="7" spans="1:709" s="210" customFormat="1" ht="147" customHeight="1" x14ac:dyDescent="0.25">
      <c r="A7" s="543" t="s">
        <v>47</v>
      </c>
      <c r="B7" s="547" t="s">
        <v>48</v>
      </c>
      <c r="C7" s="543" t="s">
        <v>49</v>
      </c>
      <c r="D7" s="547" t="s">
        <v>790</v>
      </c>
      <c r="E7" s="543" t="s">
        <v>51</v>
      </c>
      <c r="F7" s="547" t="s">
        <v>791</v>
      </c>
      <c r="G7" s="543" t="s">
        <v>719</v>
      </c>
      <c r="H7" s="547" t="s">
        <v>792</v>
      </c>
      <c r="I7" s="547" t="s">
        <v>669</v>
      </c>
      <c r="J7" s="543" t="s">
        <v>793</v>
      </c>
      <c r="K7" s="543" t="s">
        <v>792</v>
      </c>
      <c r="L7" s="207" t="s">
        <v>794</v>
      </c>
      <c r="M7" s="155" t="s">
        <v>795</v>
      </c>
      <c r="N7" s="155" t="s">
        <v>60</v>
      </c>
      <c r="O7" s="155"/>
      <c r="P7" s="155">
        <v>1</v>
      </c>
      <c r="Q7" s="169"/>
      <c r="R7" s="169"/>
      <c r="S7" s="169"/>
      <c r="T7" s="169"/>
      <c r="U7" s="169"/>
      <c r="V7" s="177">
        <v>973954634</v>
      </c>
      <c r="W7" s="544">
        <v>45317466258</v>
      </c>
      <c r="X7" s="543" t="s">
        <v>796</v>
      </c>
      <c r="Y7" s="208">
        <v>0</v>
      </c>
      <c r="Z7" s="209">
        <v>1</v>
      </c>
      <c r="AA7" s="155">
        <v>0</v>
      </c>
      <c r="AB7" s="155" t="s">
        <v>797</v>
      </c>
      <c r="AC7" s="169"/>
      <c r="AD7" s="169"/>
      <c r="AE7" s="169"/>
      <c r="AF7" s="169"/>
      <c r="AG7" s="208">
        <v>0</v>
      </c>
      <c r="AH7" s="209">
        <v>1</v>
      </c>
      <c r="AI7" s="155">
        <v>0</v>
      </c>
      <c r="AJ7" s="155" t="s">
        <v>797</v>
      </c>
      <c r="AK7" s="169"/>
      <c r="AL7" s="169"/>
      <c r="AM7" s="169"/>
      <c r="AN7" s="169"/>
      <c r="AO7" s="208">
        <v>0</v>
      </c>
      <c r="AP7" s="209">
        <v>1</v>
      </c>
      <c r="AQ7" s="155">
        <v>0</v>
      </c>
      <c r="AR7" s="155" t="s">
        <v>798</v>
      </c>
      <c r="AS7" s="169"/>
      <c r="AT7" s="169"/>
      <c r="AU7" s="169"/>
      <c r="AV7" s="169"/>
      <c r="AX7" s="211"/>
      <c r="AY7" s="212" t="s">
        <v>799</v>
      </c>
      <c r="AZ7" s="213"/>
      <c r="BA7" s="212" t="s">
        <v>799</v>
      </c>
      <c r="BB7" s="214"/>
      <c r="BC7" s="215" t="s">
        <v>799</v>
      </c>
      <c r="BD7" s="216"/>
      <c r="BE7" s="217" t="s">
        <v>799</v>
      </c>
      <c r="BF7" s="214"/>
      <c r="BG7" s="215" t="s">
        <v>799</v>
      </c>
      <c r="BH7" s="216"/>
      <c r="BI7" s="217" t="s">
        <v>799</v>
      </c>
      <c r="BJ7" s="214"/>
      <c r="BK7" s="208">
        <v>0</v>
      </c>
      <c r="BL7" s="209">
        <v>1</v>
      </c>
      <c r="BM7" s="155">
        <v>0</v>
      </c>
      <c r="BN7" s="155" t="s">
        <v>798</v>
      </c>
      <c r="BO7" s="169"/>
      <c r="BP7" s="169"/>
      <c r="BQ7" s="169"/>
      <c r="BR7" s="169"/>
      <c r="BS7" s="208">
        <v>0</v>
      </c>
      <c r="BT7" s="209">
        <v>1</v>
      </c>
      <c r="BU7" s="155">
        <v>0</v>
      </c>
      <c r="BV7" s="155" t="s">
        <v>800</v>
      </c>
      <c r="BW7" s="169"/>
      <c r="BX7" s="169"/>
      <c r="BY7" s="169"/>
      <c r="BZ7" s="169"/>
      <c r="CA7" s="208">
        <v>0</v>
      </c>
      <c r="CB7" s="209">
        <v>1</v>
      </c>
      <c r="CC7" s="155">
        <v>0</v>
      </c>
      <c r="CD7" s="155" t="s">
        <v>801</v>
      </c>
      <c r="CE7" s="169"/>
      <c r="CF7" s="169"/>
      <c r="CG7" s="169"/>
      <c r="CH7" s="169"/>
      <c r="CI7" s="208">
        <v>0.25</v>
      </c>
      <c r="CJ7" s="209">
        <v>1</v>
      </c>
      <c r="CK7" s="155">
        <f>CI7/CJ7</f>
        <v>0.25</v>
      </c>
      <c r="CL7" s="155" t="s">
        <v>802</v>
      </c>
      <c r="CM7" s="169"/>
      <c r="CN7" s="169"/>
      <c r="CO7" s="169"/>
      <c r="CP7" s="169"/>
      <c r="CQ7" s="208">
        <v>0.95</v>
      </c>
      <c r="CR7" s="209">
        <v>1</v>
      </c>
      <c r="CS7" s="155">
        <f>CQ7/CR7</f>
        <v>0.95</v>
      </c>
      <c r="CT7" s="155" t="s">
        <v>803</v>
      </c>
      <c r="CU7" s="218"/>
      <c r="CV7" s="218"/>
      <c r="CW7" s="218"/>
      <c r="CX7" s="218"/>
      <c r="CY7" s="208">
        <v>0.95</v>
      </c>
      <c r="CZ7" s="209">
        <v>1</v>
      </c>
      <c r="DA7" s="219">
        <f>CY7/CZ7</f>
        <v>0.95</v>
      </c>
      <c r="DB7" s="155" t="s">
        <v>804</v>
      </c>
      <c r="DC7" s="169"/>
      <c r="DD7" s="169"/>
      <c r="DE7" s="169"/>
      <c r="DF7" s="169"/>
    </row>
    <row r="8" spans="1:709" s="210" customFormat="1" ht="190.5" customHeight="1" x14ac:dyDescent="0.25">
      <c r="A8" s="532"/>
      <c r="B8" s="548"/>
      <c r="C8" s="532"/>
      <c r="D8" s="548"/>
      <c r="E8" s="532"/>
      <c r="F8" s="548"/>
      <c r="G8" s="532"/>
      <c r="H8" s="548"/>
      <c r="I8" s="548"/>
      <c r="J8" s="532"/>
      <c r="K8" s="532"/>
      <c r="L8" s="161" t="s">
        <v>805</v>
      </c>
      <c r="M8" s="161" t="s">
        <v>806</v>
      </c>
      <c r="N8" s="161" t="s">
        <v>93</v>
      </c>
      <c r="O8" s="161"/>
      <c r="P8" s="161">
        <v>1</v>
      </c>
      <c r="Q8" s="169"/>
      <c r="R8" s="169"/>
      <c r="S8" s="169"/>
      <c r="T8" s="169"/>
      <c r="U8" s="169"/>
      <c r="V8" s="170">
        <v>174099510</v>
      </c>
      <c r="W8" s="545"/>
      <c r="X8" s="532"/>
      <c r="Y8" s="220">
        <v>0.25</v>
      </c>
      <c r="Z8" s="221">
        <v>1</v>
      </c>
      <c r="AA8" s="221">
        <v>0.25</v>
      </c>
      <c r="AB8" s="161" t="s">
        <v>807</v>
      </c>
      <c r="AC8" s="169"/>
      <c r="AD8" s="169"/>
      <c r="AE8" s="169"/>
      <c r="AF8" s="169"/>
      <c r="AG8" s="221">
        <v>0.25</v>
      </c>
      <c r="AH8" s="221">
        <v>1</v>
      </c>
      <c r="AI8" s="221">
        <v>0.25</v>
      </c>
      <c r="AJ8" s="161" t="s">
        <v>807</v>
      </c>
      <c r="AK8" s="169"/>
      <c r="AL8" s="169"/>
      <c r="AM8" s="169"/>
      <c r="AN8" s="169"/>
      <c r="AO8" s="221">
        <v>0.25</v>
      </c>
      <c r="AP8" s="221">
        <v>1</v>
      </c>
      <c r="AQ8" s="221">
        <v>0.25</v>
      </c>
      <c r="AR8" s="161" t="s">
        <v>807</v>
      </c>
      <c r="AS8" s="169"/>
      <c r="AT8" s="169"/>
      <c r="AU8" s="169"/>
      <c r="AV8" s="169"/>
      <c r="AX8" s="211"/>
      <c r="AY8" s="215">
        <v>0.25</v>
      </c>
      <c r="AZ8" s="216"/>
      <c r="BA8" s="217">
        <v>0.25</v>
      </c>
      <c r="BB8" s="222"/>
      <c r="BC8" s="215">
        <v>0.25</v>
      </c>
      <c r="BD8" s="216"/>
      <c r="BE8" s="217">
        <v>0.25</v>
      </c>
      <c r="BF8" s="222"/>
      <c r="BG8" s="215">
        <v>0.25</v>
      </c>
      <c r="BH8" s="216"/>
      <c r="BI8" s="217">
        <v>0.25</v>
      </c>
      <c r="BJ8" s="222"/>
      <c r="BK8" s="221">
        <v>0.5</v>
      </c>
      <c r="BL8" s="221">
        <v>1</v>
      </c>
      <c r="BM8" s="221">
        <f>BK8/BL8</f>
        <v>0.5</v>
      </c>
      <c r="BN8" s="161" t="s">
        <v>808</v>
      </c>
      <c r="BO8" s="169"/>
      <c r="BP8" s="169"/>
      <c r="BQ8" s="169"/>
      <c r="BR8" s="169"/>
      <c r="BS8" s="221">
        <v>0.75</v>
      </c>
      <c r="BT8" s="221">
        <v>1</v>
      </c>
      <c r="BU8" s="221">
        <v>0.75</v>
      </c>
      <c r="BV8" s="161" t="s">
        <v>809</v>
      </c>
      <c r="BW8" s="169"/>
      <c r="BX8" s="169"/>
      <c r="BY8" s="169"/>
      <c r="BZ8" s="169"/>
      <c r="CA8" s="221">
        <v>0.75</v>
      </c>
      <c r="CB8" s="221">
        <v>1</v>
      </c>
      <c r="CC8" s="221">
        <v>0.75</v>
      </c>
      <c r="CD8" s="161" t="s">
        <v>810</v>
      </c>
      <c r="CE8" s="169"/>
      <c r="CF8" s="169"/>
      <c r="CG8" s="169"/>
      <c r="CH8" s="169"/>
      <c r="CI8" s="221">
        <v>0.75</v>
      </c>
      <c r="CJ8" s="221">
        <v>1</v>
      </c>
      <c r="CK8" s="221">
        <v>0.75</v>
      </c>
      <c r="CL8" s="161" t="s">
        <v>811</v>
      </c>
      <c r="CM8" s="169"/>
      <c r="CN8" s="169"/>
      <c r="CO8" s="169"/>
      <c r="CP8" s="169"/>
      <c r="CQ8" s="221">
        <v>0.75</v>
      </c>
      <c r="CR8" s="221">
        <v>1</v>
      </c>
      <c r="CS8" s="221">
        <f>CQ8/CR8</f>
        <v>0.75</v>
      </c>
      <c r="CT8" s="161" t="s">
        <v>812</v>
      </c>
      <c r="CU8" s="218"/>
      <c r="CV8" s="218"/>
      <c r="CW8" s="218"/>
      <c r="CX8" s="218"/>
      <c r="CY8" s="221">
        <v>0.9</v>
      </c>
      <c r="CZ8" s="221">
        <v>1</v>
      </c>
      <c r="DA8" s="221">
        <f>CY8/CZ8</f>
        <v>0.9</v>
      </c>
      <c r="DB8" s="161" t="s">
        <v>813</v>
      </c>
      <c r="DC8" s="169"/>
      <c r="DD8" s="169"/>
      <c r="DE8" s="169"/>
      <c r="DF8" s="169"/>
    </row>
    <row r="9" spans="1:709" s="210" customFormat="1" ht="104.25" customHeight="1" x14ac:dyDescent="0.25">
      <c r="A9" s="532"/>
      <c r="B9" s="548"/>
      <c r="C9" s="532"/>
      <c r="D9" s="548"/>
      <c r="E9" s="532"/>
      <c r="F9" s="548"/>
      <c r="G9" s="532"/>
      <c r="H9" s="548"/>
      <c r="I9" s="548"/>
      <c r="J9" s="532"/>
      <c r="K9" s="532"/>
      <c r="L9" s="532" t="s">
        <v>814</v>
      </c>
      <c r="M9" s="532" t="s">
        <v>815</v>
      </c>
      <c r="N9" s="532" t="s">
        <v>93</v>
      </c>
      <c r="O9" s="532" t="s">
        <v>816</v>
      </c>
      <c r="P9" s="546">
        <v>0.75</v>
      </c>
      <c r="Q9" s="155" t="s">
        <v>817</v>
      </c>
      <c r="R9" s="155" t="s">
        <v>818</v>
      </c>
      <c r="S9" s="155" t="s">
        <v>60</v>
      </c>
      <c r="T9" s="155"/>
      <c r="U9" s="155">
        <v>3</v>
      </c>
      <c r="V9" s="545">
        <v>823917875</v>
      </c>
      <c r="W9" s="545"/>
      <c r="X9" s="532"/>
      <c r="Y9" s="534">
        <v>0</v>
      </c>
      <c r="Z9" s="533">
        <v>0.75</v>
      </c>
      <c r="AA9" s="532" t="s">
        <v>799</v>
      </c>
      <c r="AB9" s="532" t="s">
        <v>819</v>
      </c>
      <c r="AC9" s="155">
        <v>1</v>
      </c>
      <c r="AD9" s="155">
        <v>3</v>
      </c>
      <c r="AE9" s="219">
        <f>AC9/AD9</f>
        <v>0.33333333333333331</v>
      </c>
      <c r="AF9" s="155" t="s">
        <v>820</v>
      </c>
      <c r="AG9" s="534">
        <v>0</v>
      </c>
      <c r="AH9" s="533">
        <v>0.75</v>
      </c>
      <c r="AI9" s="532" t="s">
        <v>799</v>
      </c>
      <c r="AJ9" s="532" t="s">
        <v>819</v>
      </c>
      <c r="AK9" s="155">
        <v>2</v>
      </c>
      <c r="AL9" s="155">
        <v>3</v>
      </c>
      <c r="AM9" s="219">
        <f>AK9/AL9</f>
        <v>0.66666666666666663</v>
      </c>
      <c r="AN9" s="155" t="s">
        <v>820</v>
      </c>
      <c r="AO9" s="534"/>
      <c r="AP9" s="533"/>
      <c r="AQ9" s="532"/>
      <c r="AR9" s="532"/>
      <c r="AS9" s="155">
        <v>2</v>
      </c>
      <c r="AT9" s="155">
        <v>3</v>
      </c>
      <c r="AU9" s="219">
        <f>AS9/AT9</f>
        <v>0.66666666666666663</v>
      </c>
      <c r="AV9" s="155" t="s">
        <v>820</v>
      </c>
      <c r="AW9" s="223"/>
      <c r="AX9" s="224"/>
      <c r="AY9" s="535"/>
      <c r="AZ9" s="225">
        <f>2/3</f>
        <v>0.66666666666666663</v>
      </c>
      <c r="BA9" s="536"/>
      <c r="BB9" s="226">
        <v>0.67</v>
      </c>
      <c r="BC9" s="535"/>
      <c r="BD9" s="225">
        <f>2/3</f>
        <v>0.66666666666666663</v>
      </c>
      <c r="BE9" s="536"/>
      <c r="BF9" s="227">
        <v>0.67</v>
      </c>
      <c r="BG9" s="535"/>
      <c r="BH9" s="225">
        <v>0.67</v>
      </c>
      <c r="BI9" s="536"/>
      <c r="BJ9" s="227">
        <v>0.67</v>
      </c>
      <c r="BK9" s="534"/>
      <c r="BL9" s="533"/>
      <c r="BM9" s="532"/>
      <c r="BN9" s="532"/>
      <c r="BO9" s="155">
        <v>2</v>
      </c>
      <c r="BP9" s="155">
        <v>3</v>
      </c>
      <c r="BQ9" s="219">
        <f>BO9/BP9</f>
        <v>0.66666666666666663</v>
      </c>
      <c r="BR9" s="155" t="s">
        <v>820</v>
      </c>
      <c r="BS9" s="534"/>
      <c r="BT9" s="533"/>
      <c r="BU9" s="532"/>
      <c r="BV9" s="532"/>
      <c r="BW9" s="155">
        <v>2</v>
      </c>
      <c r="BX9" s="155">
        <v>3</v>
      </c>
      <c r="BY9" s="219">
        <f>BW9/BX9</f>
        <v>0.66666666666666663</v>
      </c>
      <c r="BZ9" s="155" t="s">
        <v>820</v>
      </c>
      <c r="CA9" s="531">
        <v>0.83199999999999996</v>
      </c>
      <c r="CB9" s="533">
        <v>0.75</v>
      </c>
      <c r="CC9" s="531">
        <f>CA9/CB9</f>
        <v>1.1093333333333333</v>
      </c>
      <c r="CD9" s="532" t="s">
        <v>821</v>
      </c>
      <c r="CE9" s="155">
        <v>3</v>
      </c>
      <c r="CF9" s="155">
        <v>3</v>
      </c>
      <c r="CG9" s="219">
        <f>CE9/CF9</f>
        <v>1</v>
      </c>
      <c r="CH9" s="155" t="s">
        <v>822</v>
      </c>
      <c r="CI9" s="531">
        <v>0.83199999999999996</v>
      </c>
      <c r="CJ9" s="533">
        <v>0.75</v>
      </c>
      <c r="CK9" s="531">
        <f>CI9/CJ9</f>
        <v>1.1093333333333333</v>
      </c>
      <c r="CL9" s="532" t="s">
        <v>823</v>
      </c>
      <c r="CM9" s="155">
        <v>3</v>
      </c>
      <c r="CN9" s="155">
        <v>3</v>
      </c>
      <c r="CO9" s="219">
        <f>CM9/CN9</f>
        <v>1</v>
      </c>
      <c r="CP9" s="155" t="s">
        <v>822</v>
      </c>
      <c r="CQ9" s="531">
        <v>0.83199999999999996</v>
      </c>
      <c r="CR9" s="533">
        <v>0.8</v>
      </c>
      <c r="CS9" s="531">
        <v>0.83199999999999996</v>
      </c>
      <c r="CT9" s="532" t="s">
        <v>824</v>
      </c>
      <c r="CU9" s="228">
        <v>3</v>
      </c>
      <c r="CV9" s="228">
        <v>3</v>
      </c>
      <c r="CW9" s="229">
        <f>CU9/CV9</f>
        <v>1</v>
      </c>
      <c r="CX9" s="228" t="s">
        <v>822</v>
      </c>
      <c r="CY9" s="531">
        <v>0.83199999999999996</v>
      </c>
      <c r="CZ9" s="533">
        <v>0.8</v>
      </c>
      <c r="DA9" s="531">
        <f>CY9/CZ9</f>
        <v>1.0399999999999998</v>
      </c>
      <c r="DB9" s="532" t="s">
        <v>824</v>
      </c>
      <c r="DC9" s="155">
        <v>3</v>
      </c>
      <c r="DD9" s="155">
        <v>3</v>
      </c>
      <c r="DE9" s="219">
        <f>DC9/DD9</f>
        <v>1</v>
      </c>
      <c r="DF9" s="155" t="s">
        <v>822</v>
      </c>
    </row>
    <row r="10" spans="1:709" s="210" customFormat="1" ht="146.25" customHeight="1" x14ac:dyDescent="0.25">
      <c r="A10" s="532"/>
      <c r="B10" s="548"/>
      <c r="C10" s="532"/>
      <c r="D10" s="548"/>
      <c r="E10" s="532"/>
      <c r="F10" s="548"/>
      <c r="G10" s="532"/>
      <c r="H10" s="548"/>
      <c r="I10" s="548"/>
      <c r="J10" s="532"/>
      <c r="K10" s="532"/>
      <c r="L10" s="532"/>
      <c r="M10" s="532"/>
      <c r="N10" s="532"/>
      <c r="O10" s="532"/>
      <c r="P10" s="546"/>
      <c r="Q10" s="155" t="s">
        <v>825</v>
      </c>
      <c r="R10" s="155" t="s">
        <v>826</v>
      </c>
      <c r="S10" s="155" t="s">
        <v>827</v>
      </c>
      <c r="T10" s="155"/>
      <c r="U10" s="230">
        <v>4</v>
      </c>
      <c r="V10" s="545"/>
      <c r="W10" s="545"/>
      <c r="X10" s="532"/>
      <c r="Y10" s="534"/>
      <c r="Z10" s="532"/>
      <c r="AA10" s="532"/>
      <c r="AB10" s="532"/>
      <c r="AC10" s="155"/>
      <c r="AD10" s="230">
        <v>4</v>
      </c>
      <c r="AE10" s="155"/>
      <c r="AF10" s="155" t="s">
        <v>819</v>
      </c>
      <c r="AG10" s="534"/>
      <c r="AH10" s="532"/>
      <c r="AI10" s="532"/>
      <c r="AJ10" s="532"/>
      <c r="AK10" s="155"/>
      <c r="AL10" s="208"/>
      <c r="AM10" s="155"/>
      <c r="AN10" s="155"/>
      <c r="AO10" s="534"/>
      <c r="AP10" s="532"/>
      <c r="AQ10" s="532"/>
      <c r="AR10" s="532"/>
      <c r="AS10" s="230">
        <v>1</v>
      </c>
      <c r="AT10" s="230">
        <v>4</v>
      </c>
      <c r="AU10" s="208">
        <f>AS10/AT10</f>
        <v>0.25</v>
      </c>
      <c r="AV10" s="155" t="s">
        <v>828</v>
      </c>
      <c r="AW10" s="223"/>
      <c r="AX10" s="211"/>
      <c r="AY10" s="535"/>
      <c r="AZ10" s="231"/>
      <c r="BA10" s="536"/>
      <c r="BB10" s="232"/>
      <c r="BC10" s="535"/>
      <c r="BD10" s="231"/>
      <c r="BE10" s="536"/>
      <c r="BF10" s="232"/>
      <c r="BG10" s="535"/>
      <c r="BH10" s="217">
        <v>0.25</v>
      </c>
      <c r="BI10" s="536"/>
      <c r="BJ10" s="226">
        <v>0.25</v>
      </c>
      <c r="BK10" s="534"/>
      <c r="BL10" s="532"/>
      <c r="BM10" s="532"/>
      <c r="BN10" s="532"/>
      <c r="BO10" s="230">
        <v>1</v>
      </c>
      <c r="BP10" s="230">
        <v>4</v>
      </c>
      <c r="BQ10" s="208">
        <f>BO10/BP10</f>
        <v>0.25</v>
      </c>
      <c r="BR10" s="155" t="s">
        <v>828</v>
      </c>
      <c r="BS10" s="534"/>
      <c r="BT10" s="532"/>
      <c r="BU10" s="532"/>
      <c r="BV10" s="532"/>
      <c r="BW10" s="155">
        <v>1</v>
      </c>
      <c r="BX10" s="155">
        <v>4</v>
      </c>
      <c r="BY10" s="208">
        <f>BW10/BX10</f>
        <v>0.25</v>
      </c>
      <c r="BZ10" s="155" t="s">
        <v>828</v>
      </c>
      <c r="CA10" s="531"/>
      <c r="CB10" s="532"/>
      <c r="CC10" s="531"/>
      <c r="CD10" s="532"/>
      <c r="CE10" s="155">
        <v>1.6</v>
      </c>
      <c r="CF10" s="155">
        <v>4</v>
      </c>
      <c r="CG10" s="208">
        <f>CE10/CF10</f>
        <v>0.4</v>
      </c>
      <c r="CH10" s="155" t="s">
        <v>829</v>
      </c>
      <c r="CI10" s="531"/>
      <c r="CJ10" s="532"/>
      <c r="CK10" s="531"/>
      <c r="CL10" s="532"/>
      <c r="CM10" s="155">
        <v>1.6</v>
      </c>
      <c r="CN10" s="155">
        <v>4</v>
      </c>
      <c r="CO10" s="208">
        <f>CM10/CN10</f>
        <v>0.4</v>
      </c>
      <c r="CP10" s="155" t="s">
        <v>829</v>
      </c>
      <c r="CQ10" s="531"/>
      <c r="CR10" s="532"/>
      <c r="CS10" s="531"/>
      <c r="CT10" s="532"/>
      <c r="CU10" s="228">
        <v>1.6</v>
      </c>
      <c r="CV10" s="228">
        <v>4</v>
      </c>
      <c r="CW10" s="233">
        <f>CU10/CV10</f>
        <v>0.4</v>
      </c>
      <c r="CX10" s="228" t="s">
        <v>829</v>
      </c>
      <c r="CY10" s="531"/>
      <c r="CZ10" s="532"/>
      <c r="DA10" s="531"/>
      <c r="DB10" s="532"/>
      <c r="DC10" s="155">
        <v>3</v>
      </c>
      <c r="DD10" s="155">
        <v>4</v>
      </c>
      <c r="DE10" s="208">
        <f>DC10/DD10</f>
        <v>0.75</v>
      </c>
      <c r="DF10" s="155" t="s">
        <v>830</v>
      </c>
    </row>
    <row r="11" spans="1:709" s="210" customFormat="1" ht="276.75" customHeight="1" x14ac:dyDescent="0.25">
      <c r="A11" s="532"/>
      <c r="B11" s="548"/>
      <c r="C11" s="532"/>
      <c r="D11" s="548"/>
      <c r="E11" s="532"/>
      <c r="F11" s="548"/>
      <c r="G11" s="532"/>
      <c r="H11" s="548"/>
      <c r="I11" s="548"/>
      <c r="J11" s="532"/>
      <c r="K11" s="532"/>
      <c r="L11" s="234" t="s">
        <v>831</v>
      </c>
      <c r="M11" s="234" t="s">
        <v>832</v>
      </c>
      <c r="N11" s="161" t="s">
        <v>93</v>
      </c>
      <c r="O11" s="161" t="s">
        <v>833</v>
      </c>
      <c r="P11" s="221">
        <v>1</v>
      </c>
      <c r="Q11" s="169"/>
      <c r="R11" s="169"/>
      <c r="S11" s="169"/>
      <c r="T11" s="169"/>
      <c r="U11" s="169"/>
      <c r="V11" s="170">
        <v>501086229</v>
      </c>
      <c r="W11" s="545"/>
      <c r="X11" s="532"/>
      <c r="Y11" s="221">
        <v>1</v>
      </c>
      <c r="Z11" s="221">
        <v>1</v>
      </c>
      <c r="AA11" s="221">
        <f>Y11/Z11</f>
        <v>1</v>
      </c>
      <c r="AB11" s="161" t="s">
        <v>834</v>
      </c>
      <c r="AC11" s="169"/>
      <c r="AD11" s="169"/>
      <c r="AE11" s="169"/>
      <c r="AF11" s="169"/>
      <c r="AG11" s="235">
        <v>0.98599999999999999</v>
      </c>
      <c r="AH11" s="221">
        <v>1</v>
      </c>
      <c r="AI11" s="235">
        <f>AG11/AH11</f>
        <v>0.98599999999999999</v>
      </c>
      <c r="AJ11" s="161" t="s">
        <v>835</v>
      </c>
      <c r="AK11" s="169"/>
      <c r="AL11" s="169"/>
      <c r="AM11" s="169"/>
      <c r="AN11" s="169"/>
      <c r="AO11" s="236">
        <v>0.98799999999999999</v>
      </c>
      <c r="AP11" s="221">
        <v>1</v>
      </c>
      <c r="AQ11" s="220">
        <f>AO11/AP11</f>
        <v>0.98799999999999999</v>
      </c>
      <c r="AR11" s="237" t="s">
        <v>836</v>
      </c>
      <c r="AS11" s="169"/>
      <c r="AT11" s="169"/>
      <c r="AU11" s="169"/>
      <c r="AV11" s="169"/>
      <c r="AX11" s="211"/>
      <c r="AY11" s="238">
        <v>1</v>
      </c>
      <c r="AZ11" s="216"/>
      <c r="BA11" s="239">
        <v>8.3000000000000004E-2</v>
      </c>
      <c r="BB11" s="222"/>
      <c r="BC11" s="240">
        <v>0.99590000000000001</v>
      </c>
      <c r="BD11" s="216"/>
      <c r="BE11" s="241">
        <v>0.16528000000000001</v>
      </c>
      <c r="BF11" s="222"/>
      <c r="BG11" s="240">
        <v>0.99399999999999999</v>
      </c>
      <c r="BH11" s="216"/>
      <c r="BI11" s="241">
        <v>0.2482</v>
      </c>
      <c r="BJ11" s="222"/>
      <c r="BK11" s="236">
        <v>0.98699999999999999</v>
      </c>
      <c r="BL11" s="221">
        <v>1</v>
      </c>
      <c r="BM11" s="220">
        <f>BK11/BL11</f>
        <v>0.98699999999999999</v>
      </c>
      <c r="BN11" s="237" t="s">
        <v>837</v>
      </c>
      <c r="BO11" s="169"/>
      <c r="BP11" s="169"/>
      <c r="BQ11" s="169"/>
      <c r="BR11" s="169"/>
      <c r="BS11" s="236">
        <v>0.9900249376558603</v>
      </c>
      <c r="BT11" s="221">
        <v>1</v>
      </c>
      <c r="BU11" s="220">
        <f>BS11/BT11</f>
        <v>0.9900249376558603</v>
      </c>
      <c r="BV11" s="242" t="s">
        <v>838</v>
      </c>
      <c r="BW11" s="169"/>
      <c r="BX11" s="169"/>
      <c r="BY11" s="169"/>
      <c r="BZ11" s="169"/>
      <c r="CA11" s="236">
        <v>0.99122017109410177</v>
      </c>
      <c r="CB11" s="221">
        <v>1</v>
      </c>
      <c r="CC11" s="220">
        <f>CA11/CB11</f>
        <v>0.99122017109410177</v>
      </c>
      <c r="CD11" s="242" t="s">
        <v>839</v>
      </c>
      <c r="CE11" s="169"/>
      <c r="CF11" s="169"/>
      <c r="CG11" s="169"/>
      <c r="CH11" s="169"/>
      <c r="CI11" s="236">
        <v>0.98953823953823949</v>
      </c>
      <c r="CJ11" s="221">
        <v>1</v>
      </c>
      <c r="CK11" s="220">
        <f>CI11/CJ11</f>
        <v>0.98953823953823949</v>
      </c>
      <c r="CL11" s="242" t="s">
        <v>840</v>
      </c>
      <c r="CM11" s="243"/>
      <c r="CN11" s="169"/>
      <c r="CO11" s="169"/>
      <c r="CP11" s="169"/>
      <c r="CQ11" s="236">
        <v>0.99099999999999999</v>
      </c>
      <c r="CR11" s="221">
        <v>1</v>
      </c>
      <c r="CS11" s="220">
        <f>CQ11/CR11</f>
        <v>0.99099999999999999</v>
      </c>
      <c r="CT11" s="242" t="s">
        <v>841</v>
      </c>
      <c r="CU11" s="244"/>
      <c r="CV11" s="218"/>
      <c r="CW11" s="218"/>
      <c r="CX11" s="218"/>
      <c r="CY11" s="236">
        <v>0.98987904221179956</v>
      </c>
      <c r="CZ11" s="221">
        <v>1</v>
      </c>
      <c r="DA11" s="220">
        <f>CY11/CZ11</f>
        <v>0.98987904221179956</v>
      </c>
      <c r="DB11" s="242" t="s">
        <v>842</v>
      </c>
      <c r="DC11" s="243"/>
      <c r="DD11" s="169"/>
      <c r="DE11" s="169"/>
      <c r="DF11" s="169"/>
    </row>
    <row r="12" spans="1:709" s="210" customFormat="1" ht="39.75" customHeight="1" x14ac:dyDescent="0.25">
      <c r="A12" s="532"/>
      <c r="B12" s="548"/>
      <c r="C12" s="532"/>
      <c r="D12" s="161"/>
      <c r="E12" s="155"/>
      <c r="F12" s="161"/>
      <c r="G12" s="532"/>
      <c r="H12" s="161"/>
      <c r="I12" s="161"/>
      <c r="J12" s="532"/>
      <c r="K12" s="155"/>
      <c r="L12" s="234"/>
      <c r="M12" s="161"/>
      <c r="N12" s="161"/>
      <c r="O12" s="161"/>
      <c r="P12" s="221"/>
      <c r="Q12" s="169"/>
      <c r="R12" s="169"/>
      <c r="S12" s="169"/>
      <c r="T12" s="169"/>
      <c r="U12" s="169"/>
      <c r="V12" s="170"/>
      <c r="W12" s="545"/>
      <c r="X12" s="155"/>
      <c r="Y12" s="221"/>
      <c r="Z12" s="221"/>
      <c r="AA12" s="221"/>
      <c r="AB12" s="161"/>
      <c r="AC12" s="169"/>
      <c r="AD12" s="169"/>
      <c r="AE12" s="169"/>
      <c r="AF12" s="169"/>
      <c r="AG12" s="221"/>
      <c r="AH12" s="221"/>
      <c r="AI12" s="221"/>
      <c r="AJ12" s="161"/>
      <c r="AK12" s="169"/>
      <c r="AL12" s="169"/>
      <c r="AM12" s="169"/>
      <c r="AN12" s="169"/>
      <c r="AO12" s="221"/>
      <c r="AP12" s="221"/>
      <c r="AQ12" s="221"/>
      <c r="AR12" s="161"/>
      <c r="AS12" s="169"/>
      <c r="AT12" s="169"/>
      <c r="AU12" s="169"/>
      <c r="AV12" s="169"/>
      <c r="AX12" s="245" t="s">
        <v>843</v>
      </c>
      <c r="AY12" s="246">
        <f t="shared" ref="AY12:BJ12" si="0">+AVERAGE(AY7:AY11)</f>
        <v>0.625</v>
      </c>
      <c r="AZ12" s="247">
        <f t="shared" si="0"/>
        <v>0.66666666666666663</v>
      </c>
      <c r="BA12" s="248">
        <f t="shared" si="0"/>
        <v>0.16650000000000001</v>
      </c>
      <c r="BB12" s="249">
        <f t="shared" si="0"/>
        <v>0.67</v>
      </c>
      <c r="BC12" s="246">
        <f t="shared" si="0"/>
        <v>0.62295</v>
      </c>
      <c r="BD12" s="247">
        <f t="shared" si="0"/>
        <v>0.66666666666666663</v>
      </c>
      <c r="BE12" s="248">
        <f t="shared" si="0"/>
        <v>0.20763999999999999</v>
      </c>
      <c r="BF12" s="249">
        <f t="shared" si="0"/>
        <v>0.67</v>
      </c>
      <c r="BG12" s="246">
        <f t="shared" si="0"/>
        <v>0.622</v>
      </c>
      <c r="BH12" s="247">
        <f t="shared" si="0"/>
        <v>0.46</v>
      </c>
      <c r="BI12" s="248">
        <f t="shared" si="0"/>
        <v>0.24909999999999999</v>
      </c>
      <c r="BJ12" s="249">
        <f t="shared" si="0"/>
        <v>0.46</v>
      </c>
      <c r="BK12" s="221"/>
      <c r="BL12" s="221"/>
      <c r="BM12" s="221"/>
      <c r="BN12" s="161"/>
      <c r="BO12" s="169"/>
      <c r="BP12" s="169"/>
      <c r="BQ12" s="169"/>
      <c r="BR12" s="169"/>
      <c r="BS12" s="221"/>
      <c r="BT12" s="221"/>
      <c r="BU12" s="221"/>
      <c r="BV12" s="161"/>
      <c r="BW12" s="169"/>
      <c r="BX12" s="169"/>
      <c r="BY12" s="169"/>
      <c r="BZ12" s="169"/>
      <c r="CA12" s="221"/>
      <c r="CB12" s="221"/>
      <c r="CC12" s="221"/>
      <c r="CD12" s="161"/>
      <c r="CE12" s="169"/>
      <c r="CF12" s="169"/>
      <c r="CG12" s="169"/>
      <c r="CH12" s="169"/>
      <c r="CI12" s="221"/>
      <c r="CJ12" s="221"/>
      <c r="CK12" s="221"/>
      <c r="CL12" s="161"/>
      <c r="CM12" s="169"/>
      <c r="CN12" s="169"/>
      <c r="CO12" s="169"/>
      <c r="CP12" s="169"/>
      <c r="CQ12" s="221"/>
      <c r="CR12" s="221"/>
      <c r="CS12" s="221"/>
      <c r="CT12" s="161"/>
      <c r="CU12" s="218"/>
      <c r="CV12" s="218"/>
      <c r="CW12" s="218"/>
      <c r="CX12" s="218"/>
      <c r="CY12" s="221"/>
      <c r="CZ12" s="221"/>
      <c r="DA12" s="221"/>
      <c r="DB12" s="161"/>
      <c r="DC12" s="169"/>
      <c r="DD12" s="169"/>
      <c r="DE12" s="169"/>
      <c r="DF12" s="169"/>
    </row>
    <row r="13" spans="1:709" ht="23.25" customHeight="1" x14ac:dyDescent="0.25">
      <c r="Y13" s="517" t="s">
        <v>844</v>
      </c>
      <c r="Z13" s="517"/>
      <c r="AA13" s="252">
        <f>AVERAGE(AA11,AA8,AA7)</f>
        <v>0.41666666666666669</v>
      </c>
      <c r="AC13" s="517" t="s">
        <v>845</v>
      </c>
      <c r="AD13" s="517"/>
      <c r="AE13" s="129">
        <f>AVERAGE(AE10,AE9)</f>
        <v>0.33333333333333331</v>
      </c>
      <c r="AG13" s="517" t="s">
        <v>844</v>
      </c>
      <c r="AH13" s="517"/>
      <c r="AI13" s="252">
        <f>AVERAGE(AI11,AI8,AI7)</f>
        <v>0.41199999999999998</v>
      </c>
      <c r="AK13" s="517" t="s">
        <v>845</v>
      </c>
      <c r="AL13" s="517"/>
      <c r="AM13" s="129">
        <f>AVERAGE(AM10,AM9)</f>
        <v>0.66666666666666663</v>
      </c>
      <c r="AO13" s="517" t="s">
        <v>844</v>
      </c>
      <c r="AP13" s="517"/>
      <c r="AQ13" s="252">
        <f>AVERAGE(AQ11,AQ8,AQ7)</f>
        <v>0.41266666666666668</v>
      </c>
      <c r="AS13" s="517" t="s">
        <v>845</v>
      </c>
      <c r="AT13" s="517"/>
      <c r="AU13" s="129">
        <f>AVERAGE(AU10,AU9)</f>
        <v>0.45833333333333331</v>
      </c>
      <c r="AW13" s="517" t="s">
        <v>846</v>
      </c>
      <c r="AX13" s="517"/>
      <c r="AY13" s="129" t="s">
        <v>847</v>
      </c>
      <c r="AZ13" s="253" t="e">
        <f>+AVERAGE(#REF!)</f>
        <v>#REF!</v>
      </c>
      <c r="BA13" s="253" t="e">
        <f>+AVERAGE(#REF!)</f>
        <v>#REF!</v>
      </c>
      <c r="BB13" s="254" t="e">
        <f>+AVERAGE(#REF!)</f>
        <v>#REF!</v>
      </c>
      <c r="BC13" s="255" t="e">
        <f>+AVERAGE(#REF!)</f>
        <v>#REF!</v>
      </c>
      <c r="BD13" s="253" t="e">
        <f>+AVERAGE(#REF!)</f>
        <v>#REF!</v>
      </c>
      <c r="BE13" s="253" t="e">
        <f>+AVERAGE(#REF!)</f>
        <v>#REF!</v>
      </c>
      <c r="BF13" s="254" t="e">
        <f>+AVERAGE(#REF!)</f>
        <v>#REF!</v>
      </c>
      <c r="BG13" s="255" t="e">
        <f>+AVERAGE(#REF!)</f>
        <v>#REF!</v>
      </c>
      <c r="BH13" s="253" t="e">
        <f>+AVERAGE(#REF!)</f>
        <v>#REF!</v>
      </c>
      <c r="BI13" s="253" t="e">
        <f>+AVERAGE(#REF!)</f>
        <v>#REF!</v>
      </c>
      <c r="BJ13" s="254" t="e">
        <f>+AVERAGE(#REF!)</f>
        <v>#REF!</v>
      </c>
      <c r="BK13" s="517" t="s">
        <v>844</v>
      </c>
      <c r="BL13" s="517"/>
      <c r="BM13" s="252">
        <f>AVERAGE(BM11,BM8,BM7)</f>
        <v>0.4956666666666667</v>
      </c>
      <c r="BO13" s="517" t="s">
        <v>845</v>
      </c>
      <c r="BP13" s="517"/>
      <c r="BQ13" s="129">
        <f>AVERAGE(BQ10,BQ9)</f>
        <v>0.45833333333333331</v>
      </c>
      <c r="BS13" s="517" t="s">
        <v>844</v>
      </c>
      <c r="BT13" s="517"/>
      <c r="BU13" s="252">
        <f>AVERAGE(BU11,BU8,BU7)</f>
        <v>0.5800083125519534</v>
      </c>
      <c r="BW13" s="517" t="s">
        <v>845</v>
      </c>
      <c r="BX13" s="517"/>
      <c r="BY13" s="129">
        <f>AVERAGE(BY10,BY9)</f>
        <v>0.45833333333333331</v>
      </c>
      <c r="CA13" s="517" t="s">
        <v>844</v>
      </c>
      <c r="CB13" s="517"/>
      <c r="CC13" s="252">
        <f>AVERAGE(CC11,CC8,CC7)</f>
        <v>0.58040672369803392</v>
      </c>
      <c r="CE13" s="517" t="s">
        <v>845</v>
      </c>
      <c r="CF13" s="517"/>
      <c r="CG13" s="129">
        <f>AVERAGE(CG10,CG9)</f>
        <v>0.7</v>
      </c>
      <c r="CI13" s="517" t="s">
        <v>844</v>
      </c>
      <c r="CJ13" s="517"/>
      <c r="CK13" s="252">
        <f>AVERAGE(CK11,CK8,CK7)</f>
        <v>0.6631794131794132</v>
      </c>
      <c r="CM13" s="517" t="s">
        <v>845</v>
      </c>
      <c r="CN13" s="517"/>
      <c r="CO13" s="129">
        <f>AVERAGE(CO10,CO9)</f>
        <v>0.7</v>
      </c>
      <c r="CQ13" s="517" t="s">
        <v>844</v>
      </c>
      <c r="CR13" s="517"/>
      <c r="CS13" s="252">
        <f>AVERAGE(CS11,CS8,CS7)</f>
        <v>0.89699999999999991</v>
      </c>
      <c r="CU13" s="517" t="s">
        <v>845</v>
      </c>
      <c r="CV13" s="517"/>
      <c r="CW13" s="129">
        <f>AVERAGE(CW10,CW9)</f>
        <v>0.7</v>
      </c>
      <c r="CY13" s="517" t="s">
        <v>844</v>
      </c>
      <c r="CZ13" s="517"/>
      <c r="DA13" s="252">
        <f>AVERAGE(DA11,DA8,DA7)</f>
        <v>0.94662634740393303</v>
      </c>
      <c r="DB13" s="250"/>
      <c r="DC13" s="517" t="s">
        <v>845</v>
      </c>
      <c r="DD13" s="517"/>
      <c r="DE13" s="129">
        <f>AVERAGE(DE10,DE9)</f>
        <v>0.875</v>
      </c>
    </row>
    <row r="14" spans="1:709" ht="23.25" customHeight="1" x14ac:dyDescent="0.25">
      <c r="Y14" s="530" t="s">
        <v>848</v>
      </c>
      <c r="Z14" s="530"/>
      <c r="AA14" s="530"/>
      <c r="AB14" s="530"/>
      <c r="AX14" s="257"/>
      <c r="AY14" s="258"/>
      <c r="AZ14" s="258"/>
      <c r="BA14" s="258"/>
      <c r="BB14" s="258"/>
      <c r="BC14" s="258"/>
      <c r="BD14" s="258"/>
      <c r="BE14" s="258"/>
      <c r="BF14" s="258"/>
      <c r="BG14" s="258"/>
      <c r="BH14" s="258"/>
      <c r="BI14" s="258"/>
      <c r="BJ14" s="258"/>
      <c r="CO14"/>
      <c r="DG14" s="256"/>
      <c r="DH14" s="256"/>
      <c r="DI14" s="256"/>
      <c r="DJ14" s="256"/>
      <c r="DK14" s="256"/>
      <c r="DL14" s="256"/>
      <c r="DM14" s="256"/>
      <c r="DN14" s="256" t="s">
        <v>849</v>
      </c>
      <c r="DO14" s="256" t="s">
        <v>850</v>
      </c>
      <c r="DP14" s="256"/>
      <c r="DQ14" s="256"/>
    </row>
    <row r="15" spans="1:709" s="75" customFormat="1" ht="129" customHeight="1" x14ac:dyDescent="0.25">
      <c r="A15" s="117" t="s">
        <v>47</v>
      </c>
      <c r="B15" s="117" t="s">
        <v>48</v>
      </c>
      <c r="C15" s="117" t="s">
        <v>49</v>
      </c>
      <c r="D15" s="117" t="s">
        <v>50</v>
      </c>
      <c r="E15" s="117" t="s">
        <v>51</v>
      </c>
      <c r="F15" s="117" t="s">
        <v>851</v>
      </c>
      <c r="G15" s="117" t="s">
        <v>53</v>
      </c>
      <c r="H15" s="117" t="s">
        <v>54</v>
      </c>
      <c r="I15" s="137" t="s">
        <v>55</v>
      </c>
      <c r="J15" s="138" t="s">
        <v>852</v>
      </c>
      <c r="K15" s="138" t="s">
        <v>853</v>
      </c>
      <c r="L15" s="138" t="s">
        <v>854</v>
      </c>
      <c r="M15" s="141" t="s">
        <v>855</v>
      </c>
      <c r="N15" s="138" t="s">
        <v>93</v>
      </c>
      <c r="O15" s="138"/>
      <c r="P15" s="71">
        <v>0.65</v>
      </c>
      <c r="Q15" s="477"/>
      <c r="R15" s="478"/>
      <c r="S15" s="478"/>
      <c r="T15" s="478"/>
      <c r="U15" s="479"/>
      <c r="V15" s="259">
        <v>1089864536</v>
      </c>
      <c r="W15" s="259">
        <v>64326892613</v>
      </c>
      <c r="X15" s="138" t="s">
        <v>856</v>
      </c>
      <c r="Y15" s="252">
        <v>0.94</v>
      </c>
      <c r="Z15" s="252">
        <v>0.65</v>
      </c>
      <c r="AA15" s="252">
        <v>1.45</v>
      </c>
      <c r="AB15" s="260" t="s">
        <v>857</v>
      </c>
      <c r="AC15" s="524"/>
      <c r="AD15" s="525"/>
      <c r="AE15" s="525"/>
      <c r="AF15" s="526"/>
      <c r="AG15" s="129">
        <v>0.97</v>
      </c>
      <c r="AH15" s="129">
        <v>0.65</v>
      </c>
      <c r="AI15" s="129">
        <v>1.49</v>
      </c>
      <c r="AJ15" s="261" t="s">
        <v>858</v>
      </c>
      <c r="AK15" s="527"/>
      <c r="AL15" s="528"/>
      <c r="AM15" s="528"/>
      <c r="AN15" s="529"/>
      <c r="AO15" s="129">
        <v>0.95</v>
      </c>
      <c r="AP15" s="72">
        <f t="shared" ref="AP15:AP20" si="1">+P15</f>
        <v>0.65</v>
      </c>
      <c r="AQ15" s="142">
        <f t="shared" ref="AQ15:AQ20" si="2">+AO15/AP15</f>
        <v>1.4615384615384615</v>
      </c>
      <c r="AR15" s="261" t="s">
        <v>859</v>
      </c>
      <c r="AS15" s="482"/>
      <c r="AT15" s="482"/>
      <c r="AU15" s="482"/>
      <c r="AV15" s="482"/>
      <c r="AW15" s="17"/>
      <c r="AX15" s="17"/>
      <c r="AY15" s="17"/>
      <c r="AZ15" s="17"/>
      <c r="BA15" s="17"/>
      <c r="BB15" s="17"/>
      <c r="BC15" s="17"/>
      <c r="BD15" s="17"/>
      <c r="BE15" s="17"/>
      <c r="BF15" s="17"/>
      <c r="BG15" s="17"/>
      <c r="BH15" s="17"/>
      <c r="BI15" s="17"/>
      <c r="BJ15" s="17"/>
      <c r="BK15" s="262">
        <v>0.98299999999999998</v>
      </c>
      <c r="BL15" s="263">
        <v>0.65</v>
      </c>
      <c r="BM15" s="264">
        <f t="shared" ref="BM15:BM20" si="3">BK15/BL15</f>
        <v>1.5123076923076921</v>
      </c>
      <c r="BN15" s="261" t="s">
        <v>860</v>
      </c>
      <c r="BO15" s="482"/>
      <c r="BP15" s="482"/>
      <c r="BQ15" s="482"/>
      <c r="BR15" s="482"/>
      <c r="BS15" s="262">
        <v>0.94740000000000002</v>
      </c>
      <c r="BT15" s="263">
        <v>0.65</v>
      </c>
      <c r="BU15" s="264">
        <f t="shared" ref="BU15:BU20" si="4">BS15/BT15</f>
        <v>1.4575384615384614</v>
      </c>
      <c r="BV15" s="261" t="s">
        <v>861</v>
      </c>
      <c r="BW15" s="482"/>
      <c r="BX15" s="482"/>
      <c r="BY15" s="482"/>
      <c r="BZ15" s="482"/>
      <c r="CA15" s="262">
        <v>0.98109999999999997</v>
      </c>
      <c r="CB15" s="263">
        <v>0.65</v>
      </c>
      <c r="CC15" s="264">
        <f t="shared" ref="CC15:CC20" si="5">CA15/CB15</f>
        <v>1.5093846153846153</v>
      </c>
      <c r="CD15" s="265" t="s">
        <v>862</v>
      </c>
      <c r="CE15" s="482"/>
      <c r="CF15" s="482"/>
      <c r="CG15" s="482"/>
      <c r="CH15" s="482"/>
      <c r="CI15" s="262">
        <v>0.97799999999999998</v>
      </c>
      <c r="CJ15" s="263">
        <v>0.65</v>
      </c>
      <c r="CK15" s="264">
        <v>1.5046153846153845</v>
      </c>
      <c r="CL15" s="265" t="s">
        <v>863</v>
      </c>
      <c r="CM15" s="482"/>
      <c r="CN15" s="482"/>
      <c r="CO15" s="482"/>
      <c r="CP15" s="482"/>
      <c r="CQ15" s="262">
        <v>0.98299999999999998</v>
      </c>
      <c r="CR15" s="263">
        <v>0.9</v>
      </c>
      <c r="CS15" s="264">
        <f t="shared" ref="CS15:CS20" si="6">+CQ15/CR15</f>
        <v>1.0922222222222222</v>
      </c>
      <c r="CT15" s="265" t="s">
        <v>864</v>
      </c>
      <c r="CU15" s="482"/>
      <c r="CV15" s="482"/>
      <c r="CW15" s="482"/>
      <c r="CX15" s="482"/>
      <c r="CY15" s="262">
        <v>0.98209999999999997</v>
      </c>
      <c r="CZ15" s="263">
        <v>0.9</v>
      </c>
      <c r="DA15" s="264">
        <f>CY15/CZ15</f>
        <v>1.0912222222222221</v>
      </c>
      <c r="DB15" s="265" t="s">
        <v>865</v>
      </c>
      <c r="DC15" s="266"/>
      <c r="DD15" s="267"/>
      <c r="DE15" s="94">
        <f>(CY15*8.33)/CZ15</f>
        <v>9.0898811111111097</v>
      </c>
      <c r="DF15" s="94">
        <f t="shared" ref="DF15:DF20" si="7">(CQ15*8.33)/CR15</f>
        <v>9.0982111111111106</v>
      </c>
      <c r="DG15" s="94">
        <f t="shared" ref="DG15:DG20" si="8">(CI15*8.33)/CJ15</f>
        <v>12.533446153846153</v>
      </c>
      <c r="DH15" s="94">
        <f t="shared" ref="DH15:DH20" si="9">(CA15*8.33)/CB15</f>
        <v>12.573173846153846</v>
      </c>
      <c r="DI15" s="94">
        <f t="shared" ref="DI15:DI20" si="10">(BS15*8.33)/BT15</f>
        <v>12.141295384615384</v>
      </c>
      <c r="DJ15" s="94">
        <f t="shared" ref="DJ15:DJ20" si="11">(BK15*8.33)/BL15</f>
        <v>12.597523076923077</v>
      </c>
      <c r="DK15" s="94">
        <f t="shared" ref="DK15:DK20" si="12">(AO15*8.33)/AP15</f>
        <v>12.174615384615384</v>
      </c>
      <c r="DL15" s="94">
        <f t="shared" ref="DL15:DL20" si="13">(AG15*8.33)/AH15</f>
        <v>12.430923076923076</v>
      </c>
      <c r="DM15" s="94">
        <f t="shared" ref="DM15:DM20" si="14">(Y15*8.33)/Z15</f>
        <v>12.046461538461537</v>
      </c>
      <c r="DN15" s="94">
        <f>DJ15+DK15+DL15+DM15+DI15+DH15+DG15+DF15+DE15</f>
        <v>104.68553068376069</v>
      </c>
      <c r="DO15" s="94">
        <f>SUM(DF15:DM15)</f>
        <v>95.595649572649563</v>
      </c>
      <c r="DP15" s="94">
        <f t="shared" ref="DP15:DQ20" si="15">DN15/100</f>
        <v>1.046855306837607</v>
      </c>
      <c r="DQ15" s="94">
        <f t="shared" si="15"/>
        <v>0.95595649572649566</v>
      </c>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c r="IX15" s="17"/>
      <c r="IY15" s="17"/>
      <c r="IZ15" s="17"/>
      <c r="JA15" s="17"/>
      <c r="JB15" s="17"/>
      <c r="JC15" s="17"/>
      <c r="JD15" s="17"/>
      <c r="JE15" s="17"/>
      <c r="JF15" s="17"/>
      <c r="JG15" s="17"/>
      <c r="JH15" s="17"/>
      <c r="JI15" s="17"/>
      <c r="JJ15" s="17"/>
      <c r="JK15" s="17"/>
      <c r="JL15" s="17"/>
      <c r="JM15" s="17"/>
      <c r="JN15" s="17"/>
      <c r="JO15" s="17"/>
      <c r="JP15" s="17"/>
      <c r="JQ15" s="17"/>
      <c r="JR15" s="17"/>
      <c r="JS15" s="17"/>
      <c r="JT15" s="17"/>
      <c r="JU15" s="17"/>
      <c r="JV15" s="17"/>
      <c r="JW15" s="17"/>
      <c r="JX15" s="17"/>
      <c r="JY15" s="17"/>
      <c r="JZ15" s="17"/>
      <c r="KA15" s="17"/>
      <c r="KB15" s="17"/>
      <c r="KC15" s="17"/>
      <c r="KD15" s="17"/>
      <c r="KE15" s="17"/>
      <c r="KF15" s="17"/>
      <c r="KG15" s="17"/>
      <c r="KH15" s="17"/>
      <c r="KI15" s="17"/>
      <c r="KJ15" s="17"/>
      <c r="KK15" s="17"/>
      <c r="KL15" s="17"/>
      <c r="KM15" s="17"/>
      <c r="KN15" s="17"/>
      <c r="KO15" s="17"/>
      <c r="KP15" s="17"/>
      <c r="KQ15" s="17"/>
      <c r="KR15" s="17"/>
      <c r="KS15" s="17"/>
      <c r="KT15" s="17"/>
      <c r="KU15" s="17"/>
      <c r="KV15" s="17"/>
      <c r="KW15" s="17"/>
      <c r="KX15" s="17"/>
      <c r="KY15" s="17"/>
      <c r="KZ15" s="17"/>
      <c r="LA15" s="17"/>
      <c r="LB15" s="17"/>
      <c r="LC15" s="17"/>
      <c r="LD15" s="17"/>
      <c r="LE15" s="17"/>
      <c r="LF15" s="17"/>
      <c r="LG15" s="17"/>
      <c r="LH15" s="17"/>
      <c r="LI15" s="17"/>
      <c r="LJ15" s="17"/>
      <c r="LK15" s="17"/>
      <c r="LL15" s="17"/>
      <c r="LM15" s="17"/>
      <c r="LN15" s="17"/>
      <c r="LO15" s="17"/>
      <c r="LP15" s="17"/>
      <c r="LQ15" s="17"/>
      <c r="LR15" s="17"/>
      <c r="LS15" s="17"/>
      <c r="LT15" s="17"/>
      <c r="LU15" s="17"/>
      <c r="LV15" s="17"/>
      <c r="LW15" s="17"/>
      <c r="LX15" s="17"/>
      <c r="LY15" s="17"/>
      <c r="LZ15" s="17"/>
      <c r="MA15" s="17"/>
      <c r="MB15" s="17"/>
      <c r="MC15" s="17"/>
      <c r="MD15" s="17"/>
      <c r="ME15" s="17"/>
      <c r="MF15" s="17"/>
      <c r="MG15" s="17"/>
      <c r="MH15" s="17"/>
      <c r="MI15" s="17"/>
      <c r="MJ15" s="17"/>
      <c r="MK15" s="17"/>
      <c r="ML15" s="17"/>
      <c r="MM15" s="17"/>
      <c r="MN15" s="17"/>
      <c r="MO15" s="17"/>
      <c r="MP15" s="17"/>
      <c r="MQ15" s="17"/>
      <c r="MR15" s="17"/>
      <c r="MS15" s="17"/>
      <c r="MT15" s="17"/>
      <c r="MU15" s="17"/>
      <c r="MV15" s="17"/>
      <c r="MW15" s="17"/>
      <c r="MX15" s="17"/>
      <c r="MY15" s="17"/>
      <c r="MZ15" s="17"/>
      <c r="NA15" s="17"/>
      <c r="NB15" s="17"/>
      <c r="NC15" s="17"/>
      <c r="ND15" s="17"/>
      <c r="NE15" s="17"/>
      <c r="NF15" s="17"/>
      <c r="NG15" s="17"/>
      <c r="NH15" s="17"/>
      <c r="NI15" s="17"/>
      <c r="NJ15" s="17"/>
      <c r="NK15" s="17"/>
      <c r="NL15" s="17"/>
      <c r="NM15" s="17"/>
      <c r="NN15" s="17"/>
      <c r="NO15" s="17"/>
      <c r="NP15" s="17"/>
      <c r="NQ15" s="17"/>
      <c r="NR15" s="17"/>
      <c r="NS15" s="17"/>
      <c r="NT15" s="17"/>
      <c r="NU15" s="17"/>
      <c r="NV15" s="17"/>
      <c r="NW15" s="17"/>
      <c r="NX15" s="17"/>
      <c r="NY15" s="17"/>
      <c r="NZ15" s="17"/>
      <c r="OA15" s="17"/>
      <c r="OB15" s="17"/>
      <c r="OC15" s="17"/>
      <c r="OD15" s="17"/>
      <c r="OE15" s="17"/>
      <c r="OF15" s="17"/>
      <c r="OG15" s="17"/>
      <c r="OH15" s="17"/>
      <c r="OI15" s="17"/>
      <c r="OJ15" s="17"/>
      <c r="OK15" s="17"/>
      <c r="OL15" s="17"/>
      <c r="OM15" s="17"/>
      <c r="ON15" s="17"/>
      <c r="OO15" s="17"/>
      <c r="OP15" s="17"/>
      <c r="OQ15" s="17"/>
      <c r="OR15" s="17"/>
      <c r="OS15" s="17"/>
      <c r="OT15" s="17"/>
      <c r="OU15" s="17"/>
      <c r="OV15" s="17"/>
      <c r="OW15" s="17"/>
      <c r="OX15" s="17"/>
      <c r="OY15" s="17"/>
      <c r="OZ15" s="17"/>
      <c r="PA15" s="17"/>
      <c r="PB15" s="17"/>
      <c r="PC15" s="17"/>
      <c r="PD15" s="17"/>
      <c r="PE15" s="17"/>
      <c r="PF15" s="17"/>
      <c r="PG15" s="17"/>
      <c r="PH15" s="17"/>
      <c r="PI15" s="17"/>
      <c r="PJ15" s="17"/>
      <c r="PK15" s="17"/>
      <c r="PL15" s="17"/>
      <c r="PM15" s="17"/>
      <c r="PN15" s="17"/>
      <c r="PO15" s="17"/>
      <c r="PP15" s="17"/>
      <c r="PQ15" s="17"/>
      <c r="PR15" s="17"/>
      <c r="PS15" s="17"/>
      <c r="PT15" s="17"/>
      <c r="PU15" s="17"/>
      <c r="PV15" s="17"/>
      <c r="PW15" s="17"/>
      <c r="PX15" s="17"/>
      <c r="PY15" s="17"/>
      <c r="PZ15" s="17"/>
      <c r="QA15" s="17"/>
      <c r="QB15" s="17"/>
      <c r="QC15" s="17"/>
      <c r="QD15" s="17"/>
      <c r="QE15" s="17"/>
      <c r="QF15" s="17"/>
      <c r="QG15" s="17"/>
      <c r="QH15" s="17"/>
      <c r="QI15" s="17"/>
      <c r="QJ15" s="17"/>
      <c r="QK15" s="17"/>
      <c r="QL15" s="17"/>
      <c r="QM15" s="17"/>
      <c r="QN15" s="17"/>
      <c r="QO15" s="17"/>
      <c r="QP15" s="17"/>
      <c r="QQ15" s="17"/>
      <c r="QR15" s="17"/>
      <c r="QS15" s="17"/>
      <c r="QT15" s="17"/>
      <c r="QU15" s="17"/>
      <c r="QV15" s="17"/>
      <c r="QW15" s="17"/>
      <c r="QX15" s="17"/>
      <c r="QY15" s="17"/>
      <c r="QZ15" s="17"/>
      <c r="RA15" s="17"/>
      <c r="RB15" s="17"/>
      <c r="RC15" s="17"/>
      <c r="RD15" s="17"/>
      <c r="RE15" s="17"/>
      <c r="RF15" s="17"/>
      <c r="RG15" s="17"/>
      <c r="RH15" s="17"/>
      <c r="RI15" s="17"/>
      <c r="RJ15" s="17"/>
      <c r="RK15" s="17"/>
      <c r="RL15" s="17"/>
      <c r="RM15" s="17"/>
      <c r="RN15" s="17"/>
      <c r="RO15" s="17"/>
      <c r="RP15" s="17"/>
      <c r="RQ15" s="17"/>
      <c r="RR15" s="17"/>
      <c r="RS15" s="17"/>
      <c r="RT15" s="17"/>
      <c r="RU15" s="17"/>
      <c r="RV15" s="17"/>
      <c r="RW15" s="17"/>
      <c r="RX15" s="17"/>
      <c r="RY15" s="17"/>
      <c r="RZ15" s="17"/>
      <c r="SA15" s="17"/>
      <c r="SB15" s="17"/>
      <c r="SC15" s="17"/>
      <c r="SD15" s="17"/>
      <c r="SE15" s="17"/>
      <c r="SF15" s="17"/>
      <c r="SG15" s="17"/>
      <c r="SH15" s="17"/>
      <c r="SI15" s="17"/>
      <c r="SJ15" s="17"/>
      <c r="SK15" s="17"/>
      <c r="SL15" s="17"/>
      <c r="SM15" s="17"/>
      <c r="SN15" s="17"/>
      <c r="SO15" s="17"/>
      <c r="SP15" s="17"/>
      <c r="SQ15" s="17"/>
      <c r="SR15" s="17"/>
      <c r="SS15" s="17"/>
      <c r="ST15" s="17"/>
      <c r="SU15" s="17"/>
      <c r="SV15" s="17"/>
      <c r="SW15" s="17"/>
      <c r="SX15" s="17"/>
      <c r="SY15" s="17"/>
      <c r="SZ15" s="17"/>
      <c r="TA15" s="17"/>
      <c r="TB15" s="17"/>
      <c r="TC15" s="17"/>
      <c r="TD15" s="17"/>
      <c r="TE15" s="17"/>
      <c r="TF15" s="17"/>
      <c r="TG15" s="17"/>
      <c r="TH15" s="17"/>
      <c r="TI15" s="17"/>
      <c r="TJ15" s="17"/>
      <c r="TK15" s="17"/>
      <c r="TL15" s="17"/>
      <c r="TM15" s="17"/>
      <c r="TN15" s="17"/>
      <c r="TO15" s="17"/>
      <c r="TP15" s="17"/>
      <c r="TQ15" s="17"/>
      <c r="TR15" s="17"/>
      <c r="TS15" s="17"/>
      <c r="TT15" s="17"/>
      <c r="TU15" s="17"/>
      <c r="TV15" s="17"/>
      <c r="TW15" s="17"/>
      <c r="TX15" s="17"/>
      <c r="TY15" s="17"/>
      <c r="TZ15" s="17"/>
      <c r="UA15" s="17"/>
      <c r="UB15" s="17"/>
      <c r="UC15" s="17"/>
      <c r="UD15" s="17"/>
      <c r="UE15" s="17"/>
      <c r="UF15" s="17"/>
      <c r="UG15" s="17"/>
      <c r="UH15" s="17"/>
      <c r="UI15" s="17"/>
      <c r="UJ15" s="17"/>
      <c r="UK15" s="17"/>
      <c r="UL15" s="17"/>
      <c r="UM15" s="17"/>
      <c r="UN15" s="17"/>
      <c r="UO15" s="17"/>
      <c r="UP15" s="17"/>
      <c r="UQ15" s="17"/>
      <c r="UR15" s="17"/>
      <c r="US15" s="17"/>
      <c r="UT15" s="17"/>
      <c r="UU15" s="17"/>
      <c r="UV15" s="17"/>
      <c r="UW15" s="17"/>
      <c r="UX15" s="17"/>
      <c r="UY15" s="17"/>
      <c r="UZ15" s="17"/>
      <c r="VA15" s="17"/>
      <c r="VB15" s="17"/>
      <c r="VC15" s="17"/>
      <c r="VD15" s="17"/>
      <c r="VE15" s="17"/>
      <c r="VF15" s="17"/>
      <c r="VG15" s="17"/>
      <c r="VH15" s="17"/>
      <c r="VI15" s="17"/>
      <c r="VJ15" s="17"/>
      <c r="VK15" s="17"/>
      <c r="VL15" s="17"/>
      <c r="VM15" s="17"/>
      <c r="VN15" s="17"/>
      <c r="VO15" s="17"/>
      <c r="VP15" s="17"/>
      <c r="VQ15" s="17"/>
      <c r="VR15" s="17"/>
      <c r="VS15" s="17"/>
      <c r="VT15" s="17"/>
      <c r="VU15" s="17"/>
      <c r="VV15" s="17"/>
      <c r="VW15" s="17"/>
      <c r="VX15" s="17"/>
      <c r="VY15" s="17"/>
      <c r="VZ15" s="17"/>
      <c r="WA15" s="17"/>
      <c r="WB15" s="17"/>
      <c r="WC15" s="17"/>
      <c r="WD15" s="17"/>
      <c r="WE15" s="17"/>
      <c r="WF15" s="17"/>
      <c r="WG15" s="17"/>
      <c r="WH15" s="17"/>
      <c r="WI15" s="17"/>
      <c r="WJ15" s="17"/>
      <c r="WK15" s="17"/>
      <c r="WL15" s="17"/>
      <c r="WM15" s="17"/>
      <c r="WN15" s="17"/>
      <c r="WO15" s="17"/>
      <c r="WP15" s="17"/>
      <c r="WQ15" s="17"/>
      <c r="WR15" s="17"/>
      <c r="WS15" s="17"/>
      <c r="WT15" s="17"/>
      <c r="WU15" s="17"/>
      <c r="WV15" s="17"/>
      <c r="WW15" s="17"/>
      <c r="WX15" s="17"/>
      <c r="WY15" s="17"/>
      <c r="WZ15" s="17"/>
      <c r="XA15" s="17"/>
      <c r="XB15" s="17"/>
      <c r="XC15" s="17"/>
      <c r="XD15" s="17"/>
      <c r="XE15" s="17"/>
      <c r="XF15" s="17"/>
      <c r="XG15" s="17"/>
      <c r="XH15" s="17"/>
      <c r="XI15" s="17"/>
      <c r="XJ15" s="17"/>
      <c r="XK15" s="17"/>
      <c r="XL15" s="17"/>
      <c r="XM15" s="17"/>
      <c r="XN15" s="17"/>
      <c r="XO15" s="17"/>
      <c r="XP15" s="17"/>
      <c r="XQ15" s="17"/>
      <c r="XR15" s="17"/>
      <c r="XS15" s="17"/>
      <c r="XT15" s="17"/>
      <c r="XU15" s="17"/>
      <c r="XV15" s="17"/>
      <c r="XW15" s="17"/>
      <c r="XX15" s="17"/>
      <c r="XY15" s="17"/>
      <c r="XZ15" s="17"/>
      <c r="YA15" s="17"/>
      <c r="YB15" s="17"/>
      <c r="YC15" s="17"/>
      <c r="YD15" s="17"/>
      <c r="YE15" s="17"/>
      <c r="YF15" s="17"/>
      <c r="YG15" s="17"/>
      <c r="YH15" s="17"/>
      <c r="YI15" s="17"/>
      <c r="YJ15" s="17"/>
      <c r="YK15" s="17"/>
      <c r="YL15" s="17"/>
      <c r="YM15" s="17"/>
      <c r="YN15" s="17"/>
      <c r="YO15" s="17"/>
      <c r="YP15" s="17"/>
      <c r="YQ15" s="17"/>
      <c r="YR15" s="17"/>
      <c r="YS15" s="17"/>
      <c r="YT15" s="17"/>
      <c r="YU15" s="17"/>
      <c r="YV15" s="17"/>
      <c r="YW15" s="17"/>
      <c r="YX15" s="17"/>
      <c r="YY15" s="17"/>
      <c r="YZ15" s="17"/>
      <c r="ZA15" s="17"/>
      <c r="ZB15" s="17"/>
      <c r="ZC15" s="17"/>
      <c r="ZD15" s="17"/>
      <c r="ZE15" s="17"/>
      <c r="ZF15" s="17"/>
      <c r="ZG15" s="17"/>
      <c r="ZH15" s="17"/>
      <c r="ZI15" s="17"/>
      <c r="ZJ15" s="17"/>
      <c r="ZK15" s="17"/>
      <c r="ZL15" s="17"/>
      <c r="ZM15" s="17"/>
      <c r="ZN15" s="17"/>
      <c r="ZO15" s="17"/>
      <c r="ZP15" s="17"/>
      <c r="ZQ15" s="17"/>
      <c r="ZR15" s="17"/>
      <c r="ZS15" s="17"/>
      <c r="ZT15" s="17"/>
      <c r="ZU15" s="17"/>
      <c r="ZV15" s="17"/>
      <c r="ZW15" s="17"/>
      <c r="ZX15" s="17"/>
      <c r="ZY15" s="17"/>
      <c r="ZZ15" s="17"/>
      <c r="AAA15" s="17"/>
      <c r="AAB15" s="17"/>
      <c r="AAC15" s="17"/>
      <c r="AAD15" s="17"/>
      <c r="AAE15" s="17"/>
      <c r="AAF15" s="17"/>
      <c r="AAG15" s="17"/>
    </row>
    <row r="16" spans="1:709" s="75" customFormat="1" ht="147.75" customHeight="1" x14ac:dyDescent="0.25">
      <c r="A16" s="78" t="s">
        <v>47</v>
      </c>
      <c r="B16" s="78" t="s">
        <v>48</v>
      </c>
      <c r="C16" s="78" t="s">
        <v>49</v>
      </c>
      <c r="D16" s="78" t="s">
        <v>50</v>
      </c>
      <c r="E16" s="78" t="s">
        <v>90</v>
      </c>
      <c r="F16" s="78" t="s">
        <v>52</v>
      </c>
      <c r="G16" s="78" t="s">
        <v>53</v>
      </c>
      <c r="H16" s="78" t="s">
        <v>54</v>
      </c>
      <c r="I16" s="78" t="s">
        <v>55</v>
      </c>
      <c r="J16" s="135" t="s">
        <v>852</v>
      </c>
      <c r="K16" s="135" t="s">
        <v>853</v>
      </c>
      <c r="L16" s="135" t="s">
        <v>866</v>
      </c>
      <c r="M16" s="139" t="s">
        <v>867</v>
      </c>
      <c r="N16" s="135" t="s">
        <v>93</v>
      </c>
      <c r="O16" s="135"/>
      <c r="P16" s="136">
        <v>0.65</v>
      </c>
      <c r="Q16" s="477"/>
      <c r="R16" s="478"/>
      <c r="S16" s="478"/>
      <c r="T16" s="478"/>
      <c r="U16" s="479"/>
      <c r="V16" s="268">
        <v>420290007</v>
      </c>
      <c r="W16" s="268">
        <v>64326892613</v>
      </c>
      <c r="X16" s="135" t="s">
        <v>856</v>
      </c>
      <c r="Y16" s="269">
        <v>0.63</v>
      </c>
      <c r="Z16" s="269">
        <v>0.65</v>
      </c>
      <c r="AA16" s="269">
        <v>0.97</v>
      </c>
      <c r="AB16" s="270" t="s">
        <v>868</v>
      </c>
      <c r="AC16" s="518"/>
      <c r="AD16" s="519"/>
      <c r="AE16" s="519"/>
      <c r="AF16" s="520"/>
      <c r="AG16" s="271">
        <v>0.66</v>
      </c>
      <c r="AH16" s="271">
        <v>0.65</v>
      </c>
      <c r="AI16" s="271">
        <v>1.02</v>
      </c>
      <c r="AJ16" s="272" t="s">
        <v>869</v>
      </c>
      <c r="AK16" s="521"/>
      <c r="AL16" s="522"/>
      <c r="AM16" s="522"/>
      <c r="AN16" s="523"/>
      <c r="AO16" s="271">
        <v>0.73</v>
      </c>
      <c r="AP16" s="92">
        <f t="shared" si="1"/>
        <v>0.65</v>
      </c>
      <c r="AQ16" s="140">
        <f t="shared" si="2"/>
        <v>1.1230769230769231</v>
      </c>
      <c r="AR16" s="272" t="s">
        <v>870</v>
      </c>
      <c r="AS16" s="387"/>
      <c r="AT16" s="387"/>
      <c r="AU16" s="387"/>
      <c r="AV16" s="387"/>
      <c r="AW16" s="17"/>
      <c r="AX16" s="17"/>
      <c r="AY16" s="17"/>
      <c r="AZ16" s="17"/>
      <c r="BA16" s="17"/>
      <c r="BB16" s="17"/>
      <c r="BC16" s="17"/>
      <c r="BD16" s="17"/>
      <c r="BE16" s="17"/>
      <c r="BF16" s="17"/>
      <c r="BG16" s="17"/>
      <c r="BH16" s="17"/>
      <c r="BI16" s="17"/>
      <c r="BJ16" s="17"/>
      <c r="BK16" s="273">
        <v>0.58699999999999997</v>
      </c>
      <c r="BL16" s="274">
        <v>0.65</v>
      </c>
      <c r="BM16" s="275">
        <f t="shared" si="3"/>
        <v>0.903076923076923</v>
      </c>
      <c r="BN16" s="272" t="s">
        <v>871</v>
      </c>
      <c r="BO16" s="387"/>
      <c r="BP16" s="387"/>
      <c r="BQ16" s="387"/>
      <c r="BR16" s="387"/>
      <c r="BS16" s="273">
        <v>0.60499999999999998</v>
      </c>
      <c r="BT16" s="274">
        <v>0.65</v>
      </c>
      <c r="BU16" s="275">
        <f t="shared" si="4"/>
        <v>0.93076923076923068</v>
      </c>
      <c r="BV16" s="272" t="s">
        <v>872</v>
      </c>
      <c r="BW16" s="387"/>
      <c r="BX16" s="387"/>
      <c r="BY16" s="387"/>
      <c r="BZ16" s="387"/>
      <c r="CA16" s="273">
        <v>0.54900000000000004</v>
      </c>
      <c r="CB16" s="274">
        <v>0.65</v>
      </c>
      <c r="CC16" s="275">
        <f t="shared" si="5"/>
        <v>0.84461538461538466</v>
      </c>
      <c r="CD16" s="276" t="s">
        <v>873</v>
      </c>
      <c r="CE16" s="387"/>
      <c r="CF16" s="387"/>
      <c r="CG16" s="387"/>
      <c r="CH16" s="387"/>
      <c r="CI16" s="273">
        <v>0.52800000000000002</v>
      </c>
      <c r="CJ16" s="274">
        <v>0.65</v>
      </c>
      <c r="CK16" s="275">
        <v>0.81230769230769229</v>
      </c>
      <c r="CL16" s="276" t="s">
        <v>874</v>
      </c>
      <c r="CM16" s="387"/>
      <c r="CN16" s="387"/>
      <c r="CO16" s="387"/>
      <c r="CP16" s="387"/>
      <c r="CQ16" s="273">
        <v>0.40100000000000002</v>
      </c>
      <c r="CR16" s="274">
        <v>0.65</v>
      </c>
      <c r="CS16" s="275">
        <f t="shared" si="6"/>
        <v>0.61692307692307691</v>
      </c>
      <c r="CT16" s="276" t="s">
        <v>875</v>
      </c>
      <c r="CU16" s="387"/>
      <c r="CV16" s="387"/>
      <c r="CW16" s="387"/>
      <c r="CX16" s="387"/>
      <c r="CY16" s="273">
        <v>0.63980000000000004</v>
      </c>
      <c r="CZ16" s="274">
        <v>0.65</v>
      </c>
      <c r="DA16" s="275">
        <f t="shared" ref="DA16:DA20" si="16">CY16/CZ16</f>
        <v>0.98430769230769233</v>
      </c>
      <c r="DB16" s="276" t="s">
        <v>876</v>
      </c>
      <c r="DC16" s="266"/>
      <c r="DD16" s="267"/>
      <c r="DE16" s="94">
        <f t="shared" ref="DE16:DE19" si="17">(CY16*8.33)/CZ16</f>
        <v>8.1992830769230771</v>
      </c>
      <c r="DF16" s="94">
        <f t="shared" si="7"/>
        <v>5.1389692307692307</v>
      </c>
      <c r="DG16" s="94">
        <f t="shared" si="8"/>
        <v>6.7665230769230771</v>
      </c>
      <c r="DH16" s="94">
        <f t="shared" si="9"/>
        <v>7.0356461538461534</v>
      </c>
      <c r="DI16" s="94">
        <f t="shared" si="10"/>
        <v>7.7533076923076916</v>
      </c>
      <c r="DJ16" s="94">
        <f t="shared" si="11"/>
        <v>7.5226307692307692</v>
      </c>
      <c r="DK16" s="94">
        <f t="shared" si="12"/>
        <v>9.3552307692307686</v>
      </c>
      <c r="DL16" s="94">
        <f t="shared" si="13"/>
        <v>8.4581538461538468</v>
      </c>
      <c r="DM16" s="94">
        <f t="shared" si="14"/>
        <v>8.0736923076923084</v>
      </c>
      <c r="DN16" s="94">
        <f t="shared" ref="DN16:DN20" si="18">DJ16+DK16+DL16+DM16+DI16+DH16+DG16+DF16+DE16</f>
        <v>68.30343692307693</v>
      </c>
      <c r="DO16" s="94">
        <f t="shared" ref="DO16:DO20" si="19">SUM(DF16:DM16)</f>
        <v>60.104153846153849</v>
      </c>
      <c r="DP16" s="94">
        <f t="shared" si="15"/>
        <v>0.68303436923076932</v>
      </c>
      <c r="DQ16" s="94">
        <f t="shared" si="15"/>
        <v>0.60104153846153852</v>
      </c>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c r="IV16" s="17"/>
      <c r="IW16" s="17"/>
      <c r="IX16" s="17"/>
      <c r="IY16" s="17"/>
      <c r="IZ16" s="17"/>
      <c r="JA16" s="17"/>
      <c r="JB16" s="17"/>
      <c r="JC16" s="17"/>
      <c r="JD16" s="17"/>
      <c r="JE16" s="17"/>
      <c r="JF16" s="17"/>
      <c r="JG16" s="17"/>
      <c r="JH16" s="17"/>
      <c r="JI16" s="17"/>
      <c r="JJ16" s="17"/>
      <c r="JK16" s="17"/>
      <c r="JL16" s="17"/>
      <c r="JM16" s="17"/>
      <c r="JN16" s="17"/>
      <c r="JO16" s="17"/>
      <c r="JP16" s="17"/>
      <c r="JQ16" s="17"/>
      <c r="JR16" s="17"/>
      <c r="JS16" s="17"/>
      <c r="JT16" s="17"/>
      <c r="JU16" s="17"/>
      <c r="JV16" s="17"/>
      <c r="JW16" s="17"/>
      <c r="JX16" s="17"/>
      <c r="JY16" s="17"/>
      <c r="JZ16" s="17"/>
      <c r="KA16" s="17"/>
      <c r="KB16" s="17"/>
      <c r="KC16" s="17"/>
      <c r="KD16" s="17"/>
      <c r="KE16" s="17"/>
      <c r="KF16" s="17"/>
      <c r="KG16" s="17"/>
      <c r="KH16" s="17"/>
      <c r="KI16" s="17"/>
      <c r="KJ16" s="17"/>
      <c r="KK16" s="17"/>
      <c r="KL16" s="17"/>
      <c r="KM16" s="17"/>
      <c r="KN16" s="17"/>
      <c r="KO16" s="17"/>
      <c r="KP16" s="17"/>
      <c r="KQ16" s="17"/>
      <c r="KR16" s="17"/>
      <c r="KS16" s="17"/>
      <c r="KT16" s="17"/>
      <c r="KU16" s="17"/>
      <c r="KV16" s="17"/>
      <c r="KW16" s="17"/>
      <c r="KX16" s="17"/>
      <c r="KY16" s="17"/>
      <c r="KZ16" s="17"/>
      <c r="LA16" s="17"/>
      <c r="LB16" s="17"/>
      <c r="LC16" s="17"/>
      <c r="LD16" s="17"/>
      <c r="LE16" s="17"/>
      <c r="LF16" s="17"/>
      <c r="LG16" s="17"/>
      <c r="LH16" s="17"/>
      <c r="LI16" s="17"/>
      <c r="LJ16" s="17"/>
      <c r="LK16" s="17"/>
      <c r="LL16" s="17"/>
      <c r="LM16" s="17"/>
      <c r="LN16" s="17"/>
      <c r="LO16" s="17"/>
      <c r="LP16" s="17"/>
      <c r="LQ16" s="17"/>
      <c r="LR16" s="17"/>
      <c r="LS16" s="17"/>
      <c r="LT16" s="17"/>
      <c r="LU16" s="17"/>
      <c r="LV16" s="17"/>
      <c r="LW16" s="17"/>
      <c r="LX16" s="17"/>
      <c r="LY16" s="17"/>
      <c r="LZ16" s="17"/>
      <c r="MA16" s="17"/>
      <c r="MB16" s="17"/>
      <c r="MC16" s="17"/>
      <c r="MD16" s="17"/>
      <c r="ME16" s="17"/>
      <c r="MF16" s="17"/>
      <c r="MG16" s="17"/>
      <c r="MH16" s="17"/>
      <c r="MI16" s="17"/>
      <c r="MJ16" s="17"/>
      <c r="MK16" s="17"/>
      <c r="ML16" s="17"/>
      <c r="MM16" s="17"/>
      <c r="MN16" s="17"/>
      <c r="MO16" s="17"/>
      <c r="MP16" s="17"/>
      <c r="MQ16" s="17"/>
      <c r="MR16" s="17"/>
      <c r="MS16" s="17"/>
      <c r="MT16" s="17"/>
      <c r="MU16" s="17"/>
      <c r="MV16" s="17"/>
      <c r="MW16" s="17"/>
      <c r="MX16" s="17"/>
      <c r="MY16" s="17"/>
      <c r="MZ16" s="17"/>
      <c r="NA16" s="17"/>
      <c r="NB16" s="17"/>
      <c r="NC16" s="17"/>
      <c r="ND16" s="17"/>
      <c r="NE16" s="17"/>
      <c r="NF16" s="17"/>
      <c r="NG16" s="17"/>
      <c r="NH16" s="17"/>
      <c r="NI16" s="17"/>
      <c r="NJ16" s="17"/>
      <c r="NK16" s="17"/>
      <c r="NL16" s="17"/>
      <c r="NM16" s="17"/>
      <c r="NN16" s="17"/>
      <c r="NO16" s="17"/>
      <c r="NP16" s="17"/>
      <c r="NQ16" s="17"/>
      <c r="NR16" s="17"/>
      <c r="NS16" s="17"/>
      <c r="NT16" s="17"/>
      <c r="NU16" s="17"/>
      <c r="NV16" s="17"/>
      <c r="NW16" s="17"/>
      <c r="NX16" s="17"/>
      <c r="NY16" s="17"/>
      <c r="NZ16" s="17"/>
      <c r="OA16" s="17"/>
      <c r="OB16" s="17"/>
      <c r="OC16" s="17"/>
      <c r="OD16" s="17"/>
      <c r="OE16" s="17"/>
      <c r="OF16" s="17"/>
      <c r="OG16" s="17"/>
      <c r="OH16" s="17"/>
      <c r="OI16" s="17"/>
      <c r="OJ16" s="17"/>
      <c r="OK16" s="17"/>
      <c r="OL16" s="17"/>
      <c r="OM16" s="17"/>
      <c r="ON16" s="17"/>
      <c r="OO16" s="17"/>
      <c r="OP16" s="17"/>
      <c r="OQ16" s="17"/>
      <c r="OR16" s="17"/>
      <c r="OS16" s="17"/>
      <c r="OT16" s="17"/>
      <c r="OU16" s="17"/>
      <c r="OV16" s="17"/>
      <c r="OW16" s="17"/>
      <c r="OX16" s="17"/>
      <c r="OY16" s="17"/>
      <c r="OZ16" s="17"/>
      <c r="PA16" s="17"/>
      <c r="PB16" s="17"/>
      <c r="PC16" s="17"/>
      <c r="PD16" s="17"/>
      <c r="PE16" s="17"/>
      <c r="PF16" s="17"/>
      <c r="PG16" s="17"/>
      <c r="PH16" s="17"/>
      <c r="PI16" s="17"/>
      <c r="PJ16" s="17"/>
      <c r="PK16" s="17"/>
      <c r="PL16" s="17"/>
      <c r="PM16" s="17"/>
      <c r="PN16" s="17"/>
      <c r="PO16" s="17"/>
      <c r="PP16" s="17"/>
      <c r="PQ16" s="17"/>
      <c r="PR16" s="17"/>
      <c r="PS16" s="17"/>
      <c r="PT16" s="17"/>
      <c r="PU16" s="17"/>
      <c r="PV16" s="17"/>
      <c r="PW16" s="17"/>
      <c r="PX16" s="17"/>
      <c r="PY16" s="17"/>
      <c r="PZ16" s="17"/>
      <c r="QA16" s="17"/>
      <c r="QB16" s="17"/>
      <c r="QC16" s="17"/>
      <c r="QD16" s="17"/>
      <c r="QE16" s="17"/>
      <c r="QF16" s="17"/>
      <c r="QG16" s="17"/>
      <c r="QH16" s="17"/>
      <c r="QI16" s="17"/>
      <c r="QJ16" s="17"/>
      <c r="QK16" s="17"/>
      <c r="QL16" s="17"/>
      <c r="QM16" s="17"/>
      <c r="QN16" s="17"/>
      <c r="QO16" s="17"/>
      <c r="QP16" s="17"/>
      <c r="QQ16" s="17"/>
      <c r="QR16" s="17"/>
      <c r="QS16" s="17"/>
      <c r="QT16" s="17"/>
      <c r="QU16" s="17"/>
      <c r="QV16" s="17"/>
      <c r="QW16" s="17"/>
      <c r="QX16" s="17"/>
      <c r="QY16" s="17"/>
      <c r="QZ16" s="17"/>
      <c r="RA16" s="17"/>
      <c r="RB16" s="17"/>
      <c r="RC16" s="17"/>
      <c r="RD16" s="17"/>
      <c r="RE16" s="17"/>
      <c r="RF16" s="17"/>
      <c r="RG16" s="17"/>
      <c r="RH16" s="17"/>
      <c r="RI16" s="17"/>
      <c r="RJ16" s="17"/>
      <c r="RK16" s="17"/>
      <c r="RL16" s="17"/>
      <c r="RM16" s="17"/>
      <c r="RN16" s="17"/>
      <c r="RO16" s="17"/>
      <c r="RP16" s="17"/>
      <c r="RQ16" s="17"/>
      <c r="RR16" s="17"/>
      <c r="RS16" s="17"/>
      <c r="RT16" s="17"/>
      <c r="RU16" s="17"/>
      <c r="RV16" s="17"/>
      <c r="RW16" s="17"/>
      <c r="RX16" s="17"/>
      <c r="RY16" s="17"/>
      <c r="RZ16" s="17"/>
      <c r="SA16" s="17"/>
      <c r="SB16" s="17"/>
      <c r="SC16" s="17"/>
      <c r="SD16" s="17"/>
      <c r="SE16" s="17"/>
      <c r="SF16" s="17"/>
      <c r="SG16" s="17"/>
      <c r="SH16" s="17"/>
      <c r="SI16" s="17"/>
      <c r="SJ16" s="17"/>
      <c r="SK16" s="17"/>
      <c r="SL16" s="17"/>
      <c r="SM16" s="17"/>
      <c r="SN16" s="17"/>
      <c r="SO16" s="17"/>
      <c r="SP16" s="17"/>
      <c r="SQ16" s="17"/>
      <c r="SR16" s="17"/>
      <c r="SS16" s="17"/>
      <c r="ST16" s="17"/>
      <c r="SU16" s="17"/>
      <c r="SV16" s="17"/>
      <c r="SW16" s="17"/>
      <c r="SX16" s="17"/>
      <c r="SY16" s="17"/>
      <c r="SZ16" s="17"/>
      <c r="TA16" s="17"/>
      <c r="TB16" s="17"/>
      <c r="TC16" s="17"/>
      <c r="TD16" s="17"/>
      <c r="TE16" s="17"/>
      <c r="TF16" s="17"/>
      <c r="TG16" s="17"/>
      <c r="TH16" s="17"/>
      <c r="TI16" s="17"/>
      <c r="TJ16" s="17"/>
      <c r="TK16" s="17"/>
      <c r="TL16" s="17"/>
      <c r="TM16" s="17"/>
      <c r="TN16" s="17"/>
      <c r="TO16" s="17"/>
      <c r="TP16" s="17"/>
      <c r="TQ16" s="17"/>
      <c r="TR16" s="17"/>
      <c r="TS16" s="17"/>
      <c r="TT16" s="17"/>
      <c r="TU16" s="17"/>
      <c r="TV16" s="17"/>
      <c r="TW16" s="17"/>
      <c r="TX16" s="17"/>
      <c r="TY16" s="17"/>
      <c r="TZ16" s="17"/>
      <c r="UA16" s="17"/>
      <c r="UB16" s="17"/>
      <c r="UC16" s="17"/>
      <c r="UD16" s="17"/>
      <c r="UE16" s="17"/>
      <c r="UF16" s="17"/>
      <c r="UG16" s="17"/>
      <c r="UH16" s="17"/>
      <c r="UI16" s="17"/>
      <c r="UJ16" s="17"/>
      <c r="UK16" s="17"/>
      <c r="UL16" s="17"/>
      <c r="UM16" s="17"/>
      <c r="UN16" s="17"/>
      <c r="UO16" s="17"/>
      <c r="UP16" s="17"/>
      <c r="UQ16" s="17"/>
      <c r="UR16" s="17"/>
      <c r="US16" s="17"/>
      <c r="UT16" s="17"/>
      <c r="UU16" s="17"/>
      <c r="UV16" s="17"/>
      <c r="UW16" s="17"/>
      <c r="UX16" s="17"/>
      <c r="UY16" s="17"/>
      <c r="UZ16" s="17"/>
      <c r="VA16" s="17"/>
      <c r="VB16" s="17"/>
      <c r="VC16" s="17"/>
      <c r="VD16" s="17"/>
      <c r="VE16" s="17"/>
      <c r="VF16" s="17"/>
      <c r="VG16" s="17"/>
      <c r="VH16" s="17"/>
      <c r="VI16" s="17"/>
      <c r="VJ16" s="17"/>
      <c r="VK16" s="17"/>
      <c r="VL16" s="17"/>
      <c r="VM16" s="17"/>
      <c r="VN16" s="17"/>
      <c r="VO16" s="17"/>
      <c r="VP16" s="17"/>
      <c r="VQ16" s="17"/>
      <c r="VR16" s="17"/>
      <c r="VS16" s="17"/>
      <c r="VT16" s="17"/>
      <c r="VU16" s="17"/>
      <c r="VV16" s="17"/>
      <c r="VW16" s="17"/>
      <c r="VX16" s="17"/>
      <c r="VY16" s="17"/>
      <c r="VZ16" s="17"/>
      <c r="WA16" s="17"/>
      <c r="WB16" s="17"/>
      <c r="WC16" s="17"/>
      <c r="WD16" s="17"/>
      <c r="WE16" s="17"/>
      <c r="WF16" s="17"/>
      <c r="WG16" s="17"/>
      <c r="WH16" s="17"/>
      <c r="WI16" s="17"/>
      <c r="WJ16" s="17"/>
      <c r="WK16" s="17"/>
      <c r="WL16" s="17"/>
      <c r="WM16" s="17"/>
      <c r="WN16" s="17"/>
      <c r="WO16" s="17"/>
      <c r="WP16" s="17"/>
      <c r="WQ16" s="17"/>
      <c r="WR16" s="17"/>
      <c r="WS16" s="17"/>
      <c r="WT16" s="17"/>
      <c r="WU16" s="17"/>
      <c r="WV16" s="17"/>
      <c r="WW16" s="17"/>
      <c r="WX16" s="17"/>
      <c r="WY16" s="17"/>
      <c r="WZ16" s="17"/>
      <c r="XA16" s="17"/>
      <c r="XB16" s="17"/>
      <c r="XC16" s="17"/>
      <c r="XD16" s="17"/>
      <c r="XE16" s="17"/>
      <c r="XF16" s="17"/>
      <c r="XG16" s="17"/>
      <c r="XH16" s="17"/>
      <c r="XI16" s="17"/>
      <c r="XJ16" s="17"/>
      <c r="XK16" s="17"/>
      <c r="XL16" s="17"/>
      <c r="XM16" s="17"/>
      <c r="XN16" s="17"/>
      <c r="XO16" s="17"/>
      <c r="XP16" s="17"/>
      <c r="XQ16" s="17"/>
      <c r="XR16" s="17"/>
      <c r="XS16" s="17"/>
      <c r="XT16" s="17"/>
      <c r="XU16" s="17"/>
      <c r="XV16" s="17"/>
      <c r="XW16" s="17"/>
      <c r="XX16" s="17"/>
      <c r="XY16" s="17"/>
      <c r="XZ16" s="17"/>
      <c r="YA16" s="17"/>
      <c r="YB16" s="17"/>
      <c r="YC16" s="17"/>
      <c r="YD16" s="17"/>
      <c r="YE16" s="17"/>
      <c r="YF16" s="17"/>
      <c r="YG16" s="17"/>
      <c r="YH16" s="17"/>
      <c r="YI16" s="17"/>
      <c r="YJ16" s="17"/>
      <c r="YK16" s="17"/>
      <c r="YL16" s="17"/>
      <c r="YM16" s="17"/>
      <c r="YN16" s="17"/>
      <c r="YO16" s="17"/>
      <c r="YP16" s="17"/>
      <c r="YQ16" s="17"/>
      <c r="YR16" s="17"/>
      <c r="YS16" s="17"/>
      <c r="YT16" s="17"/>
      <c r="YU16" s="17"/>
      <c r="YV16" s="17"/>
      <c r="YW16" s="17"/>
      <c r="YX16" s="17"/>
      <c r="YY16" s="17"/>
      <c r="YZ16" s="17"/>
      <c r="ZA16" s="17"/>
      <c r="ZB16" s="17"/>
      <c r="ZC16" s="17"/>
      <c r="ZD16" s="17"/>
      <c r="ZE16" s="17"/>
      <c r="ZF16" s="17"/>
      <c r="ZG16" s="17"/>
      <c r="ZH16" s="17"/>
      <c r="ZI16" s="17"/>
      <c r="ZJ16" s="17"/>
      <c r="ZK16" s="17"/>
      <c r="ZL16" s="17"/>
      <c r="ZM16" s="17"/>
      <c r="ZN16" s="17"/>
      <c r="ZO16" s="17"/>
      <c r="ZP16" s="17"/>
      <c r="ZQ16" s="17"/>
      <c r="ZR16" s="17"/>
      <c r="ZS16" s="17"/>
      <c r="ZT16" s="17"/>
      <c r="ZU16" s="17"/>
      <c r="ZV16" s="17"/>
      <c r="ZW16" s="17"/>
      <c r="ZX16" s="17"/>
      <c r="ZY16" s="17"/>
      <c r="ZZ16" s="17"/>
      <c r="AAA16" s="17"/>
      <c r="AAB16" s="17"/>
      <c r="AAC16" s="17"/>
      <c r="AAD16" s="17"/>
      <c r="AAE16" s="17"/>
      <c r="AAF16" s="17"/>
      <c r="AAG16" s="17"/>
    </row>
    <row r="17" spans="1:709" s="75" customFormat="1" ht="142.5" customHeight="1" x14ac:dyDescent="0.25">
      <c r="A17" s="117" t="s">
        <v>47</v>
      </c>
      <c r="B17" s="117" t="s">
        <v>48</v>
      </c>
      <c r="C17" s="117" t="s">
        <v>49</v>
      </c>
      <c r="D17" s="117" t="s">
        <v>50</v>
      </c>
      <c r="E17" s="117" t="s">
        <v>90</v>
      </c>
      <c r="F17" s="117" t="s">
        <v>52</v>
      </c>
      <c r="G17" s="117" t="s">
        <v>53</v>
      </c>
      <c r="H17" s="117" t="s">
        <v>54</v>
      </c>
      <c r="I17" s="137" t="s">
        <v>55</v>
      </c>
      <c r="J17" s="138" t="s">
        <v>852</v>
      </c>
      <c r="K17" s="138" t="s">
        <v>853</v>
      </c>
      <c r="L17" s="138" t="s">
        <v>877</v>
      </c>
      <c r="M17" s="141" t="s">
        <v>878</v>
      </c>
      <c r="N17" s="138" t="s">
        <v>93</v>
      </c>
      <c r="O17" s="138"/>
      <c r="P17" s="71">
        <v>0.5</v>
      </c>
      <c r="Q17" s="477"/>
      <c r="R17" s="478"/>
      <c r="S17" s="478"/>
      <c r="T17" s="478"/>
      <c r="U17" s="479"/>
      <c r="V17" s="259">
        <v>324570004</v>
      </c>
      <c r="W17" s="259">
        <v>64326892613</v>
      </c>
      <c r="X17" s="138" t="s">
        <v>856</v>
      </c>
      <c r="Y17" s="252">
        <v>0.27</v>
      </c>
      <c r="Z17" s="252">
        <v>0.5</v>
      </c>
      <c r="AA17" s="252">
        <v>0.55000000000000004</v>
      </c>
      <c r="AB17" s="260" t="s">
        <v>879</v>
      </c>
      <c r="AC17" s="524"/>
      <c r="AD17" s="525"/>
      <c r="AE17" s="525"/>
      <c r="AF17" s="526"/>
      <c r="AG17" s="129">
        <v>0.41</v>
      </c>
      <c r="AH17" s="129">
        <v>0.5</v>
      </c>
      <c r="AI17" s="129">
        <v>0.82</v>
      </c>
      <c r="AJ17" s="261" t="s">
        <v>880</v>
      </c>
      <c r="AK17" s="527"/>
      <c r="AL17" s="528"/>
      <c r="AM17" s="528"/>
      <c r="AN17" s="529"/>
      <c r="AO17" s="129">
        <v>0.54</v>
      </c>
      <c r="AP17" s="72">
        <f t="shared" si="1"/>
        <v>0.5</v>
      </c>
      <c r="AQ17" s="142">
        <f t="shared" si="2"/>
        <v>1.08</v>
      </c>
      <c r="AR17" s="261" t="s">
        <v>881</v>
      </c>
      <c r="AS17" s="482"/>
      <c r="AT17" s="482"/>
      <c r="AU17" s="482"/>
      <c r="AV17" s="482"/>
      <c r="AW17" s="17"/>
      <c r="AX17" s="17"/>
      <c r="AY17" s="17"/>
      <c r="AZ17" s="17"/>
      <c r="BA17" s="17"/>
      <c r="BB17" s="17"/>
      <c r="BC17" s="17"/>
      <c r="BD17" s="17"/>
      <c r="BE17" s="17"/>
      <c r="BF17" s="17"/>
      <c r="BG17" s="17"/>
      <c r="BH17" s="17"/>
      <c r="BI17" s="17"/>
      <c r="BJ17" s="17"/>
      <c r="BK17" s="262">
        <v>1</v>
      </c>
      <c r="BL17" s="263">
        <v>0.5</v>
      </c>
      <c r="BM17" s="264">
        <f t="shared" si="3"/>
        <v>2</v>
      </c>
      <c r="BN17" s="261" t="s">
        <v>882</v>
      </c>
      <c r="BO17" s="482"/>
      <c r="BP17" s="482"/>
      <c r="BQ17" s="482"/>
      <c r="BR17" s="482"/>
      <c r="BS17" s="262">
        <v>0</v>
      </c>
      <c r="BT17" s="263">
        <v>0.5</v>
      </c>
      <c r="BU17" s="264">
        <f t="shared" si="4"/>
        <v>0</v>
      </c>
      <c r="BV17" s="261" t="s">
        <v>883</v>
      </c>
      <c r="BW17" s="482"/>
      <c r="BX17" s="482"/>
      <c r="BY17" s="482"/>
      <c r="BZ17" s="482"/>
      <c r="CA17" s="262">
        <v>0.66600000000000004</v>
      </c>
      <c r="CB17" s="263">
        <v>0.5</v>
      </c>
      <c r="CC17" s="264">
        <f t="shared" si="5"/>
        <v>1.3320000000000001</v>
      </c>
      <c r="CD17" s="265" t="s">
        <v>884</v>
      </c>
      <c r="CE17" s="482"/>
      <c r="CF17" s="482"/>
      <c r="CG17" s="482"/>
      <c r="CH17" s="482"/>
      <c r="CI17" s="262">
        <v>0.375</v>
      </c>
      <c r="CJ17" s="263">
        <v>0.5</v>
      </c>
      <c r="CK17" s="264">
        <v>0.75</v>
      </c>
      <c r="CL17" s="265" t="s">
        <v>885</v>
      </c>
      <c r="CM17" s="482"/>
      <c r="CN17" s="482"/>
      <c r="CO17" s="482"/>
      <c r="CP17" s="482"/>
      <c r="CQ17" s="262">
        <v>9.5000000000000001E-2</v>
      </c>
      <c r="CR17" s="263">
        <v>0.5</v>
      </c>
      <c r="CS17" s="264">
        <f>+CQ17/CR17</f>
        <v>0.19</v>
      </c>
      <c r="CT17" s="265" t="s">
        <v>886</v>
      </c>
      <c r="CU17" s="482"/>
      <c r="CV17" s="482"/>
      <c r="CW17" s="482"/>
      <c r="CX17" s="482"/>
      <c r="CY17" s="262">
        <v>0.3</v>
      </c>
      <c r="CZ17" s="263">
        <v>0.5</v>
      </c>
      <c r="DA17" s="264">
        <f t="shared" si="16"/>
        <v>0.6</v>
      </c>
      <c r="DB17" s="265" t="s">
        <v>887</v>
      </c>
      <c r="DC17" s="266"/>
      <c r="DD17" s="267"/>
      <c r="DE17" s="94">
        <f t="shared" si="17"/>
        <v>4.9980000000000002</v>
      </c>
      <c r="DF17" s="94">
        <f t="shared" si="7"/>
        <v>1.5827</v>
      </c>
      <c r="DG17" s="94">
        <f t="shared" si="8"/>
        <v>6.2475000000000005</v>
      </c>
      <c r="DH17" s="94">
        <f t="shared" si="9"/>
        <v>11.095560000000001</v>
      </c>
      <c r="DI17" s="94">
        <f t="shared" si="10"/>
        <v>0</v>
      </c>
      <c r="DJ17" s="94">
        <f t="shared" si="11"/>
        <v>16.66</v>
      </c>
      <c r="DK17" s="94">
        <f t="shared" si="12"/>
        <v>8.9964000000000013</v>
      </c>
      <c r="DL17" s="94">
        <f t="shared" si="13"/>
        <v>6.8305999999999996</v>
      </c>
      <c r="DM17" s="94">
        <f t="shared" si="14"/>
        <v>4.4982000000000006</v>
      </c>
      <c r="DN17" s="94">
        <f t="shared" si="18"/>
        <v>60.908960000000008</v>
      </c>
      <c r="DO17" s="94">
        <f t="shared" si="19"/>
        <v>55.910960000000003</v>
      </c>
      <c r="DP17" s="94">
        <f t="shared" si="15"/>
        <v>0.60908960000000012</v>
      </c>
      <c r="DQ17" s="94">
        <f t="shared" si="15"/>
        <v>0.55910959999999998</v>
      </c>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c r="IO17" s="17"/>
      <c r="IP17" s="17"/>
      <c r="IQ17" s="17"/>
      <c r="IR17" s="17"/>
      <c r="IS17" s="17"/>
      <c r="IT17" s="17"/>
      <c r="IU17" s="17"/>
      <c r="IV17" s="17"/>
      <c r="IW17" s="17"/>
      <c r="IX17" s="17"/>
      <c r="IY17" s="17"/>
      <c r="IZ17" s="17"/>
      <c r="JA17" s="17"/>
      <c r="JB17" s="17"/>
      <c r="JC17" s="17"/>
      <c r="JD17" s="17"/>
      <c r="JE17" s="17"/>
      <c r="JF17" s="17"/>
      <c r="JG17" s="17"/>
      <c r="JH17" s="17"/>
      <c r="JI17" s="17"/>
      <c r="JJ17" s="17"/>
      <c r="JK17" s="17"/>
      <c r="JL17" s="17"/>
      <c r="JM17" s="17"/>
      <c r="JN17" s="17"/>
      <c r="JO17" s="17"/>
      <c r="JP17" s="17"/>
      <c r="JQ17" s="17"/>
      <c r="JR17" s="17"/>
      <c r="JS17" s="17"/>
      <c r="JT17" s="17"/>
      <c r="JU17" s="17"/>
      <c r="JV17" s="17"/>
      <c r="JW17" s="17"/>
      <c r="JX17" s="17"/>
      <c r="JY17" s="17"/>
      <c r="JZ17" s="17"/>
      <c r="KA17" s="17"/>
      <c r="KB17" s="17"/>
      <c r="KC17" s="17"/>
      <c r="KD17" s="17"/>
      <c r="KE17" s="17"/>
      <c r="KF17" s="17"/>
      <c r="KG17" s="17"/>
      <c r="KH17" s="17"/>
      <c r="KI17" s="17"/>
      <c r="KJ17" s="17"/>
      <c r="KK17" s="17"/>
      <c r="KL17" s="17"/>
      <c r="KM17" s="17"/>
      <c r="KN17" s="17"/>
      <c r="KO17" s="17"/>
      <c r="KP17" s="17"/>
      <c r="KQ17" s="17"/>
      <c r="KR17" s="17"/>
      <c r="KS17" s="17"/>
      <c r="KT17" s="17"/>
      <c r="KU17" s="17"/>
      <c r="KV17" s="17"/>
      <c r="KW17" s="17"/>
      <c r="KX17" s="17"/>
      <c r="KY17" s="17"/>
      <c r="KZ17" s="17"/>
      <c r="LA17" s="17"/>
      <c r="LB17" s="17"/>
      <c r="LC17" s="17"/>
      <c r="LD17" s="17"/>
      <c r="LE17" s="17"/>
      <c r="LF17" s="17"/>
      <c r="LG17" s="17"/>
      <c r="LH17" s="17"/>
      <c r="LI17" s="17"/>
      <c r="LJ17" s="17"/>
      <c r="LK17" s="17"/>
      <c r="LL17" s="17"/>
      <c r="LM17" s="17"/>
      <c r="LN17" s="17"/>
      <c r="LO17" s="17"/>
      <c r="LP17" s="17"/>
      <c r="LQ17" s="17"/>
      <c r="LR17" s="17"/>
      <c r="LS17" s="17"/>
      <c r="LT17" s="17"/>
      <c r="LU17" s="17"/>
      <c r="LV17" s="17"/>
      <c r="LW17" s="17"/>
      <c r="LX17" s="17"/>
      <c r="LY17" s="17"/>
      <c r="LZ17" s="17"/>
      <c r="MA17" s="17"/>
      <c r="MB17" s="17"/>
      <c r="MC17" s="17"/>
      <c r="MD17" s="17"/>
      <c r="ME17" s="17"/>
      <c r="MF17" s="17"/>
      <c r="MG17" s="17"/>
      <c r="MH17" s="17"/>
      <c r="MI17" s="17"/>
      <c r="MJ17" s="17"/>
      <c r="MK17" s="17"/>
      <c r="ML17" s="17"/>
      <c r="MM17" s="17"/>
      <c r="MN17" s="17"/>
      <c r="MO17" s="17"/>
      <c r="MP17" s="17"/>
      <c r="MQ17" s="17"/>
      <c r="MR17" s="17"/>
      <c r="MS17" s="17"/>
      <c r="MT17" s="17"/>
      <c r="MU17" s="17"/>
      <c r="MV17" s="17"/>
      <c r="MW17" s="17"/>
      <c r="MX17" s="17"/>
      <c r="MY17" s="17"/>
      <c r="MZ17" s="17"/>
      <c r="NA17" s="17"/>
      <c r="NB17" s="17"/>
      <c r="NC17" s="17"/>
      <c r="ND17" s="17"/>
      <c r="NE17" s="17"/>
      <c r="NF17" s="17"/>
      <c r="NG17" s="17"/>
      <c r="NH17" s="17"/>
      <c r="NI17" s="17"/>
      <c r="NJ17" s="17"/>
      <c r="NK17" s="17"/>
      <c r="NL17" s="17"/>
      <c r="NM17" s="17"/>
      <c r="NN17" s="17"/>
      <c r="NO17" s="17"/>
      <c r="NP17" s="17"/>
      <c r="NQ17" s="17"/>
      <c r="NR17" s="17"/>
      <c r="NS17" s="17"/>
      <c r="NT17" s="17"/>
      <c r="NU17" s="17"/>
      <c r="NV17" s="17"/>
      <c r="NW17" s="17"/>
      <c r="NX17" s="17"/>
      <c r="NY17" s="17"/>
      <c r="NZ17" s="17"/>
      <c r="OA17" s="17"/>
      <c r="OB17" s="17"/>
      <c r="OC17" s="17"/>
      <c r="OD17" s="17"/>
      <c r="OE17" s="17"/>
      <c r="OF17" s="17"/>
      <c r="OG17" s="17"/>
      <c r="OH17" s="17"/>
      <c r="OI17" s="17"/>
      <c r="OJ17" s="17"/>
      <c r="OK17" s="17"/>
      <c r="OL17" s="17"/>
      <c r="OM17" s="17"/>
      <c r="ON17" s="17"/>
      <c r="OO17" s="17"/>
      <c r="OP17" s="17"/>
      <c r="OQ17" s="17"/>
      <c r="OR17" s="17"/>
      <c r="OS17" s="17"/>
      <c r="OT17" s="17"/>
      <c r="OU17" s="17"/>
      <c r="OV17" s="17"/>
      <c r="OW17" s="17"/>
      <c r="OX17" s="17"/>
      <c r="OY17" s="17"/>
      <c r="OZ17" s="17"/>
      <c r="PA17" s="17"/>
      <c r="PB17" s="17"/>
      <c r="PC17" s="17"/>
      <c r="PD17" s="17"/>
      <c r="PE17" s="17"/>
      <c r="PF17" s="17"/>
      <c r="PG17" s="17"/>
      <c r="PH17" s="17"/>
      <c r="PI17" s="17"/>
      <c r="PJ17" s="17"/>
      <c r="PK17" s="17"/>
      <c r="PL17" s="17"/>
      <c r="PM17" s="17"/>
      <c r="PN17" s="17"/>
      <c r="PO17" s="17"/>
      <c r="PP17" s="17"/>
      <c r="PQ17" s="17"/>
      <c r="PR17" s="17"/>
      <c r="PS17" s="17"/>
      <c r="PT17" s="17"/>
      <c r="PU17" s="17"/>
      <c r="PV17" s="17"/>
      <c r="PW17" s="17"/>
      <c r="PX17" s="17"/>
      <c r="PY17" s="17"/>
      <c r="PZ17" s="17"/>
      <c r="QA17" s="17"/>
      <c r="QB17" s="17"/>
      <c r="QC17" s="17"/>
      <c r="QD17" s="17"/>
      <c r="QE17" s="17"/>
      <c r="QF17" s="17"/>
      <c r="QG17" s="17"/>
      <c r="QH17" s="17"/>
      <c r="QI17" s="17"/>
      <c r="QJ17" s="17"/>
      <c r="QK17" s="17"/>
      <c r="QL17" s="17"/>
      <c r="QM17" s="17"/>
      <c r="QN17" s="17"/>
      <c r="QO17" s="17"/>
      <c r="QP17" s="17"/>
      <c r="QQ17" s="17"/>
      <c r="QR17" s="17"/>
      <c r="QS17" s="17"/>
      <c r="QT17" s="17"/>
      <c r="QU17" s="17"/>
      <c r="QV17" s="17"/>
      <c r="QW17" s="17"/>
      <c r="QX17" s="17"/>
      <c r="QY17" s="17"/>
      <c r="QZ17" s="17"/>
      <c r="RA17" s="17"/>
      <c r="RB17" s="17"/>
      <c r="RC17" s="17"/>
      <c r="RD17" s="17"/>
      <c r="RE17" s="17"/>
      <c r="RF17" s="17"/>
      <c r="RG17" s="17"/>
      <c r="RH17" s="17"/>
      <c r="RI17" s="17"/>
      <c r="RJ17" s="17"/>
      <c r="RK17" s="17"/>
      <c r="RL17" s="17"/>
      <c r="RM17" s="17"/>
      <c r="RN17" s="17"/>
      <c r="RO17" s="17"/>
      <c r="RP17" s="17"/>
      <c r="RQ17" s="17"/>
      <c r="RR17" s="17"/>
      <c r="RS17" s="17"/>
      <c r="RT17" s="17"/>
      <c r="RU17" s="17"/>
      <c r="RV17" s="17"/>
      <c r="RW17" s="17"/>
      <c r="RX17" s="17"/>
      <c r="RY17" s="17"/>
      <c r="RZ17" s="17"/>
      <c r="SA17" s="17"/>
      <c r="SB17" s="17"/>
      <c r="SC17" s="17"/>
      <c r="SD17" s="17"/>
      <c r="SE17" s="17"/>
      <c r="SF17" s="17"/>
      <c r="SG17" s="17"/>
      <c r="SH17" s="17"/>
      <c r="SI17" s="17"/>
      <c r="SJ17" s="17"/>
      <c r="SK17" s="17"/>
      <c r="SL17" s="17"/>
      <c r="SM17" s="17"/>
      <c r="SN17" s="17"/>
      <c r="SO17" s="17"/>
      <c r="SP17" s="17"/>
      <c r="SQ17" s="17"/>
      <c r="SR17" s="17"/>
      <c r="SS17" s="17"/>
      <c r="ST17" s="17"/>
      <c r="SU17" s="17"/>
      <c r="SV17" s="17"/>
      <c r="SW17" s="17"/>
      <c r="SX17" s="17"/>
      <c r="SY17" s="17"/>
      <c r="SZ17" s="17"/>
      <c r="TA17" s="17"/>
      <c r="TB17" s="17"/>
      <c r="TC17" s="17"/>
      <c r="TD17" s="17"/>
      <c r="TE17" s="17"/>
      <c r="TF17" s="17"/>
      <c r="TG17" s="17"/>
      <c r="TH17" s="17"/>
      <c r="TI17" s="17"/>
      <c r="TJ17" s="17"/>
      <c r="TK17" s="17"/>
      <c r="TL17" s="17"/>
      <c r="TM17" s="17"/>
      <c r="TN17" s="17"/>
      <c r="TO17" s="17"/>
      <c r="TP17" s="17"/>
      <c r="TQ17" s="17"/>
      <c r="TR17" s="17"/>
      <c r="TS17" s="17"/>
      <c r="TT17" s="17"/>
      <c r="TU17" s="17"/>
      <c r="TV17" s="17"/>
      <c r="TW17" s="17"/>
      <c r="TX17" s="17"/>
      <c r="TY17" s="17"/>
      <c r="TZ17" s="17"/>
      <c r="UA17" s="17"/>
      <c r="UB17" s="17"/>
      <c r="UC17" s="17"/>
      <c r="UD17" s="17"/>
      <c r="UE17" s="17"/>
      <c r="UF17" s="17"/>
      <c r="UG17" s="17"/>
      <c r="UH17" s="17"/>
      <c r="UI17" s="17"/>
      <c r="UJ17" s="17"/>
      <c r="UK17" s="17"/>
      <c r="UL17" s="17"/>
      <c r="UM17" s="17"/>
      <c r="UN17" s="17"/>
      <c r="UO17" s="17"/>
      <c r="UP17" s="17"/>
      <c r="UQ17" s="17"/>
      <c r="UR17" s="17"/>
      <c r="US17" s="17"/>
      <c r="UT17" s="17"/>
      <c r="UU17" s="17"/>
      <c r="UV17" s="17"/>
      <c r="UW17" s="17"/>
      <c r="UX17" s="17"/>
      <c r="UY17" s="17"/>
      <c r="UZ17" s="17"/>
      <c r="VA17" s="17"/>
      <c r="VB17" s="17"/>
      <c r="VC17" s="17"/>
      <c r="VD17" s="17"/>
      <c r="VE17" s="17"/>
      <c r="VF17" s="17"/>
      <c r="VG17" s="17"/>
      <c r="VH17" s="17"/>
      <c r="VI17" s="17"/>
      <c r="VJ17" s="17"/>
      <c r="VK17" s="17"/>
      <c r="VL17" s="17"/>
      <c r="VM17" s="17"/>
      <c r="VN17" s="17"/>
      <c r="VO17" s="17"/>
      <c r="VP17" s="17"/>
      <c r="VQ17" s="17"/>
      <c r="VR17" s="17"/>
      <c r="VS17" s="17"/>
      <c r="VT17" s="17"/>
      <c r="VU17" s="17"/>
      <c r="VV17" s="17"/>
      <c r="VW17" s="17"/>
      <c r="VX17" s="17"/>
      <c r="VY17" s="17"/>
      <c r="VZ17" s="17"/>
      <c r="WA17" s="17"/>
      <c r="WB17" s="17"/>
      <c r="WC17" s="17"/>
      <c r="WD17" s="17"/>
      <c r="WE17" s="17"/>
      <c r="WF17" s="17"/>
      <c r="WG17" s="17"/>
      <c r="WH17" s="17"/>
      <c r="WI17" s="17"/>
      <c r="WJ17" s="17"/>
      <c r="WK17" s="17"/>
      <c r="WL17" s="17"/>
      <c r="WM17" s="17"/>
      <c r="WN17" s="17"/>
      <c r="WO17" s="17"/>
      <c r="WP17" s="17"/>
      <c r="WQ17" s="17"/>
      <c r="WR17" s="17"/>
      <c r="WS17" s="17"/>
      <c r="WT17" s="17"/>
      <c r="WU17" s="17"/>
      <c r="WV17" s="17"/>
      <c r="WW17" s="17"/>
      <c r="WX17" s="17"/>
      <c r="WY17" s="17"/>
      <c r="WZ17" s="17"/>
      <c r="XA17" s="17"/>
      <c r="XB17" s="17"/>
      <c r="XC17" s="17"/>
      <c r="XD17" s="17"/>
      <c r="XE17" s="17"/>
      <c r="XF17" s="17"/>
      <c r="XG17" s="17"/>
      <c r="XH17" s="17"/>
      <c r="XI17" s="17"/>
      <c r="XJ17" s="17"/>
      <c r="XK17" s="17"/>
      <c r="XL17" s="17"/>
      <c r="XM17" s="17"/>
      <c r="XN17" s="17"/>
      <c r="XO17" s="17"/>
      <c r="XP17" s="17"/>
      <c r="XQ17" s="17"/>
      <c r="XR17" s="17"/>
      <c r="XS17" s="17"/>
      <c r="XT17" s="17"/>
      <c r="XU17" s="17"/>
      <c r="XV17" s="17"/>
      <c r="XW17" s="17"/>
      <c r="XX17" s="17"/>
      <c r="XY17" s="17"/>
      <c r="XZ17" s="17"/>
      <c r="YA17" s="17"/>
      <c r="YB17" s="17"/>
      <c r="YC17" s="17"/>
      <c r="YD17" s="17"/>
      <c r="YE17" s="17"/>
      <c r="YF17" s="17"/>
      <c r="YG17" s="17"/>
      <c r="YH17" s="17"/>
      <c r="YI17" s="17"/>
      <c r="YJ17" s="17"/>
      <c r="YK17" s="17"/>
      <c r="YL17" s="17"/>
      <c r="YM17" s="17"/>
      <c r="YN17" s="17"/>
      <c r="YO17" s="17"/>
      <c r="YP17" s="17"/>
      <c r="YQ17" s="17"/>
      <c r="YR17" s="17"/>
      <c r="YS17" s="17"/>
      <c r="YT17" s="17"/>
      <c r="YU17" s="17"/>
      <c r="YV17" s="17"/>
      <c r="YW17" s="17"/>
      <c r="YX17" s="17"/>
      <c r="YY17" s="17"/>
      <c r="YZ17" s="17"/>
      <c r="ZA17" s="17"/>
      <c r="ZB17" s="17"/>
      <c r="ZC17" s="17"/>
      <c r="ZD17" s="17"/>
      <c r="ZE17" s="17"/>
      <c r="ZF17" s="17"/>
      <c r="ZG17" s="17"/>
      <c r="ZH17" s="17"/>
      <c r="ZI17" s="17"/>
      <c r="ZJ17" s="17"/>
      <c r="ZK17" s="17"/>
      <c r="ZL17" s="17"/>
      <c r="ZM17" s="17"/>
      <c r="ZN17" s="17"/>
      <c r="ZO17" s="17"/>
      <c r="ZP17" s="17"/>
      <c r="ZQ17" s="17"/>
      <c r="ZR17" s="17"/>
      <c r="ZS17" s="17"/>
      <c r="ZT17" s="17"/>
      <c r="ZU17" s="17"/>
      <c r="ZV17" s="17"/>
      <c r="ZW17" s="17"/>
      <c r="ZX17" s="17"/>
      <c r="ZY17" s="17"/>
      <c r="ZZ17" s="17"/>
      <c r="AAA17" s="17"/>
      <c r="AAB17" s="17"/>
      <c r="AAC17" s="17"/>
      <c r="AAD17" s="17"/>
      <c r="AAE17" s="17"/>
      <c r="AAF17" s="17"/>
      <c r="AAG17" s="17"/>
    </row>
    <row r="18" spans="1:709" s="75" customFormat="1" ht="119.25" customHeight="1" x14ac:dyDescent="0.25">
      <c r="A18" s="78" t="s">
        <v>47</v>
      </c>
      <c r="B18" s="78" t="s">
        <v>48</v>
      </c>
      <c r="C18" s="78" t="s">
        <v>49</v>
      </c>
      <c r="D18" s="78" t="s">
        <v>50</v>
      </c>
      <c r="E18" s="78" t="s">
        <v>90</v>
      </c>
      <c r="F18" s="78" t="s">
        <v>52</v>
      </c>
      <c r="G18" s="78" t="s">
        <v>53</v>
      </c>
      <c r="H18" s="78" t="s">
        <v>54</v>
      </c>
      <c r="I18" s="78" t="s">
        <v>55</v>
      </c>
      <c r="J18" s="135" t="s">
        <v>852</v>
      </c>
      <c r="K18" s="135" t="s">
        <v>853</v>
      </c>
      <c r="L18" s="135" t="s">
        <v>888</v>
      </c>
      <c r="M18" s="139" t="s">
        <v>889</v>
      </c>
      <c r="N18" s="135" t="s">
        <v>93</v>
      </c>
      <c r="O18" s="135"/>
      <c r="P18" s="136">
        <v>0.65</v>
      </c>
      <c r="Q18" s="477"/>
      <c r="R18" s="478"/>
      <c r="S18" s="478"/>
      <c r="T18" s="478"/>
      <c r="U18" s="479"/>
      <c r="V18" s="268">
        <v>121949226</v>
      </c>
      <c r="W18" s="268">
        <v>64326892613</v>
      </c>
      <c r="X18" s="135" t="s">
        <v>856</v>
      </c>
      <c r="Y18" s="269">
        <v>0.68</v>
      </c>
      <c r="Z18" s="269">
        <v>0.65</v>
      </c>
      <c r="AA18" s="269">
        <v>1.05</v>
      </c>
      <c r="AB18" s="270" t="s">
        <v>890</v>
      </c>
      <c r="AC18" s="518"/>
      <c r="AD18" s="519"/>
      <c r="AE18" s="519"/>
      <c r="AF18" s="520"/>
      <c r="AG18" s="271">
        <v>0.75</v>
      </c>
      <c r="AH18" s="271">
        <v>0.65</v>
      </c>
      <c r="AI18" s="271">
        <v>1.1499999999999999</v>
      </c>
      <c r="AJ18" s="272" t="s">
        <v>891</v>
      </c>
      <c r="AK18" s="521"/>
      <c r="AL18" s="522"/>
      <c r="AM18" s="522"/>
      <c r="AN18" s="523"/>
      <c r="AO18" s="271">
        <v>0.82</v>
      </c>
      <c r="AP18" s="92">
        <f t="shared" si="1"/>
        <v>0.65</v>
      </c>
      <c r="AQ18" s="140">
        <f t="shared" si="2"/>
        <v>1.2615384615384615</v>
      </c>
      <c r="AR18" s="272" t="s">
        <v>892</v>
      </c>
      <c r="AS18" s="387"/>
      <c r="AT18" s="387"/>
      <c r="AU18" s="387"/>
      <c r="AV18" s="387"/>
      <c r="AW18" s="17"/>
      <c r="AX18" s="17"/>
      <c r="AY18" s="17"/>
      <c r="AZ18" s="17"/>
      <c r="BA18" s="17"/>
      <c r="BB18" s="17"/>
      <c r="BC18" s="17"/>
      <c r="BD18" s="17"/>
      <c r="BE18" s="17"/>
      <c r="BF18" s="17"/>
      <c r="BG18" s="17"/>
      <c r="BH18" s="17"/>
      <c r="BI18" s="17"/>
      <c r="BJ18" s="17"/>
      <c r="BK18" s="273">
        <v>1</v>
      </c>
      <c r="BL18" s="274">
        <v>0.65</v>
      </c>
      <c r="BM18" s="275">
        <f t="shared" si="3"/>
        <v>1.5384615384615383</v>
      </c>
      <c r="BN18" s="272" t="s">
        <v>893</v>
      </c>
      <c r="BO18" s="387"/>
      <c r="BP18" s="387"/>
      <c r="BQ18" s="387"/>
      <c r="BR18" s="387"/>
      <c r="BS18" s="273">
        <v>1</v>
      </c>
      <c r="BT18" s="274">
        <v>0.65</v>
      </c>
      <c r="BU18" s="275">
        <f t="shared" si="4"/>
        <v>1.5384615384615383</v>
      </c>
      <c r="BV18" s="272" t="s">
        <v>894</v>
      </c>
      <c r="BW18" s="387"/>
      <c r="BX18" s="387"/>
      <c r="BY18" s="387"/>
      <c r="BZ18" s="387"/>
      <c r="CA18" s="273">
        <v>1</v>
      </c>
      <c r="CB18" s="274">
        <v>0.65</v>
      </c>
      <c r="CC18" s="275">
        <f t="shared" si="5"/>
        <v>1.5384615384615383</v>
      </c>
      <c r="CD18" s="276" t="s">
        <v>895</v>
      </c>
      <c r="CE18" s="387"/>
      <c r="CF18" s="387"/>
      <c r="CG18" s="387"/>
      <c r="CH18" s="387"/>
      <c r="CI18" s="273">
        <v>1</v>
      </c>
      <c r="CJ18" s="274">
        <v>0.65</v>
      </c>
      <c r="CK18" s="275">
        <v>1.5384615384615383</v>
      </c>
      <c r="CL18" s="276" t="s">
        <v>896</v>
      </c>
      <c r="CM18" s="387"/>
      <c r="CN18" s="387"/>
      <c r="CO18" s="387"/>
      <c r="CP18" s="387"/>
      <c r="CQ18" s="273">
        <v>1</v>
      </c>
      <c r="CR18" s="274">
        <v>0.8</v>
      </c>
      <c r="CS18" s="275">
        <f t="shared" si="6"/>
        <v>1.25</v>
      </c>
      <c r="CT18" s="277" t="s">
        <v>897</v>
      </c>
      <c r="CU18" s="387"/>
      <c r="CV18" s="387"/>
      <c r="CW18" s="387"/>
      <c r="CX18" s="387"/>
      <c r="CY18" s="273">
        <v>1</v>
      </c>
      <c r="CZ18" s="274">
        <v>0.8</v>
      </c>
      <c r="DA18" s="275">
        <f t="shared" si="16"/>
        <v>1.25</v>
      </c>
      <c r="DB18" s="276" t="s">
        <v>898</v>
      </c>
      <c r="DC18" s="266"/>
      <c r="DD18" s="267"/>
      <c r="DE18" s="94">
        <f t="shared" si="17"/>
        <v>10.4125</v>
      </c>
      <c r="DF18" s="94">
        <f t="shared" si="7"/>
        <v>10.4125</v>
      </c>
      <c r="DG18" s="94">
        <f t="shared" si="8"/>
        <v>12.815384615384614</v>
      </c>
      <c r="DH18" s="94">
        <f t="shared" si="9"/>
        <v>12.815384615384614</v>
      </c>
      <c r="DI18" s="94">
        <f t="shared" si="10"/>
        <v>12.815384615384614</v>
      </c>
      <c r="DJ18" s="94">
        <f t="shared" si="11"/>
        <v>12.815384615384614</v>
      </c>
      <c r="DK18" s="94">
        <f t="shared" si="12"/>
        <v>10.508615384615384</v>
      </c>
      <c r="DL18" s="94">
        <f t="shared" si="13"/>
        <v>9.611538461538462</v>
      </c>
      <c r="DM18" s="94">
        <f t="shared" si="14"/>
        <v>8.7144615384615385</v>
      </c>
      <c r="DN18" s="94">
        <f t="shared" si="18"/>
        <v>100.92115384615383</v>
      </c>
      <c r="DO18" s="94">
        <f t="shared" si="19"/>
        <v>90.508653846153834</v>
      </c>
      <c r="DP18" s="94">
        <f t="shared" si="15"/>
        <v>1.0092115384615383</v>
      </c>
      <c r="DQ18" s="94">
        <f t="shared" si="15"/>
        <v>0.9050865384615383</v>
      </c>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c r="IV18" s="17"/>
      <c r="IW18" s="17"/>
      <c r="IX18" s="17"/>
      <c r="IY18" s="17"/>
      <c r="IZ18" s="17"/>
      <c r="JA18" s="17"/>
      <c r="JB18" s="17"/>
      <c r="JC18" s="17"/>
      <c r="JD18" s="17"/>
      <c r="JE18" s="17"/>
      <c r="JF18" s="17"/>
      <c r="JG18" s="17"/>
      <c r="JH18" s="17"/>
      <c r="JI18" s="17"/>
      <c r="JJ18" s="17"/>
      <c r="JK18" s="17"/>
      <c r="JL18" s="17"/>
      <c r="JM18" s="17"/>
      <c r="JN18" s="17"/>
      <c r="JO18" s="17"/>
      <c r="JP18" s="17"/>
      <c r="JQ18" s="17"/>
      <c r="JR18" s="17"/>
      <c r="JS18" s="17"/>
      <c r="JT18" s="17"/>
      <c r="JU18" s="17"/>
      <c r="JV18" s="17"/>
      <c r="JW18" s="17"/>
      <c r="JX18" s="17"/>
      <c r="JY18" s="17"/>
      <c r="JZ18" s="17"/>
      <c r="KA18" s="17"/>
      <c r="KB18" s="17"/>
      <c r="KC18" s="17"/>
      <c r="KD18" s="17"/>
      <c r="KE18" s="17"/>
      <c r="KF18" s="17"/>
      <c r="KG18" s="17"/>
      <c r="KH18" s="17"/>
      <c r="KI18" s="17"/>
      <c r="KJ18" s="17"/>
      <c r="KK18" s="17"/>
      <c r="KL18" s="17"/>
      <c r="KM18" s="17"/>
      <c r="KN18" s="17"/>
      <c r="KO18" s="17"/>
      <c r="KP18" s="17"/>
      <c r="KQ18" s="17"/>
      <c r="KR18" s="17"/>
      <c r="KS18" s="17"/>
      <c r="KT18" s="17"/>
      <c r="KU18" s="17"/>
      <c r="KV18" s="17"/>
      <c r="KW18" s="17"/>
      <c r="KX18" s="17"/>
      <c r="KY18" s="17"/>
      <c r="KZ18" s="17"/>
      <c r="LA18" s="17"/>
      <c r="LB18" s="17"/>
      <c r="LC18" s="17"/>
      <c r="LD18" s="17"/>
      <c r="LE18" s="17"/>
      <c r="LF18" s="17"/>
      <c r="LG18" s="17"/>
      <c r="LH18" s="17"/>
      <c r="LI18" s="17"/>
      <c r="LJ18" s="17"/>
      <c r="LK18" s="17"/>
      <c r="LL18" s="17"/>
      <c r="LM18" s="17"/>
      <c r="LN18" s="17"/>
      <c r="LO18" s="17"/>
      <c r="LP18" s="17"/>
      <c r="LQ18" s="17"/>
      <c r="LR18" s="17"/>
      <c r="LS18" s="17"/>
      <c r="LT18" s="17"/>
      <c r="LU18" s="17"/>
      <c r="LV18" s="17"/>
      <c r="LW18" s="17"/>
      <c r="LX18" s="17"/>
      <c r="LY18" s="17"/>
      <c r="LZ18" s="17"/>
      <c r="MA18" s="17"/>
      <c r="MB18" s="17"/>
      <c r="MC18" s="17"/>
      <c r="MD18" s="17"/>
      <c r="ME18" s="17"/>
      <c r="MF18" s="17"/>
      <c r="MG18" s="17"/>
      <c r="MH18" s="17"/>
      <c r="MI18" s="17"/>
      <c r="MJ18" s="17"/>
      <c r="MK18" s="17"/>
      <c r="ML18" s="17"/>
      <c r="MM18" s="17"/>
      <c r="MN18" s="17"/>
      <c r="MO18" s="17"/>
      <c r="MP18" s="17"/>
      <c r="MQ18" s="17"/>
      <c r="MR18" s="17"/>
      <c r="MS18" s="17"/>
      <c r="MT18" s="17"/>
      <c r="MU18" s="17"/>
      <c r="MV18" s="17"/>
      <c r="MW18" s="17"/>
      <c r="MX18" s="17"/>
      <c r="MY18" s="17"/>
      <c r="MZ18" s="17"/>
      <c r="NA18" s="17"/>
      <c r="NB18" s="17"/>
      <c r="NC18" s="17"/>
      <c r="ND18" s="17"/>
      <c r="NE18" s="17"/>
      <c r="NF18" s="17"/>
      <c r="NG18" s="17"/>
      <c r="NH18" s="17"/>
      <c r="NI18" s="17"/>
      <c r="NJ18" s="17"/>
      <c r="NK18" s="17"/>
      <c r="NL18" s="17"/>
      <c r="NM18" s="17"/>
      <c r="NN18" s="17"/>
      <c r="NO18" s="17"/>
      <c r="NP18" s="17"/>
      <c r="NQ18" s="17"/>
      <c r="NR18" s="17"/>
      <c r="NS18" s="17"/>
      <c r="NT18" s="17"/>
      <c r="NU18" s="17"/>
      <c r="NV18" s="17"/>
      <c r="NW18" s="17"/>
      <c r="NX18" s="17"/>
      <c r="NY18" s="17"/>
      <c r="NZ18" s="17"/>
      <c r="OA18" s="17"/>
      <c r="OB18" s="17"/>
      <c r="OC18" s="17"/>
      <c r="OD18" s="17"/>
      <c r="OE18" s="17"/>
      <c r="OF18" s="17"/>
      <c r="OG18" s="17"/>
      <c r="OH18" s="17"/>
      <c r="OI18" s="17"/>
      <c r="OJ18" s="17"/>
      <c r="OK18" s="17"/>
      <c r="OL18" s="17"/>
      <c r="OM18" s="17"/>
      <c r="ON18" s="17"/>
      <c r="OO18" s="17"/>
      <c r="OP18" s="17"/>
      <c r="OQ18" s="17"/>
      <c r="OR18" s="17"/>
      <c r="OS18" s="17"/>
      <c r="OT18" s="17"/>
      <c r="OU18" s="17"/>
      <c r="OV18" s="17"/>
      <c r="OW18" s="17"/>
      <c r="OX18" s="17"/>
      <c r="OY18" s="17"/>
      <c r="OZ18" s="17"/>
      <c r="PA18" s="17"/>
      <c r="PB18" s="17"/>
      <c r="PC18" s="17"/>
      <c r="PD18" s="17"/>
      <c r="PE18" s="17"/>
      <c r="PF18" s="17"/>
      <c r="PG18" s="17"/>
      <c r="PH18" s="17"/>
      <c r="PI18" s="17"/>
      <c r="PJ18" s="17"/>
      <c r="PK18" s="17"/>
      <c r="PL18" s="17"/>
      <c r="PM18" s="17"/>
      <c r="PN18" s="17"/>
      <c r="PO18" s="17"/>
      <c r="PP18" s="17"/>
      <c r="PQ18" s="17"/>
      <c r="PR18" s="17"/>
      <c r="PS18" s="17"/>
      <c r="PT18" s="17"/>
      <c r="PU18" s="17"/>
      <c r="PV18" s="17"/>
      <c r="PW18" s="17"/>
      <c r="PX18" s="17"/>
      <c r="PY18" s="17"/>
      <c r="PZ18" s="17"/>
      <c r="QA18" s="17"/>
      <c r="QB18" s="17"/>
      <c r="QC18" s="17"/>
      <c r="QD18" s="17"/>
      <c r="QE18" s="17"/>
      <c r="QF18" s="17"/>
      <c r="QG18" s="17"/>
      <c r="QH18" s="17"/>
      <c r="QI18" s="17"/>
      <c r="QJ18" s="17"/>
      <c r="QK18" s="17"/>
      <c r="QL18" s="17"/>
      <c r="QM18" s="17"/>
      <c r="QN18" s="17"/>
      <c r="QO18" s="17"/>
      <c r="QP18" s="17"/>
      <c r="QQ18" s="17"/>
      <c r="QR18" s="17"/>
      <c r="QS18" s="17"/>
      <c r="QT18" s="17"/>
      <c r="QU18" s="17"/>
      <c r="QV18" s="17"/>
      <c r="QW18" s="17"/>
      <c r="QX18" s="17"/>
      <c r="QY18" s="17"/>
      <c r="QZ18" s="17"/>
      <c r="RA18" s="17"/>
      <c r="RB18" s="17"/>
      <c r="RC18" s="17"/>
      <c r="RD18" s="17"/>
      <c r="RE18" s="17"/>
      <c r="RF18" s="17"/>
      <c r="RG18" s="17"/>
      <c r="RH18" s="17"/>
      <c r="RI18" s="17"/>
      <c r="RJ18" s="17"/>
      <c r="RK18" s="17"/>
      <c r="RL18" s="17"/>
      <c r="RM18" s="17"/>
      <c r="RN18" s="17"/>
      <c r="RO18" s="17"/>
      <c r="RP18" s="17"/>
      <c r="RQ18" s="17"/>
      <c r="RR18" s="17"/>
      <c r="RS18" s="17"/>
      <c r="RT18" s="17"/>
      <c r="RU18" s="17"/>
      <c r="RV18" s="17"/>
      <c r="RW18" s="17"/>
      <c r="RX18" s="17"/>
      <c r="RY18" s="17"/>
      <c r="RZ18" s="17"/>
      <c r="SA18" s="17"/>
      <c r="SB18" s="17"/>
      <c r="SC18" s="17"/>
      <c r="SD18" s="17"/>
      <c r="SE18" s="17"/>
      <c r="SF18" s="17"/>
      <c r="SG18" s="17"/>
      <c r="SH18" s="17"/>
      <c r="SI18" s="17"/>
      <c r="SJ18" s="17"/>
      <c r="SK18" s="17"/>
      <c r="SL18" s="17"/>
      <c r="SM18" s="17"/>
      <c r="SN18" s="17"/>
      <c r="SO18" s="17"/>
      <c r="SP18" s="17"/>
      <c r="SQ18" s="17"/>
      <c r="SR18" s="17"/>
      <c r="SS18" s="17"/>
      <c r="ST18" s="17"/>
      <c r="SU18" s="17"/>
      <c r="SV18" s="17"/>
      <c r="SW18" s="17"/>
      <c r="SX18" s="17"/>
      <c r="SY18" s="17"/>
      <c r="SZ18" s="17"/>
      <c r="TA18" s="17"/>
      <c r="TB18" s="17"/>
      <c r="TC18" s="17"/>
      <c r="TD18" s="17"/>
      <c r="TE18" s="17"/>
      <c r="TF18" s="17"/>
      <c r="TG18" s="17"/>
      <c r="TH18" s="17"/>
      <c r="TI18" s="17"/>
      <c r="TJ18" s="17"/>
      <c r="TK18" s="17"/>
      <c r="TL18" s="17"/>
      <c r="TM18" s="17"/>
      <c r="TN18" s="17"/>
      <c r="TO18" s="17"/>
      <c r="TP18" s="17"/>
      <c r="TQ18" s="17"/>
      <c r="TR18" s="17"/>
      <c r="TS18" s="17"/>
      <c r="TT18" s="17"/>
      <c r="TU18" s="17"/>
      <c r="TV18" s="17"/>
      <c r="TW18" s="17"/>
      <c r="TX18" s="17"/>
      <c r="TY18" s="17"/>
      <c r="TZ18" s="17"/>
      <c r="UA18" s="17"/>
      <c r="UB18" s="17"/>
      <c r="UC18" s="17"/>
      <c r="UD18" s="17"/>
      <c r="UE18" s="17"/>
      <c r="UF18" s="17"/>
      <c r="UG18" s="17"/>
      <c r="UH18" s="17"/>
      <c r="UI18" s="17"/>
      <c r="UJ18" s="17"/>
      <c r="UK18" s="17"/>
      <c r="UL18" s="17"/>
      <c r="UM18" s="17"/>
      <c r="UN18" s="17"/>
      <c r="UO18" s="17"/>
      <c r="UP18" s="17"/>
      <c r="UQ18" s="17"/>
      <c r="UR18" s="17"/>
      <c r="US18" s="17"/>
      <c r="UT18" s="17"/>
      <c r="UU18" s="17"/>
      <c r="UV18" s="17"/>
      <c r="UW18" s="17"/>
      <c r="UX18" s="17"/>
      <c r="UY18" s="17"/>
      <c r="UZ18" s="17"/>
      <c r="VA18" s="17"/>
      <c r="VB18" s="17"/>
      <c r="VC18" s="17"/>
      <c r="VD18" s="17"/>
      <c r="VE18" s="17"/>
      <c r="VF18" s="17"/>
      <c r="VG18" s="17"/>
      <c r="VH18" s="17"/>
      <c r="VI18" s="17"/>
      <c r="VJ18" s="17"/>
      <c r="VK18" s="17"/>
      <c r="VL18" s="17"/>
      <c r="VM18" s="17"/>
      <c r="VN18" s="17"/>
      <c r="VO18" s="17"/>
      <c r="VP18" s="17"/>
      <c r="VQ18" s="17"/>
      <c r="VR18" s="17"/>
      <c r="VS18" s="17"/>
      <c r="VT18" s="17"/>
      <c r="VU18" s="17"/>
      <c r="VV18" s="17"/>
      <c r="VW18" s="17"/>
      <c r="VX18" s="17"/>
      <c r="VY18" s="17"/>
      <c r="VZ18" s="17"/>
      <c r="WA18" s="17"/>
      <c r="WB18" s="17"/>
      <c r="WC18" s="17"/>
      <c r="WD18" s="17"/>
      <c r="WE18" s="17"/>
      <c r="WF18" s="17"/>
      <c r="WG18" s="17"/>
      <c r="WH18" s="17"/>
      <c r="WI18" s="17"/>
      <c r="WJ18" s="17"/>
      <c r="WK18" s="17"/>
      <c r="WL18" s="17"/>
      <c r="WM18" s="17"/>
      <c r="WN18" s="17"/>
      <c r="WO18" s="17"/>
      <c r="WP18" s="17"/>
      <c r="WQ18" s="17"/>
      <c r="WR18" s="17"/>
      <c r="WS18" s="17"/>
      <c r="WT18" s="17"/>
      <c r="WU18" s="17"/>
      <c r="WV18" s="17"/>
      <c r="WW18" s="17"/>
      <c r="WX18" s="17"/>
      <c r="WY18" s="17"/>
      <c r="WZ18" s="17"/>
      <c r="XA18" s="17"/>
      <c r="XB18" s="17"/>
      <c r="XC18" s="17"/>
      <c r="XD18" s="17"/>
      <c r="XE18" s="17"/>
      <c r="XF18" s="17"/>
      <c r="XG18" s="17"/>
      <c r="XH18" s="17"/>
      <c r="XI18" s="17"/>
      <c r="XJ18" s="17"/>
      <c r="XK18" s="17"/>
      <c r="XL18" s="17"/>
      <c r="XM18" s="17"/>
      <c r="XN18" s="17"/>
      <c r="XO18" s="17"/>
      <c r="XP18" s="17"/>
      <c r="XQ18" s="17"/>
      <c r="XR18" s="17"/>
      <c r="XS18" s="17"/>
      <c r="XT18" s="17"/>
      <c r="XU18" s="17"/>
      <c r="XV18" s="17"/>
      <c r="XW18" s="17"/>
      <c r="XX18" s="17"/>
      <c r="XY18" s="17"/>
      <c r="XZ18" s="17"/>
      <c r="YA18" s="17"/>
      <c r="YB18" s="17"/>
      <c r="YC18" s="17"/>
      <c r="YD18" s="17"/>
      <c r="YE18" s="17"/>
      <c r="YF18" s="17"/>
      <c r="YG18" s="17"/>
      <c r="YH18" s="17"/>
      <c r="YI18" s="17"/>
      <c r="YJ18" s="17"/>
      <c r="YK18" s="17"/>
      <c r="YL18" s="17"/>
      <c r="YM18" s="17"/>
      <c r="YN18" s="17"/>
      <c r="YO18" s="17"/>
      <c r="YP18" s="17"/>
      <c r="YQ18" s="17"/>
      <c r="YR18" s="17"/>
      <c r="YS18" s="17"/>
      <c r="YT18" s="17"/>
      <c r="YU18" s="17"/>
      <c r="YV18" s="17"/>
      <c r="YW18" s="17"/>
      <c r="YX18" s="17"/>
      <c r="YY18" s="17"/>
      <c r="YZ18" s="17"/>
      <c r="ZA18" s="17"/>
      <c r="ZB18" s="17"/>
      <c r="ZC18" s="17"/>
      <c r="ZD18" s="17"/>
      <c r="ZE18" s="17"/>
      <c r="ZF18" s="17"/>
      <c r="ZG18" s="17"/>
      <c r="ZH18" s="17"/>
      <c r="ZI18" s="17"/>
      <c r="ZJ18" s="17"/>
      <c r="ZK18" s="17"/>
      <c r="ZL18" s="17"/>
      <c r="ZM18" s="17"/>
      <c r="ZN18" s="17"/>
      <c r="ZO18" s="17"/>
      <c r="ZP18" s="17"/>
      <c r="ZQ18" s="17"/>
      <c r="ZR18" s="17"/>
      <c r="ZS18" s="17"/>
      <c r="ZT18" s="17"/>
      <c r="ZU18" s="17"/>
      <c r="ZV18" s="17"/>
      <c r="ZW18" s="17"/>
      <c r="ZX18" s="17"/>
      <c r="ZY18" s="17"/>
      <c r="ZZ18" s="17"/>
      <c r="AAA18" s="17"/>
      <c r="AAB18" s="17"/>
      <c r="AAC18" s="17"/>
      <c r="AAD18" s="17"/>
      <c r="AAE18" s="17"/>
      <c r="AAF18" s="17"/>
      <c r="AAG18" s="17"/>
    </row>
    <row r="19" spans="1:709" s="75" customFormat="1" ht="144.75" customHeight="1" x14ac:dyDescent="0.25">
      <c r="A19" s="117" t="s">
        <v>47</v>
      </c>
      <c r="B19" s="117" t="s">
        <v>48</v>
      </c>
      <c r="C19" s="117" t="s">
        <v>49</v>
      </c>
      <c r="D19" s="117" t="s">
        <v>717</v>
      </c>
      <c r="E19" s="117" t="s">
        <v>51</v>
      </c>
      <c r="F19" s="117" t="s">
        <v>899</v>
      </c>
      <c r="G19" s="117" t="s">
        <v>53</v>
      </c>
      <c r="H19" s="117" t="s">
        <v>54</v>
      </c>
      <c r="I19" s="137" t="s">
        <v>55</v>
      </c>
      <c r="J19" s="138" t="s">
        <v>852</v>
      </c>
      <c r="K19" s="138" t="s">
        <v>853</v>
      </c>
      <c r="L19" s="138" t="s">
        <v>900</v>
      </c>
      <c r="M19" s="141" t="s">
        <v>901</v>
      </c>
      <c r="N19" s="138" t="s">
        <v>93</v>
      </c>
      <c r="O19" s="138"/>
      <c r="P19" s="71">
        <v>0.8</v>
      </c>
      <c r="Q19" s="477"/>
      <c r="R19" s="478"/>
      <c r="S19" s="478"/>
      <c r="T19" s="478"/>
      <c r="U19" s="479"/>
      <c r="V19" s="259">
        <v>680089988</v>
      </c>
      <c r="W19" s="259">
        <v>64326892613</v>
      </c>
      <c r="X19" s="138" t="s">
        <v>856</v>
      </c>
      <c r="Y19" s="278">
        <v>0.97699999999999998</v>
      </c>
      <c r="Z19" s="252">
        <v>0.8</v>
      </c>
      <c r="AA19" s="252">
        <v>1.22</v>
      </c>
      <c r="AB19" s="260" t="s">
        <v>902</v>
      </c>
      <c r="AC19" s="524"/>
      <c r="AD19" s="525"/>
      <c r="AE19" s="525"/>
      <c r="AF19" s="526"/>
      <c r="AG19" s="279">
        <v>1</v>
      </c>
      <c r="AH19" s="129">
        <v>0.8</v>
      </c>
      <c r="AI19" s="129">
        <v>1.25</v>
      </c>
      <c r="AJ19" s="261" t="s">
        <v>903</v>
      </c>
      <c r="AK19" s="527"/>
      <c r="AL19" s="528"/>
      <c r="AM19" s="528"/>
      <c r="AN19" s="529"/>
      <c r="AO19" s="279">
        <v>0.99</v>
      </c>
      <c r="AP19" s="72">
        <f t="shared" si="1"/>
        <v>0.8</v>
      </c>
      <c r="AQ19" s="142">
        <f>+AO19/AP19</f>
        <v>1.2374999999999998</v>
      </c>
      <c r="AR19" s="261" t="s">
        <v>904</v>
      </c>
      <c r="AS19" s="482"/>
      <c r="AT19" s="482"/>
      <c r="AU19" s="482"/>
      <c r="AV19" s="482"/>
      <c r="AW19" s="17"/>
      <c r="AX19" s="17"/>
      <c r="AY19" s="17"/>
      <c r="AZ19" s="17"/>
      <c r="BA19" s="17"/>
      <c r="BB19" s="17"/>
      <c r="BC19" s="17"/>
      <c r="BD19" s="17"/>
      <c r="BE19" s="17"/>
      <c r="BF19" s="17"/>
      <c r="BG19" s="17"/>
      <c r="BH19" s="17"/>
      <c r="BI19" s="17"/>
      <c r="BJ19" s="17"/>
      <c r="BK19" s="262">
        <v>0.98199999999999998</v>
      </c>
      <c r="BL19" s="263">
        <v>0.8</v>
      </c>
      <c r="BM19" s="264">
        <f t="shared" si="3"/>
        <v>1.2274999999999998</v>
      </c>
      <c r="BN19" s="261" t="s">
        <v>905</v>
      </c>
      <c r="BO19" s="482"/>
      <c r="BP19" s="482"/>
      <c r="BQ19" s="482"/>
      <c r="BR19" s="482"/>
      <c r="BS19" s="262">
        <v>0.98799999999999999</v>
      </c>
      <c r="BT19" s="263">
        <v>0.8</v>
      </c>
      <c r="BU19" s="264">
        <f t="shared" si="4"/>
        <v>1.2349999999999999</v>
      </c>
      <c r="BV19" s="261" t="s">
        <v>906</v>
      </c>
      <c r="BW19" s="482"/>
      <c r="BX19" s="482"/>
      <c r="BY19" s="482"/>
      <c r="BZ19" s="482"/>
      <c r="CA19" s="262">
        <v>0.99099999999999999</v>
      </c>
      <c r="CB19" s="263">
        <v>0.8</v>
      </c>
      <c r="CC19" s="264">
        <f t="shared" si="5"/>
        <v>1.23875</v>
      </c>
      <c r="CD19" s="265" t="s">
        <v>907</v>
      </c>
      <c r="CE19" s="482"/>
      <c r="CF19" s="482"/>
      <c r="CG19" s="482"/>
      <c r="CH19" s="482"/>
      <c r="CI19" s="262">
        <v>0.99099999999999999</v>
      </c>
      <c r="CJ19" s="263">
        <v>0.8</v>
      </c>
      <c r="CK19" s="264">
        <v>1.23875</v>
      </c>
      <c r="CL19" s="265" t="s">
        <v>908</v>
      </c>
      <c r="CM19" s="482"/>
      <c r="CN19" s="482"/>
      <c r="CO19" s="482"/>
      <c r="CP19" s="482"/>
      <c r="CQ19" s="262">
        <v>0.99199999999999999</v>
      </c>
      <c r="CR19" s="263">
        <v>0.95</v>
      </c>
      <c r="CS19" s="264">
        <f t="shared" si="6"/>
        <v>1.0442105263157895</v>
      </c>
      <c r="CT19" s="265" t="s">
        <v>909</v>
      </c>
      <c r="CU19" s="482"/>
      <c r="CV19" s="482"/>
      <c r="CW19" s="482"/>
      <c r="CX19" s="482"/>
      <c r="CY19" s="262">
        <v>0.99399999999999999</v>
      </c>
      <c r="CZ19" s="263">
        <v>0.95</v>
      </c>
      <c r="DA19" s="264">
        <f t="shared" si="16"/>
        <v>1.0463157894736843</v>
      </c>
      <c r="DB19" s="265" t="s">
        <v>910</v>
      </c>
      <c r="DC19" s="266"/>
      <c r="DD19" s="267"/>
      <c r="DE19" s="94">
        <f t="shared" si="17"/>
        <v>8.7158105263157903</v>
      </c>
      <c r="DF19" s="94">
        <f t="shared" si="7"/>
        <v>8.6982736842105268</v>
      </c>
      <c r="DG19" s="94">
        <f t="shared" si="8"/>
        <v>10.318787499999999</v>
      </c>
      <c r="DH19" s="94">
        <f t="shared" si="9"/>
        <v>10.318787499999999</v>
      </c>
      <c r="DI19" s="94">
        <f t="shared" si="10"/>
        <v>10.28755</v>
      </c>
      <c r="DJ19" s="94">
        <f t="shared" si="11"/>
        <v>10.225074999999999</v>
      </c>
      <c r="DK19" s="94">
        <f t="shared" si="12"/>
        <v>10.308375</v>
      </c>
      <c r="DL19" s="94">
        <f t="shared" si="13"/>
        <v>10.4125</v>
      </c>
      <c r="DM19" s="94">
        <f t="shared" si="14"/>
        <v>10.1730125</v>
      </c>
      <c r="DN19" s="94">
        <f t="shared" si="18"/>
        <v>89.458171710526315</v>
      </c>
      <c r="DO19" s="94">
        <f t="shared" si="19"/>
        <v>80.742361184210523</v>
      </c>
      <c r="DP19" s="94">
        <f t="shared" si="15"/>
        <v>0.89458171710526313</v>
      </c>
      <c r="DQ19" s="94">
        <f t="shared" si="15"/>
        <v>0.8074236118421052</v>
      </c>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c r="IV19" s="17"/>
      <c r="IW19" s="17"/>
      <c r="IX19" s="17"/>
      <c r="IY19" s="17"/>
      <c r="IZ19" s="17"/>
      <c r="JA19" s="17"/>
      <c r="JB19" s="17"/>
      <c r="JC19" s="17"/>
      <c r="JD19" s="17"/>
      <c r="JE19" s="17"/>
      <c r="JF19" s="17"/>
      <c r="JG19" s="17"/>
      <c r="JH19" s="17"/>
      <c r="JI19" s="17"/>
      <c r="JJ19" s="17"/>
      <c r="JK19" s="17"/>
      <c r="JL19" s="17"/>
      <c r="JM19" s="17"/>
      <c r="JN19" s="17"/>
      <c r="JO19" s="17"/>
      <c r="JP19" s="17"/>
      <c r="JQ19" s="17"/>
      <c r="JR19" s="17"/>
      <c r="JS19" s="17"/>
      <c r="JT19" s="17"/>
      <c r="JU19" s="17"/>
      <c r="JV19" s="17"/>
      <c r="JW19" s="17"/>
      <c r="JX19" s="17"/>
      <c r="JY19" s="17"/>
      <c r="JZ19" s="17"/>
      <c r="KA19" s="17"/>
      <c r="KB19" s="17"/>
      <c r="KC19" s="17"/>
      <c r="KD19" s="17"/>
      <c r="KE19" s="17"/>
      <c r="KF19" s="17"/>
      <c r="KG19" s="17"/>
      <c r="KH19" s="17"/>
      <c r="KI19" s="17"/>
      <c r="KJ19" s="17"/>
      <c r="KK19" s="17"/>
      <c r="KL19" s="17"/>
      <c r="KM19" s="17"/>
      <c r="KN19" s="17"/>
      <c r="KO19" s="17"/>
      <c r="KP19" s="17"/>
      <c r="KQ19" s="17"/>
      <c r="KR19" s="17"/>
      <c r="KS19" s="17"/>
      <c r="KT19" s="17"/>
      <c r="KU19" s="17"/>
      <c r="KV19" s="17"/>
      <c r="KW19" s="17"/>
      <c r="KX19" s="17"/>
      <c r="KY19" s="17"/>
      <c r="KZ19" s="17"/>
      <c r="LA19" s="17"/>
      <c r="LB19" s="17"/>
      <c r="LC19" s="17"/>
      <c r="LD19" s="17"/>
      <c r="LE19" s="17"/>
      <c r="LF19" s="17"/>
      <c r="LG19" s="17"/>
      <c r="LH19" s="17"/>
      <c r="LI19" s="17"/>
      <c r="LJ19" s="17"/>
      <c r="LK19" s="17"/>
      <c r="LL19" s="17"/>
      <c r="LM19" s="17"/>
      <c r="LN19" s="17"/>
      <c r="LO19" s="17"/>
      <c r="LP19" s="17"/>
      <c r="LQ19" s="17"/>
      <c r="LR19" s="17"/>
      <c r="LS19" s="17"/>
      <c r="LT19" s="17"/>
      <c r="LU19" s="17"/>
      <c r="LV19" s="17"/>
      <c r="LW19" s="17"/>
      <c r="LX19" s="17"/>
      <c r="LY19" s="17"/>
      <c r="LZ19" s="17"/>
      <c r="MA19" s="17"/>
      <c r="MB19" s="17"/>
      <c r="MC19" s="17"/>
      <c r="MD19" s="17"/>
      <c r="ME19" s="17"/>
      <c r="MF19" s="17"/>
      <c r="MG19" s="17"/>
      <c r="MH19" s="17"/>
      <c r="MI19" s="17"/>
      <c r="MJ19" s="17"/>
      <c r="MK19" s="17"/>
      <c r="ML19" s="17"/>
      <c r="MM19" s="17"/>
      <c r="MN19" s="17"/>
      <c r="MO19" s="17"/>
      <c r="MP19" s="17"/>
      <c r="MQ19" s="17"/>
      <c r="MR19" s="17"/>
      <c r="MS19" s="17"/>
      <c r="MT19" s="17"/>
      <c r="MU19" s="17"/>
      <c r="MV19" s="17"/>
      <c r="MW19" s="17"/>
      <c r="MX19" s="17"/>
      <c r="MY19" s="17"/>
      <c r="MZ19" s="17"/>
      <c r="NA19" s="17"/>
      <c r="NB19" s="17"/>
      <c r="NC19" s="17"/>
      <c r="ND19" s="17"/>
      <c r="NE19" s="17"/>
      <c r="NF19" s="17"/>
      <c r="NG19" s="17"/>
      <c r="NH19" s="17"/>
      <c r="NI19" s="17"/>
      <c r="NJ19" s="17"/>
      <c r="NK19" s="17"/>
      <c r="NL19" s="17"/>
      <c r="NM19" s="17"/>
      <c r="NN19" s="17"/>
      <c r="NO19" s="17"/>
      <c r="NP19" s="17"/>
      <c r="NQ19" s="17"/>
      <c r="NR19" s="17"/>
      <c r="NS19" s="17"/>
      <c r="NT19" s="17"/>
      <c r="NU19" s="17"/>
      <c r="NV19" s="17"/>
      <c r="NW19" s="17"/>
      <c r="NX19" s="17"/>
      <c r="NY19" s="17"/>
      <c r="NZ19" s="17"/>
      <c r="OA19" s="17"/>
      <c r="OB19" s="17"/>
      <c r="OC19" s="17"/>
      <c r="OD19" s="17"/>
      <c r="OE19" s="17"/>
      <c r="OF19" s="17"/>
      <c r="OG19" s="17"/>
      <c r="OH19" s="17"/>
      <c r="OI19" s="17"/>
      <c r="OJ19" s="17"/>
      <c r="OK19" s="17"/>
      <c r="OL19" s="17"/>
      <c r="OM19" s="17"/>
      <c r="ON19" s="17"/>
      <c r="OO19" s="17"/>
      <c r="OP19" s="17"/>
      <c r="OQ19" s="17"/>
      <c r="OR19" s="17"/>
      <c r="OS19" s="17"/>
      <c r="OT19" s="17"/>
      <c r="OU19" s="17"/>
      <c r="OV19" s="17"/>
      <c r="OW19" s="17"/>
      <c r="OX19" s="17"/>
      <c r="OY19" s="17"/>
      <c r="OZ19" s="17"/>
      <c r="PA19" s="17"/>
      <c r="PB19" s="17"/>
      <c r="PC19" s="17"/>
      <c r="PD19" s="17"/>
      <c r="PE19" s="17"/>
      <c r="PF19" s="17"/>
      <c r="PG19" s="17"/>
      <c r="PH19" s="17"/>
      <c r="PI19" s="17"/>
      <c r="PJ19" s="17"/>
      <c r="PK19" s="17"/>
      <c r="PL19" s="17"/>
      <c r="PM19" s="17"/>
      <c r="PN19" s="17"/>
      <c r="PO19" s="17"/>
      <c r="PP19" s="17"/>
      <c r="PQ19" s="17"/>
      <c r="PR19" s="17"/>
      <c r="PS19" s="17"/>
      <c r="PT19" s="17"/>
      <c r="PU19" s="17"/>
      <c r="PV19" s="17"/>
      <c r="PW19" s="17"/>
      <c r="PX19" s="17"/>
      <c r="PY19" s="17"/>
      <c r="PZ19" s="17"/>
      <c r="QA19" s="17"/>
      <c r="QB19" s="17"/>
      <c r="QC19" s="17"/>
      <c r="QD19" s="17"/>
      <c r="QE19" s="17"/>
      <c r="QF19" s="17"/>
      <c r="QG19" s="17"/>
      <c r="QH19" s="17"/>
      <c r="QI19" s="17"/>
      <c r="QJ19" s="17"/>
      <c r="QK19" s="17"/>
      <c r="QL19" s="17"/>
      <c r="QM19" s="17"/>
      <c r="QN19" s="17"/>
      <c r="QO19" s="17"/>
      <c r="QP19" s="17"/>
      <c r="QQ19" s="17"/>
      <c r="QR19" s="17"/>
      <c r="QS19" s="17"/>
      <c r="QT19" s="17"/>
      <c r="QU19" s="17"/>
      <c r="QV19" s="17"/>
      <c r="QW19" s="17"/>
      <c r="QX19" s="17"/>
      <c r="QY19" s="17"/>
      <c r="QZ19" s="17"/>
      <c r="RA19" s="17"/>
      <c r="RB19" s="17"/>
      <c r="RC19" s="17"/>
      <c r="RD19" s="17"/>
      <c r="RE19" s="17"/>
      <c r="RF19" s="17"/>
      <c r="RG19" s="17"/>
      <c r="RH19" s="17"/>
      <c r="RI19" s="17"/>
      <c r="RJ19" s="17"/>
      <c r="RK19" s="17"/>
      <c r="RL19" s="17"/>
      <c r="RM19" s="17"/>
      <c r="RN19" s="17"/>
      <c r="RO19" s="17"/>
      <c r="RP19" s="17"/>
      <c r="RQ19" s="17"/>
      <c r="RR19" s="17"/>
      <c r="RS19" s="17"/>
      <c r="RT19" s="17"/>
      <c r="RU19" s="17"/>
      <c r="RV19" s="17"/>
      <c r="RW19" s="17"/>
      <c r="RX19" s="17"/>
      <c r="RY19" s="17"/>
      <c r="RZ19" s="17"/>
      <c r="SA19" s="17"/>
      <c r="SB19" s="17"/>
      <c r="SC19" s="17"/>
      <c r="SD19" s="17"/>
      <c r="SE19" s="17"/>
      <c r="SF19" s="17"/>
      <c r="SG19" s="17"/>
      <c r="SH19" s="17"/>
      <c r="SI19" s="17"/>
      <c r="SJ19" s="17"/>
      <c r="SK19" s="17"/>
      <c r="SL19" s="17"/>
      <c r="SM19" s="17"/>
      <c r="SN19" s="17"/>
      <c r="SO19" s="17"/>
      <c r="SP19" s="17"/>
      <c r="SQ19" s="17"/>
      <c r="SR19" s="17"/>
      <c r="SS19" s="17"/>
      <c r="ST19" s="17"/>
      <c r="SU19" s="17"/>
      <c r="SV19" s="17"/>
      <c r="SW19" s="17"/>
      <c r="SX19" s="17"/>
      <c r="SY19" s="17"/>
      <c r="SZ19" s="17"/>
      <c r="TA19" s="17"/>
      <c r="TB19" s="17"/>
      <c r="TC19" s="17"/>
      <c r="TD19" s="17"/>
      <c r="TE19" s="17"/>
      <c r="TF19" s="17"/>
      <c r="TG19" s="17"/>
      <c r="TH19" s="17"/>
      <c r="TI19" s="17"/>
      <c r="TJ19" s="17"/>
      <c r="TK19" s="17"/>
      <c r="TL19" s="17"/>
      <c r="TM19" s="17"/>
      <c r="TN19" s="17"/>
      <c r="TO19" s="17"/>
      <c r="TP19" s="17"/>
      <c r="TQ19" s="17"/>
      <c r="TR19" s="17"/>
      <c r="TS19" s="17"/>
      <c r="TT19" s="17"/>
      <c r="TU19" s="17"/>
      <c r="TV19" s="17"/>
      <c r="TW19" s="17"/>
      <c r="TX19" s="17"/>
      <c r="TY19" s="17"/>
      <c r="TZ19" s="17"/>
      <c r="UA19" s="17"/>
      <c r="UB19" s="17"/>
      <c r="UC19" s="17"/>
      <c r="UD19" s="17"/>
      <c r="UE19" s="17"/>
      <c r="UF19" s="17"/>
      <c r="UG19" s="17"/>
      <c r="UH19" s="17"/>
      <c r="UI19" s="17"/>
      <c r="UJ19" s="17"/>
      <c r="UK19" s="17"/>
      <c r="UL19" s="17"/>
      <c r="UM19" s="17"/>
      <c r="UN19" s="17"/>
      <c r="UO19" s="17"/>
      <c r="UP19" s="17"/>
      <c r="UQ19" s="17"/>
      <c r="UR19" s="17"/>
      <c r="US19" s="17"/>
      <c r="UT19" s="17"/>
      <c r="UU19" s="17"/>
      <c r="UV19" s="17"/>
      <c r="UW19" s="17"/>
      <c r="UX19" s="17"/>
      <c r="UY19" s="17"/>
      <c r="UZ19" s="17"/>
      <c r="VA19" s="17"/>
      <c r="VB19" s="17"/>
      <c r="VC19" s="17"/>
      <c r="VD19" s="17"/>
      <c r="VE19" s="17"/>
      <c r="VF19" s="17"/>
      <c r="VG19" s="17"/>
      <c r="VH19" s="17"/>
      <c r="VI19" s="17"/>
      <c r="VJ19" s="17"/>
      <c r="VK19" s="17"/>
      <c r="VL19" s="17"/>
      <c r="VM19" s="17"/>
      <c r="VN19" s="17"/>
      <c r="VO19" s="17"/>
      <c r="VP19" s="17"/>
      <c r="VQ19" s="17"/>
      <c r="VR19" s="17"/>
      <c r="VS19" s="17"/>
      <c r="VT19" s="17"/>
      <c r="VU19" s="17"/>
      <c r="VV19" s="17"/>
      <c r="VW19" s="17"/>
      <c r="VX19" s="17"/>
      <c r="VY19" s="17"/>
      <c r="VZ19" s="17"/>
      <c r="WA19" s="17"/>
      <c r="WB19" s="17"/>
      <c r="WC19" s="17"/>
      <c r="WD19" s="17"/>
      <c r="WE19" s="17"/>
      <c r="WF19" s="17"/>
      <c r="WG19" s="17"/>
      <c r="WH19" s="17"/>
      <c r="WI19" s="17"/>
      <c r="WJ19" s="17"/>
      <c r="WK19" s="17"/>
      <c r="WL19" s="17"/>
      <c r="WM19" s="17"/>
      <c r="WN19" s="17"/>
      <c r="WO19" s="17"/>
      <c r="WP19" s="17"/>
      <c r="WQ19" s="17"/>
      <c r="WR19" s="17"/>
      <c r="WS19" s="17"/>
      <c r="WT19" s="17"/>
      <c r="WU19" s="17"/>
      <c r="WV19" s="17"/>
      <c r="WW19" s="17"/>
      <c r="WX19" s="17"/>
      <c r="WY19" s="17"/>
      <c r="WZ19" s="17"/>
      <c r="XA19" s="17"/>
      <c r="XB19" s="17"/>
      <c r="XC19" s="17"/>
      <c r="XD19" s="17"/>
      <c r="XE19" s="17"/>
      <c r="XF19" s="17"/>
      <c r="XG19" s="17"/>
      <c r="XH19" s="17"/>
      <c r="XI19" s="17"/>
      <c r="XJ19" s="17"/>
      <c r="XK19" s="17"/>
      <c r="XL19" s="17"/>
      <c r="XM19" s="17"/>
      <c r="XN19" s="17"/>
      <c r="XO19" s="17"/>
      <c r="XP19" s="17"/>
      <c r="XQ19" s="17"/>
      <c r="XR19" s="17"/>
      <c r="XS19" s="17"/>
      <c r="XT19" s="17"/>
      <c r="XU19" s="17"/>
      <c r="XV19" s="17"/>
      <c r="XW19" s="17"/>
      <c r="XX19" s="17"/>
      <c r="XY19" s="17"/>
      <c r="XZ19" s="17"/>
      <c r="YA19" s="17"/>
      <c r="YB19" s="17"/>
      <c r="YC19" s="17"/>
      <c r="YD19" s="17"/>
      <c r="YE19" s="17"/>
      <c r="YF19" s="17"/>
      <c r="YG19" s="17"/>
      <c r="YH19" s="17"/>
      <c r="YI19" s="17"/>
      <c r="YJ19" s="17"/>
      <c r="YK19" s="17"/>
      <c r="YL19" s="17"/>
      <c r="YM19" s="17"/>
      <c r="YN19" s="17"/>
      <c r="YO19" s="17"/>
      <c r="YP19" s="17"/>
      <c r="YQ19" s="17"/>
      <c r="YR19" s="17"/>
      <c r="YS19" s="17"/>
      <c r="YT19" s="17"/>
      <c r="YU19" s="17"/>
      <c r="YV19" s="17"/>
      <c r="YW19" s="17"/>
      <c r="YX19" s="17"/>
      <c r="YY19" s="17"/>
      <c r="YZ19" s="17"/>
      <c r="ZA19" s="17"/>
      <c r="ZB19" s="17"/>
      <c r="ZC19" s="17"/>
      <c r="ZD19" s="17"/>
      <c r="ZE19" s="17"/>
      <c r="ZF19" s="17"/>
      <c r="ZG19" s="17"/>
      <c r="ZH19" s="17"/>
      <c r="ZI19" s="17"/>
      <c r="ZJ19" s="17"/>
      <c r="ZK19" s="17"/>
      <c r="ZL19" s="17"/>
      <c r="ZM19" s="17"/>
      <c r="ZN19" s="17"/>
      <c r="ZO19" s="17"/>
      <c r="ZP19" s="17"/>
      <c r="ZQ19" s="17"/>
      <c r="ZR19" s="17"/>
      <c r="ZS19" s="17"/>
      <c r="ZT19" s="17"/>
      <c r="ZU19" s="17"/>
      <c r="ZV19" s="17"/>
      <c r="ZW19" s="17"/>
      <c r="ZX19" s="17"/>
      <c r="ZY19" s="17"/>
      <c r="ZZ19" s="17"/>
      <c r="AAA19" s="17"/>
      <c r="AAB19" s="17"/>
      <c r="AAC19" s="17"/>
      <c r="AAD19" s="17"/>
      <c r="AAE19" s="17"/>
      <c r="AAF19" s="17"/>
      <c r="AAG19" s="17"/>
    </row>
    <row r="20" spans="1:709" s="75" customFormat="1" ht="132" customHeight="1" x14ac:dyDescent="0.25">
      <c r="A20" s="78" t="s">
        <v>47</v>
      </c>
      <c r="B20" s="78" t="s">
        <v>48</v>
      </c>
      <c r="C20" s="78" t="s">
        <v>49</v>
      </c>
      <c r="D20" s="78" t="s">
        <v>717</v>
      </c>
      <c r="E20" s="78" t="s">
        <v>90</v>
      </c>
      <c r="F20" s="78" t="s">
        <v>52</v>
      </c>
      <c r="G20" s="78" t="s">
        <v>53</v>
      </c>
      <c r="H20" s="78" t="s">
        <v>54</v>
      </c>
      <c r="I20" s="78" t="s">
        <v>55</v>
      </c>
      <c r="J20" s="135" t="s">
        <v>852</v>
      </c>
      <c r="K20" s="135" t="s">
        <v>853</v>
      </c>
      <c r="L20" s="135" t="s">
        <v>911</v>
      </c>
      <c r="M20" s="139" t="s">
        <v>912</v>
      </c>
      <c r="N20" s="135" t="s">
        <v>93</v>
      </c>
      <c r="O20" s="135"/>
      <c r="P20" s="136">
        <v>0.8</v>
      </c>
      <c r="Q20" s="477"/>
      <c r="R20" s="478"/>
      <c r="S20" s="478"/>
      <c r="T20" s="478"/>
      <c r="U20" s="479"/>
      <c r="V20" s="268">
        <v>623360902</v>
      </c>
      <c r="W20" s="268">
        <v>64326892613</v>
      </c>
      <c r="X20" s="135" t="s">
        <v>856</v>
      </c>
      <c r="Y20" s="269">
        <v>1</v>
      </c>
      <c r="Z20" s="269">
        <v>0.8</v>
      </c>
      <c r="AA20" s="269">
        <v>1.25</v>
      </c>
      <c r="AB20" s="270" t="s">
        <v>913</v>
      </c>
      <c r="AC20" s="518"/>
      <c r="AD20" s="519"/>
      <c r="AE20" s="519"/>
      <c r="AF20" s="520"/>
      <c r="AG20" s="280">
        <v>0.97199999999999998</v>
      </c>
      <c r="AH20" s="271">
        <v>0.8</v>
      </c>
      <c r="AI20" s="271">
        <v>1.21</v>
      </c>
      <c r="AJ20" s="272" t="s">
        <v>914</v>
      </c>
      <c r="AK20" s="521"/>
      <c r="AL20" s="522"/>
      <c r="AM20" s="522"/>
      <c r="AN20" s="523"/>
      <c r="AO20" s="271">
        <v>0.98</v>
      </c>
      <c r="AP20" s="92">
        <f t="shared" si="1"/>
        <v>0.8</v>
      </c>
      <c r="AQ20" s="140">
        <f t="shared" si="2"/>
        <v>1.2249999999999999</v>
      </c>
      <c r="AR20" s="272" t="s">
        <v>915</v>
      </c>
      <c r="AS20" s="387"/>
      <c r="AT20" s="387"/>
      <c r="AU20" s="387"/>
      <c r="AV20" s="387"/>
      <c r="AW20" s="17"/>
      <c r="AX20" s="17"/>
      <c r="AY20" s="17"/>
      <c r="AZ20" s="17"/>
      <c r="BA20" s="17"/>
      <c r="BB20" s="17"/>
      <c r="BC20" s="17"/>
      <c r="BD20" s="17"/>
      <c r="BE20" s="17"/>
      <c r="BF20" s="17"/>
      <c r="BG20" s="17"/>
      <c r="BH20" s="17"/>
      <c r="BI20" s="17"/>
      <c r="BJ20" s="17"/>
      <c r="BK20" s="273">
        <v>1</v>
      </c>
      <c r="BL20" s="274">
        <v>0.8</v>
      </c>
      <c r="BM20" s="275">
        <f t="shared" si="3"/>
        <v>1.25</v>
      </c>
      <c r="BN20" s="272" t="s">
        <v>916</v>
      </c>
      <c r="BO20" s="387"/>
      <c r="BP20" s="387"/>
      <c r="BQ20" s="387"/>
      <c r="BR20" s="387"/>
      <c r="BS20" s="273">
        <v>1</v>
      </c>
      <c r="BT20" s="274">
        <v>0.8</v>
      </c>
      <c r="BU20" s="275">
        <f t="shared" si="4"/>
        <v>1.25</v>
      </c>
      <c r="BV20" s="272" t="s">
        <v>917</v>
      </c>
      <c r="BW20" s="387"/>
      <c r="BX20" s="387"/>
      <c r="BY20" s="387"/>
      <c r="BZ20" s="387"/>
      <c r="CA20" s="273">
        <v>1</v>
      </c>
      <c r="CB20" s="274">
        <v>0.8</v>
      </c>
      <c r="CC20" s="275">
        <f t="shared" si="5"/>
        <v>1.25</v>
      </c>
      <c r="CD20" s="276" t="s">
        <v>918</v>
      </c>
      <c r="CE20" s="387"/>
      <c r="CF20" s="387"/>
      <c r="CG20" s="387"/>
      <c r="CH20" s="387"/>
      <c r="CI20" s="273">
        <v>1</v>
      </c>
      <c r="CJ20" s="274">
        <v>0.8</v>
      </c>
      <c r="CK20" s="275">
        <v>1.25</v>
      </c>
      <c r="CL20" s="276" t="s">
        <v>919</v>
      </c>
      <c r="CM20" s="387"/>
      <c r="CN20" s="387"/>
      <c r="CO20" s="387"/>
      <c r="CP20" s="387"/>
      <c r="CQ20" s="273">
        <v>0.99099999999999999</v>
      </c>
      <c r="CR20" s="274">
        <v>0.95</v>
      </c>
      <c r="CS20" s="275">
        <f t="shared" si="6"/>
        <v>1.0431578947368421</v>
      </c>
      <c r="CT20" s="276" t="s">
        <v>920</v>
      </c>
      <c r="CU20" s="387"/>
      <c r="CV20" s="387"/>
      <c r="CW20" s="387"/>
      <c r="CX20" s="387"/>
      <c r="CY20" s="273">
        <v>1</v>
      </c>
      <c r="CZ20" s="274">
        <v>0.95</v>
      </c>
      <c r="DA20" s="275">
        <f t="shared" si="16"/>
        <v>1.0526315789473684</v>
      </c>
      <c r="DB20" s="276" t="s">
        <v>921</v>
      </c>
      <c r="DC20" s="266"/>
      <c r="DD20" s="267"/>
      <c r="DE20" s="94">
        <f>(CY20*8.33)/CZ20</f>
        <v>8.7684210526315791</v>
      </c>
      <c r="DF20" s="94">
        <f t="shared" si="7"/>
        <v>8.6895052631578942</v>
      </c>
      <c r="DG20" s="94">
        <f t="shared" si="8"/>
        <v>10.4125</v>
      </c>
      <c r="DH20" s="94">
        <f t="shared" si="9"/>
        <v>10.4125</v>
      </c>
      <c r="DI20" s="94">
        <f t="shared" si="10"/>
        <v>10.4125</v>
      </c>
      <c r="DJ20" s="94">
        <f t="shared" si="11"/>
        <v>10.4125</v>
      </c>
      <c r="DK20" s="94">
        <f t="shared" si="12"/>
        <v>10.204249999999998</v>
      </c>
      <c r="DL20" s="94">
        <f t="shared" si="13"/>
        <v>10.120949999999999</v>
      </c>
      <c r="DM20" s="94">
        <f t="shared" si="14"/>
        <v>10.4125</v>
      </c>
      <c r="DN20" s="94">
        <f t="shared" si="18"/>
        <v>89.845626315789474</v>
      </c>
      <c r="DO20" s="94">
        <f t="shared" si="19"/>
        <v>81.077205263157879</v>
      </c>
      <c r="DP20" s="94">
        <f t="shared" si="15"/>
        <v>0.89845626315789473</v>
      </c>
      <c r="DQ20" s="94">
        <f t="shared" si="15"/>
        <v>0.81077205263157881</v>
      </c>
      <c r="DR20" s="94"/>
      <c r="DS20" s="9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c r="IV20" s="17"/>
      <c r="IW20" s="17"/>
      <c r="IX20" s="17"/>
      <c r="IY20" s="17"/>
      <c r="IZ20" s="17"/>
      <c r="JA20" s="17"/>
      <c r="JB20" s="17"/>
      <c r="JC20" s="17"/>
      <c r="JD20" s="17"/>
      <c r="JE20" s="17"/>
      <c r="JF20" s="17"/>
      <c r="JG20" s="17"/>
      <c r="JH20" s="17"/>
      <c r="JI20" s="17"/>
      <c r="JJ20" s="17"/>
      <c r="JK20" s="17"/>
      <c r="JL20" s="17"/>
      <c r="JM20" s="17"/>
      <c r="JN20" s="17"/>
      <c r="JO20" s="17"/>
      <c r="JP20" s="17"/>
      <c r="JQ20" s="17"/>
      <c r="JR20" s="17"/>
      <c r="JS20" s="17"/>
      <c r="JT20" s="17"/>
      <c r="JU20" s="17"/>
      <c r="JV20" s="17"/>
      <c r="JW20" s="17"/>
      <c r="JX20" s="17"/>
      <c r="JY20" s="17"/>
      <c r="JZ20" s="17"/>
      <c r="KA20" s="17"/>
      <c r="KB20" s="17"/>
      <c r="KC20" s="17"/>
      <c r="KD20" s="17"/>
      <c r="KE20" s="17"/>
      <c r="KF20" s="17"/>
      <c r="KG20" s="17"/>
      <c r="KH20" s="17"/>
      <c r="KI20" s="17"/>
      <c r="KJ20" s="17"/>
      <c r="KK20" s="17"/>
      <c r="KL20" s="17"/>
      <c r="KM20" s="17"/>
      <c r="KN20" s="17"/>
      <c r="KO20" s="17"/>
      <c r="KP20" s="17"/>
      <c r="KQ20" s="17"/>
      <c r="KR20" s="17"/>
      <c r="KS20" s="17"/>
      <c r="KT20" s="17"/>
      <c r="KU20" s="17"/>
      <c r="KV20" s="17"/>
      <c r="KW20" s="17"/>
      <c r="KX20" s="17"/>
      <c r="KY20" s="17"/>
      <c r="KZ20" s="17"/>
      <c r="LA20" s="17"/>
      <c r="LB20" s="17"/>
      <c r="LC20" s="17"/>
      <c r="LD20" s="17"/>
      <c r="LE20" s="17"/>
      <c r="LF20" s="17"/>
      <c r="LG20" s="17"/>
      <c r="LH20" s="17"/>
      <c r="LI20" s="17"/>
      <c r="LJ20" s="17"/>
      <c r="LK20" s="17"/>
      <c r="LL20" s="17"/>
      <c r="LM20" s="17"/>
      <c r="LN20" s="17"/>
      <c r="LO20" s="17"/>
      <c r="LP20" s="17"/>
      <c r="LQ20" s="17"/>
      <c r="LR20" s="17"/>
      <c r="LS20" s="17"/>
      <c r="LT20" s="17"/>
      <c r="LU20" s="17"/>
      <c r="LV20" s="17"/>
      <c r="LW20" s="17"/>
      <c r="LX20" s="17"/>
      <c r="LY20" s="17"/>
      <c r="LZ20" s="17"/>
      <c r="MA20" s="17"/>
      <c r="MB20" s="17"/>
      <c r="MC20" s="17"/>
      <c r="MD20" s="17"/>
      <c r="ME20" s="17"/>
      <c r="MF20" s="17"/>
      <c r="MG20" s="17"/>
      <c r="MH20" s="17"/>
      <c r="MI20" s="17"/>
      <c r="MJ20" s="17"/>
      <c r="MK20" s="17"/>
      <c r="ML20" s="17"/>
      <c r="MM20" s="17"/>
      <c r="MN20" s="17"/>
      <c r="MO20" s="17"/>
      <c r="MP20" s="17"/>
      <c r="MQ20" s="17"/>
      <c r="MR20" s="17"/>
      <c r="MS20" s="17"/>
      <c r="MT20" s="17"/>
      <c r="MU20" s="17"/>
      <c r="MV20" s="17"/>
      <c r="MW20" s="17"/>
      <c r="MX20" s="17"/>
      <c r="MY20" s="17"/>
      <c r="MZ20" s="17"/>
      <c r="NA20" s="17"/>
      <c r="NB20" s="17"/>
      <c r="NC20" s="17"/>
      <c r="ND20" s="17"/>
      <c r="NE20" s="17"/>
      <c r="NF20" s="17"/>
      <c r="NG20" s="17"/>
      <c r="NH20" s="17"/>
      <c r="NI20" s="17"/>
      <c r="NJ20" s="17"/>
      <c r="NK20" s="17"/>
      <c r="NL20" s="17"/>
      <c r="NM20" s="17"/>
      <c r="NN20" s="17"/>
      <c r="NO20" s="17"/>
      <c r="NP20" s="17"/>
      <c r="NQ20" s="17"/>
      <c r="NR20" s="17"/>
      <c r="NS20" s="17"/>
      <c r="NT20" s="17"/>
      <c r="NU20" s="17"/>
      <c r="NV20" s="17"/>
      <c r="NW20" s="17"/>
      <c r="NX20" s="17"/>
      <c r="NY20" s="17"/>
      <c r="NZ20" s="17"/>
      <c r="OA20" s="17"/>
      <c r="OB20" s="17"/>
      <c r="OC20" s="17"/>
      <c r="OD20" s="17"/>
      <c r="OE20" s="17"/>
      <c r="OF20" s="17"/>
      <c r="OG20" s="17"/>
      <c r="OH20" s="17"/>
      <c r="OI20" s="17"/>
      <c r="OJ20" s="17"/>
      <c r="OK20" s="17"/>
      <c r="OL20" s="17"/>
      <c r="OM20" s="17"/>
      <c r="ON20" s="17"/>
      <c r="OO20" s="17"/>
      <c r="OP20" s="17"/>
      <c r="OQ20" s="17"/>
      <c r="OR20" s="17"/>
      <c r="OS20" s="17"/>
      <c r="OT20" s="17"/>
      <c r="OU20" s="17"/>
      <c r="OV20" s="17"/>
      <c r="OW20" s="17"/>
      <c r="OX20" s="17"/>
      <c r="OY20" s="17"/>
      <c r="OZ20" s="17"/>
      <c r="PA20" s="17"/>
      <c r="PB20" s="17"/>
      <c r="PC20" s="17"/>
      <c r="PD20" s="17"/>
      <c r="PE20" s="17"/>
      <c r="PF20" s="17"/>
      <c r="PG20" s="17"/>
      <c r="PH20" s="17"/>
      <c r="PI20" s="17"/>
      <c r="PJ20" s="17"/>
      <c r="PK20" s="17"/>
      <c r="PL20" s="17"/>
      <c r="PM20" s="17"/>
      <c r="PN20" s="17"/>
      <c r="PO20" s="17"/>
      <c r="PP20" s="17"/>
      <c r="PQ20" s="17"/>
      <c r="PR20" s="17"/>
      <c r="PS20" s="17"/>
      <c r="PT20" s="17"/>
      <c r="PU20" s="17"/>
      <c r="PV20" s="17"/>
      <c r="PW20" s="17"/>
      <c r="PX20" s="17"/>
      <c r="PY20" s="17"/>
      <c r="PZ20" s="17"/>
      <c r="QA20" s="17"/>
      <c r="QB20" s="17"/>
      <c r="QC20" s="17"/>
      <c r="QD20" s="17"/>
      <c r="QE20" s="17"/>
      <c r="QF20" s="17"/>
      <c r="QG20" s="17"/>
      <c r="QH20" s="17"/>
      <c r="QI20" s="17"/>
      <c r="QJ20" s="17"/>
      <c r="QK20" s="17"/>
      <c r="QL20" s="17"/>
      <c r="QM20" s="17"/>
      <c r="QN20" s="17"/>
      <c r="QO20" s="17"/>
      <c r="QP20" s="17"/>
      <c r="QQ20" s="17"/>
      <c r="QR20" s="17"/>
      <c r="QS20" s="17"/>
      <c r="QT20" s="17"/>
      <c r="QU20" s="17"/>
      <c r="QV20" s="17"/>
      <c r="QW20" s="17"/>
      <c r="QX20" s="17"/>
      <c r="QY20" s="17"/>
      <c r="QZ20" s="17"/>
      <c r="RA20" s="17"/>
      <c r="RB20" s="17"/>
      <c r="RC20" s="17"/>
      <c r="RD20" s="17"/>
      <c r="RE20" s="17"/>
      <c r="RF20" s="17"/>
      <c r="RG20" s="17"/>
      <c r="RH20" s="17"/>
      <c r="RI20" s="17"/>
      <c r="RJ20" s="17"/>
      <c r="RK20" s="17"/>
      <c r="RL20" s="17"/>
      <c r="RM20" s="17"/>
      <c r="RN20" s="17"/>
      <c r="RO20" s="17"/>
      <c r="RP20" s="17"/>
      <c r="RQ20" s="17"/>
      <c r="RR20" s="17"/>
      <c r="RS20" s="17"/>
      <c r="RT20" s="17"/>
      <c r="RU20" s="17"/>
      <c r="RV20" s="17"/>
      <c r="RW20" s="17"/>
      <c r="RX20" s="17"/>
      <c r="RY20" s="17"/>
      <c r="RZ20" s="17"/>
      <c r="SA20" s="17"/>
      <c r="SB20" s="17"/>
      <c r="SC20" s="17"/>
      <c r="SD20" s="17"/>
      <c r="SE20" s="17"/>
      <c r="SF20" s="17"/>
      <c r="SG20" s="17"/>
      <c r="SH20" s="17"/>
      <c r="SI20" s="17"/>
      <c r="SJ20" s="17"/>
      <c r="SK20" s="17"/>
      <c r="SL20" s="17"/>
      <c r="SM20" s="17"/>
      <c r="SN20" s="17"/>
      <c r="SO20" s="17"/>
      <c r="SP20" s="17"/>
      <c r="SQ20" s="17"/>
      <c r="SR20" s="17"/>
      <c r="SS20" s="17"/>
      <c r="ST20" s="17"/>
      <c r="SU20" s="17"/>
      <c r="SV20" s="17"/>
      <c r="SW20" s="17"/>
      <c r="SX20" s="17"/>
      <c r="SY20" s="17"/>
      <c r="SZ20" s="17"/>
      <c r="TA20" s="17"/>
      <c r="TB20" s="17"/>
      <c r="TC20" s="17"/>
      <c r="TD20" s="17"/>
      <c r="TE20" s="17"/>
      <c r="TF20" s="17"/>
      <c r="TG20" s="17"/>
      <c r="TH20" s="17"/>
      <c r="TI20" s="17"/>
      <c r="TJ20" s="17"/>
      <c r="TK20" s="17"/>
      <c r="TL20" s="17"/>
      <c r="TM20" s="17"/>
      <c r="TN20" s="17"/>
      <c r="TO20" s="17"/>
      <c r="TP20" s="17"/>
      <c r="TQ20" s="17"/>
      <c r="TR20" s="17"/>
      <c r="TS20" s="17"/>
      <c r="TT20" s="17"/>
      <c r="TU20" s="17"/>
      <c r="TV20" s="17"/>
      <c r="TW20" s="17"/>
      <c r="TX20" s="17"/>
      <c r="TY20" s="17"/>
      <c r="TZ20" s="17"/>
      <c r="UA20" s="17"/>
      <c r="UB20" s="17"/>
      <c r="UC20" s="17"/>
      <c r="UD20" s="17"/>
      <c r="UE20" s="17"/>
      <c r="UF20" s="17"/>
      <c r="UG20" s="17"/>
      <c r="UH20" s="17"/>
      <c r="UI20" s="17"/>
      <c r="UJ20" s="17"/>
      <c r="UK20" s="17"/>
      <c r="UL20" s="17"/>
      <c r="UM20" s="17"/>
      <c r="UN20" s="17"/>
      <c r="UO20" s="17"/>
      <c r="UP20" s="17"/>
      <c r="UQ20" s="17"/>
      <c r="UR20" s="17"/>
      <c r="US20" s="17"/>
      <c r="UT20" s="17"/>
      <c r="UU20" s="17"/>
      <c r="UV20" s="17"/>
      <c r="UW20" s="17"/>
      <c r="UX20" s="17"/>
      <c r="UY20" s="17"/>
      <c r="UZ20" s="17"/>
      <c r="VA20" s="17"/>
      <c r="VB20" s="17"/>
      <c r="VC20" s="17"/>
      <c r="VD20" s="17"/>
      <c r="VE20" s="17"/>
      <c r="VF20" s="17"/>
      <c r="VG20" s="17"/>
      <c r="VH20" s="17"/>
      <c r="VI20" s="17"/>
      <c r="VJ20" s="17"/>
      <c r="VK20" s="17"/>
      <c r="VL20" s="17"/>
      <c r="VM20" s="17"/>
      <c r="VN20" s="17"/>
      <c r="VO20" s="17"/>
      <c r="VP20" s="17"/>
      <c r="VQ20" s="17"/>
      <c r="VR20" s="17"/>
      <c r="VS20" s="17"/>
      <c r="VT20" s="17"/>
      <c r="VU20" s="17"/>
      <c r="VV20" s="17"/>
      <c r="VW20" s="17"/>
      <c r="VX20" s="17"/>
      <c r="VY20" s="17"/>
      <c r="VZ20" s="17"/>
      <c r="WA20" s="17"/>
      <c r="WB20" s="17"/>
      <c r="WC20" s="17"/>
      <c r="WD20" s="17"/>
      <c r="WE20" s="17"/>
      <c r="WF20" s="17"/>
      <c r="WG20" s="17"/>
      <c r="WH20" s="17"/>
      <c r="WI20" s="17"/>
      <c r="WJ20" s="17"/>
      <c r="WK20" s="17"/>
      <c r="WL20" s="17"/>
      <c r="WM20" s="17"/>
      <c r="WN20" s="17"/>
      <c r="WO20" s="17"/>
      <c r="WP20" s="17"/>
      <c r="WQ20" s="17"/>
      <c r="WR20" s="17"/>
      <c r="WS20" s="17"/>
      <c r="WT20" s="17"/>
      <c r="WU20" s="17"/>
      <c r="WV20" s="17"/>
      <c r="WW20" s="17"/>
      <c r="WX20" s="17"/>
      <c r="WY20" s="17"/>
      <c r="WZ20" s="17"/>
      <c r="XA20" s="17"/>
      <c r="XB20" s="17"/>
      <c r="XC20" s="17"/>
      <c r="XD20" s="17"/>
      <c r="XE20" s="17"/>
      <c r="XF20" s="17"/>
      <c r="XG20" s="17"/>
      <c r="XH20" s="17"/>
      <c r="XI20" s="17"/>
      <c r="XJ20" s="17"/>
      <c r="XK20" s="17"/>
      <c r="XL20" s="17"/>
      <c r="XM20" s="17"/>
      <c r="XN20" s="17"/>
      <c r="XO20" s="17"/>
      <c r="XP20" s="17"/>
      <c r="XQ20" s="17"/>
      <c r="XR20" s="17"/>
      <c r="XS20" s="17"/>
      <c r="XT20" s="17"/>
      <c r="XU20" s="17"/>
      <c r="XV20" s="17"/>
      <c r="XW20" s="17"/>
      <c r="XX20" s="17"/>
      <c r="XY20" s="17"/>
      <c r="XZ20" s="17"/>
      <c r="YA20" s="17"/>
      <c r="YB20" s="17"/>
      <c r="YC20" s="17"/>
      <c r="YD20" s="17"/>
      <c r="YE20" s="17"/>
      <c r="YF20" s="17"/>
      <c r="YG20" s="17"/>
      <c r="YH20" s="17"/>
      <c r="YI20" s="17"/>
      <c r="YJ20" s="17"/>
      <c r="YK20" s="17"/>
      <c r="YL20" s="17"/>
      <c r="YM20" s="17"/>
      <c r="YN20" s="17"/>
      <c r="YO20" s="17"/>
      <c r="YP20" s="17"/>
      <c r="YQ20" s="17"/>
      <c r="YR20" s="17"/>
      <c r="YS20" s="17"/>
      <c r="YT20" s="17"/>
      <c r="YU20" s="17"/>
      <c r="YV20" s="17"/>
      <c r="YW20" s="17"/>
      <c r="YX20" s="17"/>
      <c r="YY20" s="17"/>
      <c r="YZ20" s="17"/>
      <c r="ZA20" s="17"/>
      <c r="ZB20" s="17"/>
      <c r="ZC20" s="17"/>
      <c r="ZD20" s="17"/>
      <c r="ZE20" s="17"/>
      <c r="ZF20" s="17"/>
      <c r="ZG20" s="17"/>
      <c r="ZH20" s="17"/>
      <c r="ZI20" s="17"/>
      <c r="ZJ20" s="17"/>
      <c r="ZK20" s="17"/>
      <c r="ZL20" s="17"/>
      <c r="ZM20" s="17"/>
      <c r="ZN20" s="17"/>
      <c r="ZO20" s="17"/>
      <c r="ZP20" s="17"/>
      <c r="ZQ20" s="17"/>
      <c r="ZR20" s="17"/>
      <c r="ZS20" s="17"/>
      <c r="ZT20" s="17"/>
      <c r="ZU20" s="17"/>
      <c r="ZV20" s="17"/>
      <c r="ZW20" s="17"/>
      <c r="ZX20" s="17"/>
      <c r="ZY20" s="17"/>
      <c r="ZZ20" s="17"/>
      <c r="AAA20" s="17"/>
      <c r="AAB20" s="17"/>
      <c r="AAC20" s="17"/>
      <c r="AAD20" s="17"/>
      <c r="AAE20" s="17"/>
      <c r="AAF20" s="17"/>
      <c r="AAG20" s="17"/>
    </row>
    <row r="21" spans="1:709" ht="15" customHeight="1" x14ac:dyDescent="0.25">
      <c r="Y21" s="517" t="s">
        <v>922</v>
      </c>
      <c r="Z21" s="517"/>
      <c r="AA21" s="252">
        <f>AVERAGE(AA15:AA20)</f>
        <v>1.0816666666666666</v>
      </c>
      <c r="AC21" s="517" t="s">
        <v>846</v>
      </c>
      <c r="AD21" s="517"/>
      <c r="AE21" s="129" t="s">
        <v>353</v>
      </c>
      <c r="AG21" s="517" t="s">
        <v>922</v>
      </c>
      <c r="AH21" s="517"/>
      <c r="AI21" s="252">
        <f>AVERAGE(AI15:AI20)</f>
        <v>1.1566666666666665</v>
      </c>
      <c r="AK21" s="517" t="s">
        <v>846</v>
      </c>
      <c r="AL21" s="517"/>
      <c r="AM21" s="129" t="s">
        <v>353</v>
      </c>
      <c r="AO21" s="517" t="s">
        <v>922</v>
      </c>
      <c r="AP21" s="517"/>
      <c r="AQ21" s="252">
        <f>AVERAGE(AQ15:AQ20)</f>
        <v>1.2314423076923076</v>
      </c>
      <c r="AS21" s="517" t="s">
        <v>846</v>
      </c>
      <c r="AT21" s="517"/>
      <c r="AU21" s="129" t="s">
        <v>353</v>
      </c>
      <c r="BK21" s="517" t="s">
        <v>922</v>
      </c>
      <c r="BL21" s="517"/>
      <c r="BM21" s="252">
        <f>AVERAGE(BM15:BM20)</f>
        <v>1.4052243589743589</v>
      </c>
      <c r="BO21" s="517" t="s">
        <v>846</v>
      </c>
      <c r="BP21" s="517"/>
      <c r="BQ21" s="129" t="s">
        <v>353</v>
      </c>
      <c r="BS21" s="517" t="s">
        <v>922</v>
      </c>
      <c r="BT21" s="517"/>
      <c r="BU21" s="252">
        <f>AVERAGE(BU15:BU20)</f>
        <v>1.0686282051282052</v>
      </c>
      <c r="BW21" s="517" t="s">
        <v>846</v>
      </c>
      <c r="BX21" s="517"/>
      <c r="BY21" s="129" t="s">
        <v>353</v>
      </c>
      <c r="CA21" s="517" t="s">
        <v>922</v>
      </c>
      <c r="CB21" s="517"/>
      <c r="CC21" s="252">
        <f>AVERAGE(CC15:CC20)</f>
        <v>1.2855352564102562</v>
      </c>
      <c r="CE21" s="517" t="s">
        <v>846</v>
      </c>
      <c r="CF21" s="517"/>
      <c r="CG21" s="129" t="s">
        <v>353</v>
      </c>
      <c r="CH21" s="17"/>
      <c r="CI21" s="517" t="s">
        <v>922</v>
      </c>
      <c r="CJ21" s="517"/>
      <c r="CK21" s="252">
        <f>AVERAGE(CK15:CK20)</f>
        <v>1.1823557692307691</v>
      </c>
      <c r="CM21" s="517" t="s">
        <v>846</v>
      </c>
      <c r="CN21" s="517"/>
      <c r="CO21" s="129" t="s">
        <v>353</v>
      </c>
      <c r="CQ21" s="517" t="s">
        <v>922</v>
      </c>
      <c r="CR21" s="517"/>
      <c r="CS21" s="252">
        <f>AVERAGE(CS15:CS20)</f>
        <v>0.87275228669965499</v>
      </c>
      <c r="CU21" s="517" t="s">
        <v>846</v>
      </c>
      <c r="CV21" s="517"/>
      <c r="CW21" s="129" t="s">
        <v>353</v>
      </c>
      <c r="CY21" s="517" t="s">
        <v>922</v>
      </c>
      <c r="CZ21" s="517"/>
      <c r="DA21" s="252">
        <f>AVERAGE(DA15:DA20)</f>
        <v>1.0040795471584945</v>
      </c>
      <c r="DB21" s="250"/>
      <c r="DC21" s="517" t="s">
        <v>846</v>
      </c>
      <c r="DD21" s="517"/>
      <c r="DE21" s="129" t="s">
        <v>353</v>
      </c>
    </row>
  </sheetData>
  <sheetProtection algorithmName="SHA-512" hashValue="CGBQH1RAfjI6bABD5J23+mzvXJIbsX7NHPSMOaLcUt4csosufaZb0tp7/sB9NvAaZLc8IvlRqgqmMEegt54xVA==" saltValue="pGqlT2Toav6lHOQYSf5KlA==" spinCount="100000" sheet="1" objects="1" scenarios="1" selectLockedCells="1"/>
  <mergeCells count="200">
    <mergeCell ref="DC1:DD1"/>
    <mergeCell ref="DC2:DD2"/>
    <mergeCell ref="DC3:DD3"/>
    <mergeCell ref="DE1:DF1"/>
    <mergeCell ref="DE2:DF2"/>
    <mergeCell ref="DE3:DF3"/>
    <mergeCell ref="C1:DB3"/>
    <mergeCell ref="A4:K4"/>
    <mergeCell ref="L4:P5"/>
    <mergeCell ref="Q4:U5"/>
    <mergeCell ref="V4:W5"/>
    <mergeCell ref="X4:X5"/>
    <mergeCell ref="AO5:AR5"/>
    <mergeCell ref="AS5:AV5"/>
    <mergeCell ref="AY5:BB5"/>
    <mergeCell ref="BC5:BF5"/>
    <mergeCell ref="CI4:CP4"/>
    <mergeCell ref="CQ4:CX4"/>
    <mergeCell ref="CY4:DF4"/>
    <mergeCell ref="A5:C5"/>
    <mergeCell ref="E5:F5"/>
    <mergeCell ref="G5:I5"/>
    <mergeCell ref="J5:J6"/>
    <mergeCell ref="K5:K6"/>
    <mergeCell ref="Y5:AB5"/>
    <mergeCell ref="AC5:AF5"/>
    <mergeCell ref="Y4:AF4"/>
    <mergeCell ref="AG4:AN4"/>
    <mergeCell ref="AO4:AV4"/>
    <mergeCell ref="BK4:BR4"/>
    <mergeCell ref="BS4:BZ4"/>
    <mergeCell ref="CA4:CH4"/>
    <mergeCell ref="DC5:DF5"/>
    <mergeCell ref="CE5:CH5"/>
    <mergeCell ref="CI5:CL5"/>
    <mergeCell ref="CM5:CP5"/>
    <mergeCell ref="CQ5:CT5"/>
    <mergeCell ref="CU5:CX5"/>
    <mergeCell ref="CY5:DB5"/>
    <mergeCell ref="A7:A12"/>
    <mergeCell ref="B7:B12"/>
    <mergeCell ref="C7:C12"/>
    <mergeCell ref="D7:D11"/>
    <mergeCell ref="E7:E11"/>
    <mergeCell ref="F7:F11"/>
    <mergeCell ref="G7:G12"/>
    <mergeCell ref="H7:H11"/>
    <mergeCell ref="I7:I11"/>
    <mergeCell ref="BG5:BJ5"/>
    <mergeCell ref="BK5:BN5"/>
    <mergeCell ref="BO5:BR5"/>
    <mergeCell ref="BS5:BV5"/>
    <mergeCell ref="BW5:BZ5"/>
    <mergeCell ref="CA5:CD5"/>
    <mergeCell ref="AG5:AJ5"/>
    <mergeCell ref="AK5:AN5"/>
    <mergeCell ref="J7:J12"/>
    <mergeCell ref="K7:K11"/>
    <mergeCell ref="W7:W12"/>
    <mergeCell ref="X7:X11"/>
    <mergeCell ref="L9:L10"/>
    <mergeCell ref="M9:M10"/>
    <mergeCell ref="N9:N10"/>
    <mergeCell ref="O9:O10"/>
    <mergeCell ref="P9:P10"/>
    <mergeCell ref="V9:V10"/>
    <mergeCell ref="AP9:AP10"/>
    <mergeCell ref="AQ9:AQ10"/>
    <mergeCell ref="AR9:AR10"/>
    <mergeCell ref="Y9:Y10"/>
    <mergeCell ref="Z9:Z10"/>
    <mergeCell ref="AA9:AA10"/>
    <mergeCell ref="AB9:AB10"/>
    <mergeCell ref="AG9:AG10"/>
    <mergeCell ref="AH9:AH10"/>
    <mergeCell ref="DB9:DB10"/>
    <mergeCell ref="CI9:CI10"/>
    <mergeCell ref="CJ9:CJ10"/>
    <mergeCell ref="CK9:CK10"/>
    <mergeCell ref="CL9:CL10"/>
    <mergeCell ref="CQ9:CQ10"/>
    <mergeCell ref="CR9:CR10"/>
    <mergeCell ref="BU9:BU10"/>
    <mergeCell ref="BV9:BV10"/>
    <mergeCell ref="CA9:CA10"/>
    <mergeCell ref="CB9:CB10"/>
    <mergeCell ref="CC9:CC10"/>
    <mergeCell ref="CD9:CD10"/>
    <mergeCell ref="AG13:AH13"/>
    <mergeCell ref="AK13:AL13"/>
    <mergeCell ref="AO13:AP13"/>
    <mergeCell ref="AS13:AT13"/>
    <mergeCell ref="CS9:CS10"/>
    <mergeCell ref="CT9:CT10"/>
    <mergeCell ref="CY9:CY10"/>
    <mergeCell ref="CZ9:CZ10"/>
    <mergeCell ref="DA9:DA10"/>
    <mergeCell ref="BK9:BK10"/>
    <mergeCell ref="BL9:BL10"/>
    <mergeCell ref="BM9:BM10"/>
    <mergeCell ref="BN9:BN10"/>
    <mergeCell ref="BS9:BS10"/>
    <mergeCell ref="BT9:BT10"/>
    <mergeCell ref="AY9:AY10"/>
    <mergeCell ref="BA9:BA10"/>
    <mergeCell ref="BC9:BC10"/>
    <mergeCell ref="BE9:BE10"/>
    <mergeCell ref="BG9:BG10"/>
    <mergeCell ref="BI9:BI10"/>
    <mergeCell ref="AI9:AI10"/>
    <mergeCell ref="AJ9:AJ10"/>
    <mergeCell ref="AO9:AO10"/>
    <mergeCell ref="DC13:DD13"/>
    <mergeCell ref="Y14:AB14"/>
    <mergeCell ref="Q15:U15"/>
    <mergeCell ref="AC15:AF15"/>
    <mergeCell ref="AK15:AN15"/>
    <mergeCell ref="AS15:AV15"/>
    <mergeCell ref="BO15:BR15"/>
    <mergeCell ref="BW15:BZ15"/>
    <mergeCell ref="CE15:CH15"/>
    <mergeCell ref="CM15:CP15"/>
    <mergeCell ref="CE13:CF13"/>
    <mergeCell ref="CI13:CJ13"/>
    <mergeCell ref="CM13:CN13"/>
    <mergeCell ref="CQ13:CR13"/>
    <mergeCell ref="CU13:CV13"/>
    <mergeCell ref="CY13:CZ13"/>
    <mergeCell ref="AW13:AX13"/>
    <mergeCell ref="BK13:BL13"/>
    <mergeCell ref="BO13:BP13"/>
    <mergeCell ref="BS13:BT13"/>
    <mergeCell ref="BW13:BX13"/>
    <mergeCell ref="CA13:CB13"/>
    <mergeCell ref="Y13:Z13"/>
    <mergeCell ref="AC13:AD13"/>
    <mergeCell ref="CU15:CX15"/>
    <mergeCell ref="Q16:U16"/>
    <mergeCell ref="AC16:AF16"/>
    <mergeCell ref="AK16:AN16"/>
    <mergeCell ref="AS16:AV16"/>
    <mergeCell ref="BO16:BR16"/>
    <mergeCell ref="BW16:BZ16"/>
    <mergeCell ref="CE16:CH16"/>
    <mergeCell ref="CM16:CP16"/>
    <mergeCell ref="CU16:CX16"/>
    <mergeCell ref="CU17:CX17"/>
    <mergeCell ref="Q18:U18"/>
    <mergeCell ref="AC18:AF18"/>
    <mergeCell ref="AK18:AN18"/>
    <mergeCell ref="AS18:AV18"/>
    <mergeCell ref="BO18:BR18"/>
    <mergeCell ref="BW18:BZ18"/>
    <mergeCell ref="CE18:CH18"/>
    <mergeCell ref="Q17:U17"/>
    <mergeCell ref="AC17:AF17"/>
    <mergeCell ref="AK17:AN17"/>
    <mergeCell ref="AS17:AV17"/>
    <mergeCell ref="BO17:BR17"/>
    <mergeCell ref="BW17:BZ17"/>
    <mergeCell ref="CM18:CP18"/>
    <mergeCell ref="CU18:CX18"/>
    <mergeCell ref="Y21:Z21"/>
    <mergeCell ref="AC21:AD21"/>
    <mergeCell ref="AG21:AH21"/>
    <mergeCell ref="AK21:AL21"/>
    <mergeCell ref="AO21:AP21"/>
    <mergeCell ref="AS21:AT21"/>
    <mergeCell ref="CI21:CJ21"/>
    <mergeCell ref="CM21:CN21"/>
    <mergeCell ref="CE17:CH17"/>
    <mergeCell ref="CM17:CP17"/>
    <mergeCell ref="CU19:CX19"/>
    <mergeCell ref="Q20:U20"/>
    <mergeCell ref="AC20:AF20"/>
    <mergeCell ref="AK20:AN20"/>
    <mergeCell ref="AS20:AV20"/>
    <mergeCell ref="BO20:BR20"/>
    <mergeCell ref="BW20:BZ20"/>
    <mergeCell ref="CE20:CH20"/>
    <mergeCell ref="CM20:CP20"/>
    <mergeCell ref="CU20:CX20"/>
    <mergeCell ref="Q19:U19"/>
    <mergeCell ref="AC19:AF19"/>
    <mergeCell ref="AK19:AN19"/>
    <mergeCell ref="AS19:AV19"/>
    <mergeCell ref="BO19:BR19"/>
    <mergeCell ref="BW19:BZ19"/>
    <mergeCell ref="CE19:CH19"/>
    <mergeCell ref="CM19:CP19"/>
    <mergeCell ref="CQ21:CR21"/>
    <mergeCell ref="CU21:CV21"/>
    <mergeCell ref="CY21:CZ21"/>
    <mergeCell ref="DC21:DD21"/>
    <mergeCell ref="BK21:BL21"/>
    <mergeCell ref="BO21:BP21"/>
    <mergeCell ref="BS21:BT21"/>
    <mergeCell ref="BW21:BX21"/>
    <mergeCell ref="CA21:CB21"/>
    <mergeCell ref="CE21:CF21"/>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6E21E-B6F4-4B20-B052-69CB06451A9C}">
  <sheetPr>
    <tabColor rgb="FFFF0000"/>
  </sheetPr>
  <dimension ref="A1:DE19"/>
  <sheetViews>
    <sheetView topLeftCell="CM1" workbookViewId="0">
      <selection activeCell="CK4" sqref="CK4:CR4"/>
    </sheetView>
  </sheetViews>
  <sheetFormatPr baseColWidth="10" defaultColWidth="11.42578125" defaultRowHeight="22.5" customHeight="1" x14ac:dyDescent="0.25"/>
  <cols>
    <col min="1" max="1" width="22.42578125" style="75" customWidth="1"/>
    <col min="2" max="2" width="26.7109375" style="75" customWidth="1"/>
    <col min="3" max="3" width="23.85546875" style="75" customWidth="1"/>
    <col min="4" max="4" width="33.42578125" style="75" customWidth="1"/>
    <col min="5" max="5" width="43.42578125" style="75" bestFit="1" customWidth="1"/>
    <col min="6" max="6" width="17.140625" style="75" customWidth="1"/>
    <col min="7" max="7" width="26.7109375" style="75" customWidth="1"/>
    <col min="8" max="8" width="16.7109375" style="75" customWidth="1"/>
    <col min="9" max="9" width="17.28515625" style="75" customWidth="1"/>
    <col min="10" max="10" width="16.85546875" style="75" customWidth="1"/>
    <col min="11" max="11" width="15.85546875" style="75" customWidth="1"/>
    <col min="12" max="12" width="56.42578125" style="75" customWidth="1"/>
    <col min="13" max="13" width="28.7109375" style="75" customWidth="1"/>
    <col min="14" max="14" width="16.28515625" style="75" customWidth="1"/>
    <col min="15" max="15" width="9.42578125" style="75" customWidth="1"/>
    <col min="16" max="16" width="16.28515625" style="75" customWidth="1"/>
    <col min="17" max="17" width="87.140625" style="75" customWidth="1"/>
    <col min="18" max="18" width="38.42578125" style="75" customWidth="1"/>
    <col min="19" max="19" width="17.140625" style="75" hidden="1" customWidth="1"/>
    <col min="20" max="20" width="10.28515625" style="75" customWidth="1"/>
    <col min="21" max="21" width="14.42578125" style="75" customWidth="1"/>
    <col min="22" max="22" width="14.7109375" style="75" customWidth="1"/>
    <col min="23" max="23" width="14.85546875" style="75" customWidth="1"/>
    <col min="24" max="24" width="20.7109375" style="75" customWidth="1"/>
    <col min="25" max="25" width="24.28515625" style="75" customWidth="1"/>
    <col min="26" max="26" width="16" style="75" customWidth="1"/>
    <col min="27" max="27" width="21.85546875" style="75" customWidth="1"/>
    <col min="28" max="28" width="20.7109375" style="75" customWidth="1"/>
    <col min="29" max="29" width="14.85546875" style="75" customWidth="1"/>
    <col min="30" max="30" width="12.42578125" style="75" customWidth="1"/>
    <col min="31" max="31" width="21.85546875" style="75" customWidth="1"/>
    <col min="32" max="32" width="43" style="75" customWidth="1"/>
    <col min="33" max="34" width="11.42578125" style="75"/>
    <col min="35" max="35" width="20.42578125" style="75" customWidth="1"/>
    <col min="36" max="36" width="27" style="75" customWidth="1"/>
    <col min="37" max="38" width="11.42578125" style="75"/>
    <col min="39" max="39" width="21.140625" style="75" customWidth="1"/>
    <col min="40" max="40" width="54.7109375" style="75" customWidth="1"/>
    <col min="41" max="42" width="11.42578125" style="75"/>
    <col min="43" max="43" width="20.42578125" style="75" customWidth="1"/>
    <col min="44" max="44" width="27" style="75" customWidth="1"/>
    <col min="45" max="46" width="11.42578125" style="75"/>
    <col min="47" max="47" width="21.140625" style="75" customWidth="1"/>
    <col min="48" max="48" width="54.7109375" style="75" customWidth="1"/>
    <col min="49" max="50" width="11.42578125" style="75"/>
    <col min="51" max="51" width="20.42578125" style="75" customWidth="1"/>
    <col min="52" max="52" width="44.42578125" style="75" customWidth="1"/>
    <col min="53" max="54" width="11.42578125" style="75"/>
    <col min="55" max="55" width="21.140625" style="75" customWidth="1"/>
    <col min="56" max="56" width="54.7109375" style="75" customWidth="1"/>
    <col min="57" max="58" width="11.42578125" style="75"/>
    <col min="59" max="59" width="20.42578125" style="75" customWidth="1"/>
    <col min="60" max="60" width="44.42578125" style="75" customWidth="1"/>
    <col min="61" max="62" width="11.42578125" style="75"/>
    <col min="63" max="63" width="21.140625" style="75" customWidth="1"/>
    <col min="64" max="64" width="60.85546875" style="75" customWidth="1"/>
    <col min="65" max="66" width="11.42578125" style="75"/>
    <col min="67" max="67" width="20.42578125" style="75" customWidth="1"/>
    <col min="68" max="68" width="44.42578125" style="75" customWidth="1"/>
    <col min="69" max="70" width="11.42578125" style="75"/>
    <col min="71" max="71" width="21.140625" style="75" customWidth="1"/>
    <col min="72" max="72" width="60.85546875" style="75" customWidth="1"/>
    <col min="73" max="73" width="11" style="75" customWidth="1"/>
    <col min="74" max="74" width="11.42578125" style="75"/>
    <col min="75" max="75" width="20.42578125" style="75" customWidth="1"/>
    <col min="76" max="76" width="62.28515625" style="75" customWidth="1"/>
    <col min="77" max="78" width="11.42578125" style="75"/>
    <col min="79" max="79" width="21.140625" style="75" customWidth="1"/>
    <col min="80" max="80" width="60.85546875" style="75" customWidth="1"/>
    <col min="81" max="81" width="11" style="75" customWidth="1"/>
    <col min="82" max="82" width="11.42578125" style="75"/>
    <col min="83" max="83" width="20.42578125" style="75" customWidth="1"/>
    <col min="84" max="84" width="62.28515625" style="75" customWidth="1"/>
    <col min="85" max="86" width="11.42578125" style="75"/>
    <col min="87" max="87" width="21.140625" style="75" customWidth="1"/>
    <col min="88" max="88" width="60.85546875" style="75" customWidth="1"/>
    <col min="89" max="89" width="11" style="75" customWidth="1"/>
    <col min="90" max="90" width="11.42578125" style="75"/>
    <col min="91" max="91" width="20.42578125" style="75" customWidth="1"/>
    <col min="92" max="92" width="62.28515625" style="75" customWidth="1"/>
    <col min="93" max="94" width="11.42578125" style="75"/>
    <col min="95" max="95" width="21.140625" style="75" customWidth="1"/>
    <col min="96" max="96" width="60.85546875" style="75" customWidth="1"/>
    <col min="97" max="109" width="11.42578125" style="40"/>
    <col min="110" max="16384" width="11.42578125" style="75"/>
  </cols>
  <sheetData>
    <row r="1" spans="1:109" s="40" customFormat="1" ht="15.75" customHeight="1" x14ac:dyDescent="0.25">
      <c r="C1" s="556" t="s">
        <v>0</v>
      </c>
      <c r="D1" s="556"/>
      <c r="E1" s="556"/>
      <c r="F1" s="556"/>
      <c r="G1" s="556"/>
      <c r="H1" s="556"/>
      <c r="I1" s="556"/>
      <c r="J1" s="556"/>
      <c r="K1" s="556"/>
      <c r="L1" s="556"/>
      <c r="M1" s="556"/>
      <c r="N1" s="556"/>
      <c r="O1" s="556"/>
      <c r="P1" s="556"/>
      <c r="Q1" s="556"/>
      <c r="R1" s="556"/>
      <c r="S1" s="556"/>
      <c r="T1" s="556"/>
      <c r="U1" s="556"/>
      <c r="V1" s="556"/>
      <c r="W1" s="556"/>
      <c r="X1" s="556"/>
      <c r="Y1" s="556"/>
      <c r="Z1" s="556"/>
      <c r="AA1" s="556"/>
      <c r="AB1" s="556"/>
      <c r="AC1" s="556"/>
      <c r="AD1" s="556"/>
      <c r="AE1" s="556"/>
      <c r="AF1" s="556"/>
      <c r="AG1" s="556"/>
      <c r="AH1" s="556"/>
      <c r="AI1" s="556"/>
      <c r="AJ1" s="556"/>
      <c r="AK1" s="556"/>
      <c r="AL1" s="556"/>
      <c r="AM1" s="556"/>
      <c r="AN1" s="556"/>
      <c r="AO1" s="556"/>
      <c r="AP1" s="556"/>
      <c r="AQ1" s="556"/>
      <c r="AR1" s="556"/>
      <c r="AS1" s="556"/>
      <c r="AT1" s="556"/>
      <c r="AU1" s="556"/>
      <c r="AV1" s="556"/>
      <c r="AW1" s="556"/>
      <c r="AX1" s="556"/>
      <c r="AY1" s="556"/>
      <c r="AZ1" s="556"/>
      <c r="BA1" s="556"/>
      <c r="BB1" s="556"/>
      <c r="BC1" s="556"/>
      <c r="BD1" s="556"/>
      <c r="BE1" s="556"/>
      <c r="BF1" s="556"/>
      <c r="BG1" s="556"/>
      <c r="BH1" s="556"/>
      <c r="BI1" s="556"/>
      <c r="BJ1" s="556"/>
      <c r="BK1" s="556"/>
      <c r="BL1" s="556"/>
      <c r="BM1" s="556"/>
      <c r="BN1" s="556"/>
      <c r="BO1" s="556"/>
      <c r="BP1" s="556"/>
      <c r="BQ1" s="556"/>
      <c r="BR1" s="556"/>
      <c r="BS1" s="556"/>
      <c r="BT1" s="556"/>
      <c r="BU1" s="556"/>
      <c r="BV1" s="556"/>
      <c r="BW1" s="556"/>
      <c r="BX1" s="556"/>
      <c r="BY1" s="556"/>
      <c r="BZ1" s="556"/>
      <c r="CA1" s="556"/>
      <c r="CB1" s="556"/>
      <c r="CC1" s="556"/>
      <c r="CD1" s="556"/>
      <c r="CE1" s="556"/>
      <c r="CF1" s="556"/>
      <c r="CG1" s="556"/>
      <c r="CH1" s="556"/>
      <c r="CI1" s="556"/>
      <c r="CJ1" s="556"/>
      <c r="CK1" s="556"/>
      <c r="CL1" s="556"/>
      <c r="CM1" s="556"/>
      <c r="CN1" s="556"/>
      <c r="CO1" s="556"/>
      <c r="CP1" s="662"/>
      <c r="CQ1" s="144" t="s">
        <v>1</v>
      </c>
      <c r="CR1" s="145">
        <v>43458</v>
      </c>
    </row>
    <row r="2" spans="1:109" s="40" customFormat="1" ht="15.75" customHeight="1" x14ac:dyDescent="0.25">
      <c r="C2" s="556"/>
      <c r="D2" s="556"/>
      <c r="E2" s="556"/>
      <c r="F2" s="556"/>
      <c r="G2" s="556"/>
      <c r="H2" s="556"/>
      <c r="I2" s="556"/>
      <c r="J2" s="556"/>
      <c r="K2" s="556"/>
      <c r="L2" s="556"/>
      <c r="M2" s="556"/>
      <c r="N2" s="556"/>
      <c r="O2" s="556"/>
      <c r="P2" s="556"/>
      <c r="Q2" s="556"/>
      <c r="R2" s="556"/>
      <c r="S2" s="556"/>
      <c r="T2" s="556"/>
      <c r="U2" s="556"/>
      <c r="V2" s="556"/>
      <c r="W2" s="556"/>
      <c r="X2" s="556"/>
      <c r="Y2" s="556"/>
      <c r="Z2" s="556"/>
      <c r="AA2" s="556"/>
      <c r="AB2" s="556"/>
      <c r="AC2" s="556"/>
      <c r="AD2" s="556"/>
      <c r="AE2" s="556"/>
      <c r="AF2" s="556"/>
      <c r="AG2" s="556"/>
      <c r="AH2" s="556"/>
      <c r="AI2" s="556"/>
      <c r="AJ2" s="556"/>
      <c r="AK2" s="556"/>
      <c r="AL2" s="556"/>
      <c r="AM2" s="556"/>
      <c r="AN2" s="556"/>
      <c r="AO2" s="556"/>
      <c r="AP2" s="556"/>
      <c r="AQ2" s="556"/>
      <c r="AR2" s="556"/>
      <c r="AS2" s="556"/>
      <c r="AT2" s="556"/>
      <c r="AU2" s="556"/>
      <c r="AV2" s="556"/>
      <c r="AW2" s="556"/>
      <c r="AX2" s="556"/>
      <c r="AY2" s="556"/>
      <c r="AZ2" s="556"/>
      <c r="BA2" s="556"/>
      <c r="BB2" s="556"/>
      <c r="BC2" s="556"/>
      <c r="BD2" s="556"/>
      <c r="BE2" s="556"/>
      <c r="BF2" s="556"/>
      <c r="BG2" s="556"/>
      <c r="BH2" s="556"/>
      <c r="BI2" s="556"/>
      <c r="BJ2" s="556"/>
      <c r="BK2" s="556"/>
      <c r="BL2" s="556"/>
      <c r="BM2" s="556"/>
      <c r="BN2" s="556"/>
      <c r="BO2" s="556"/>
      <c r="BP2" s="556"/>
      <c r="BQ2" s="556"/>
      <c r="BR2" s="556"/>
      <c r="BS2" s="556"/>
      <c r="BT2" s="556"/>
      <c r="BU2" s="556"/>
      <c r="BV2" s="556"/>
      <c r="BW2" s="556"/>
      <c r="BX2" s="556"/>
      <c r="BY2" s="556"/>
      <c r="BZ2" s="556"/>
      <c r="CA2" s="556"/>
      <c r="CB2" s="556"/>
      <c r="CC2" s="556"/>
      <c r="CD2" s="556"/>
      <c r="CE2" s="556"/>
      <c r="CF2" s="556"/>
      <c r="CG2" s="556"/>
      <c r="CH2" s="556"/>
      <c r="CI2" s="556"/>
      <c r="CJ2" s="556"/>
      <c r="CK2" s="556"/>
      <c r="CL2" s="556"/>
      <c r="CM2" s="556"/>
      <c r="CN2" s="556"/>
      <c r="CO2" s="556"/>
      <c r="CP2" s="662"/>
      <c r="CQ2" s="144" t="s">
        <v>2</v>
      </c>
      <c r="CR2" s="144">
        <v>5</v>
      </c>
    </row>
    <row r="3" spans="1:109" s="40" customFormat="1" ht="28.5" customHeight="1" x14ac:dyDescent="0.25">
      <c r="C3" s="556"/>
      <c r="D3" s="556"/>
      <c r="E3" s="556"/>
      <c r="F3" s="556"/>
      <c r="G3" s="556"/>
      <c r="H3" s="556"/>
      <c r="I3" s="556"/>
      <c r="J3" s="556"/>
      <c r="K3" s="556"/>
      <c r="L3" s="556"/>
      <c r="M3" s="556"/>
      <c r="N3" s="556"/>
      <c r="O3" s="556"/>
      <c r="P3" s="556"/>
      <c r="Q3" s="556"/>
      <c r="R3" s="556"/>
      <c r="S3" s="556"/>
      <c r="T3" s="556"/>
      <c r="U3" s="556"/>
      <c r="V3" s="556"/>
      <c r="W3" s="556"/>
      <c r="X3" s="556"/>
      <c r="Y3" s="556"/>
      <c r="Z3" s="556"/>
      <c r="AA3" s="556"/>
      <c r="AB3" s="556"/>
      <c r="AC3" s="556"/>
      <c r="AD3" s="556"/>
      <c r="AE3" s="556"/>
      <c r="AF3" s="556"/>
      <c r="AG3" s="556"/>
      <c r="AH3" s="556"/>
      <c r="AI3" s="556"/>
      <c r="AJ3" s="556"/>
      <c r="AK3" s="556"/>
      <c r="AL3" s="556"/>
      <c r="AM3" s="556"/>
      <c r="AN3" s="556"/>
      <c r="AO3" s="556"/>
      <c r="AP3" s="556"/>
      <c r="AQ3" s="556"/>
      <c r="AR3" s="556"/>
      <c r="AS3" s="556"/>
      <c r="AT3" s="556"/>
      <c r="AU3" s="556"/>
      <c r="AV3" s="556"/>
      <c r="AW3" s="556"/>
      <c r="AX3" s="556"/>
      <c r="AY3" s="556"/>
      <c r="AZ3" s="556"/>
      <c r="BA3" s="556"/>
      <c r="BB3" s="556"/>
      <c r="BC3" s="556"/>
      <c r="BD3" s="556"/>
      <c r="BE3" s="556"/>
      <c r="BF3" s="556"/>
      <c r="BG3" s="556"/>
      <c r="BH3" s="556"/>
      <c r="BI3" s="556"/>
      <c r="BJ3" s="556"/>
      <c r="BK3" s="556"/>
      <c r="BL3" s="556"/>
      <c r="BM3" s="556"/>
      <c r="BN3" s="556"/>
      <c r="BO3" s="556"/>
      <c r="BP3" s="556"/>
      <c r="BQ3" s="556"/>
      <c r="BR3" s="556"/>
      <c r="BS3" s="556"/>
      <c r="BT3" s="556"/>
      <c r="BU3" s="556"/>
      <c r="BV3" s="556"/>
      <c r="BW3" s="556"/>
      <c r="BX3" s="556"/>
      <c r="BY3" s="556"/>
      <c r="BZ3" s="556"/>
      <c r="CA3" s="556"/>
      <c r="CB3" s="556"/>
      <c r="CC3" s="556"/>
      <c r="CD3" s="556"/>
      <c r="CE3" s="556"/>
      <c r="CF3" s="556"/>
      <c r="CG3" s="556"/>
      <c r="CH3" s="556"/>
      <c r="CI3" s="556"/>
      <c r="CJ3" s="556"/>
      <c r="CK3" s="556"/>
      <c r="CL3" s="556"/>
      <c r="CM3" s="556"/>
      <c r="CN3" s="556"/>
      <c r="CO3" s="556"/>
      <c r="CP3" s="662"/>
      <c r="CQ3" s="144" t="s">
        <v>3</v>
      </c>
      <c r="CR3" s="144" t="s">
        <v>4</v>
      </c>
    </row>
    <row r="4" spans="1:109" s="5" customFormat="1" ht="15" x14ac:dyDescent="0.25">
      <c r="A4" s="419" t="s">
        <v>5</v>
      </c>
      <c r="B4" s="420"/>
      <c r="C4" s="420"/>
      <c r="D4" s="420"/>
      <c r="E4" s="420"/>
      <c r="F4" s="420"/>
      <c r="G4" s="420"/>
      <c r="H4" s="420"/>
      <c r="I4" s="420"/>
      <c r="J4" s="420"/>
      <c r="K4" s="421"/>
      <c r="L4" s="422" t="s">
        <v>6</v>
      </c>
      <c r="M4" s="423"/>
      <c r="N4" s="423"/>
      <c r="O4" s="423"/>
      <c r="P4" s="424"/>
      <c r="Q4" s="422" t="s">
        <v>7</v>
      </c>
      <c r="R4" s="423"/>
      <c r="S4" s="423"/>
      <c r="T4" s="423"/>
      <c r="U4" s="424"/>
      <c r="V4" s="597" t="s">
        <v>8</v>
      </c>
      <c r="W4" s="598"/>
      <c r="X4" s="429" t="s">
        <v>9</v>
      </c>
      <c r="Y4" s="399" t="s">
        <v>10</v>
      </c>
      <c r="Z4" s="400"/>
      <c r="AA4" s="400"/>
      <c r="AB4" s="400"/>
      <c r="AC4" s="400"/>
      <c r="AD4" s="400"/>
      <c r="AE4" s="400"/>
      <c r="AF4" s="401"/>
      <c r="AG4" s="399" t="s">
        <v>11</v>
      </c>
      <c r="AH4" s="400"/>
      <c r="AI4" s="400"/>
      <c r="AJ4" s="400"/>
      <c r="AK4" s="400"/>
      <c r="AL4" s="400"/>
      <c r="AM4" s="400"/>
      <c r="AN4" s="401"/>
      <c r="AO4" s="399" t="s">
        <v>12</v>
      </c>
      <c r="AP4" s="400"/>
      <c r="AQ4" s="400"/>
      <c r="AR4" s="400"/>
      <c r="AS4" s="400"/>
      <c r="AT4" s="400"/>
      <c r="AU4" s="400"/>
      <c r="AV4" s="401"/>
      <c r="AW4" s="399" t="s">
        <v>13</v>
      </c>
      <c r="AX4" s="400"/>
      <c r="AY4" s="400"/>
      <c r="AZ4" s="400"/>
      <c r="BA4" s="400"/>
      <c r="BB4" s="400"/>
      <c r="BC4" s="400"/>
      <c r="BD4" s="401"/>
      <c r="BE4" s="399" t="s">
        <v>14</v>
      </c>
      <c r="BF4" s="400"/>
      <c r="BG4" s="400"/>
      <c r="BH4" s="400"/>
      <c r="BI4" s="400"/>
      <c r="BJ4" s="400"/>
      <c r="BK4" s="400"/>
      <c r="BL4" s="401"/>
      <c r="BM4" s="399" t="s">
        <v>15</v>
      </c>
      <c r="BN4" s="400"/>
      <c r="BO4" s="400"/>
      <c r="BP4" s="400"/>
      <c r="BQ4" s="400"/>
      <c r="BR4" s="400"/>
      <c r="BS4" s="400"/>
      <c r="BT4" s="401"/>
      <c r="BU4" s="399" t="s">
        <v>16</v>
      </c>
      <c r="BV4" s="400"/>
      <c r="BW4" s="400"/>
      <c r="BX4" s="400"/>
      <c r="BY4" s="400"/>
      <c r="BZ4" s="400"/>
      <c r="CA4" s="400"/>
      <c r="CB4" s="401"/>
      <c r="CC4" s="399" t="s">
        <v>382</v>
      </c>
      <c r="CD4" s="400"/>
      <c r="CE4" s="400"/>
      <c r="CF4" s="400"/>
      <c r="CG4" s="400"/>
      <c r="CH4" s="400"/>
      <c r="CI4" s="400"/>
      <c r="CJ4" s="401"/>
      <c r="CK4" s="399" t="s">
        <v>595</v>
      </c>
      <c r="CL4" s="400"/>
      <c r="CM4" s="400"/>
      <c r="CN4" s="400"/>
      <c r="CO4" s="400"/>
      <c r="CP4" s="400"/>
      <c r="CQ4" s="400"/>
      <c r="CR4" s="401"/>
      <c r="CS4" s="40"/>
      <c r="CT4" s="40"/>
      <c r="CU4" s="40"/>
      <c r="CV4" s="40"/>
      <c r="CW4" s="40"/>
      <c r="CX4" s="40"/>
      <c r="CY4" s="40"/>
      <c r="CZ4" s="40"/>
      <c r="DA4" s="40"/>
      <c r="DB4" s="40"/>
      <c r="DC4" s="40"/>
      <c r="DD4" s="40"/>
      <c r="DE4" s="40"/>
    </row>
    <row r="5" spans="1:109" s="372" customFormat="1" ht="15" x14ac:dyDescent="0.25">
      <c r="A5" s="402" t="s">
        <v>17</v>
      </c>
      <c r="B5" s="403"/>
      <c r="C5" s="406"/>
      <c r="D5" s="370" t="s">
        <v>18</v>
      </c>
      <c r="E5" s="402" t="s">
        <v>19</v>
      </c>
      <c r="F5" s="406"/>
      <c r="G5" s="402" t="s">
        <v>20</v>
      </c>
      <c r="H5" s="403"/>
      <c r="I5" s="406"/>
      <c r="J5" s="417" t="s">
        <v>21</v>
      </c>
      <c r="K5" s="417" t="s">
        <v>22</v>
      </c>
      <c r="L5" s="399"/>
      <c r="M5" s="400"/>
      <c r="N5" s="400"/>
      <c r="O5" s="400"/>
      <c r="P5" s="401"/>
      <c r="Q5" s="399"/>
      <c r="R5" s="400"/>
      <c r="S5" s="400"/>
      <c r="T5" s="400"/>
      <c r="U5" s="401"/>
      <c r="V5" s="599"/>
      <c r="W5" s="600"/>
      <c r="X5" s="430"/>
      <c r="Y5" s="402" t="s">
        <v>23</v>
      </c>
      <c r="Z5" s="403"/>
      <c r="AA5" s="403"/>
      <c r="AB5" s="404"/>
      <c r="AC5" s="405" t="s">
        <v>24</v>
      </c>
      <c r="AD5" s="403"/>
      <c r="AE5" s="403"/>
      <c r="AF5" s="406"/>
      <c r="AG5" s="402" t="s">
        <v>23</v>
      </c>
      <c r="AH5" s="403"/>
      <c r="AI5" s="403"/>
      <c r="AJ5" s="404"/>
      <c r="AK5" s="405" t="s">
        <v>24</v>
      </c>
      <c r="AL5" s="403"/>
      <c r="AM5" s="403"/>
      <c r="AN5" s="406"/>
      <c r="AO5" s="402" t="s">
        <v>23</v>
      </c>
      <c r="AP5" s="403"/>
      <c r="AQ5" s="403"/>
      <c r="AR5" s="404"/>
      <c r="AS5" s="402" t="s">
        <v>24</v>
      </c>
      <c r="AT5" s="403"/>
      <c r="AU5" s="403"/>
      <c r="AV5" s="404"/>
      <c r="AW5" s="402" t="s">
        <v>23</v>
      </c>
      <c r="AX5" s="403"/>
      <c r="AY5" s="403"/>
      <c r="AZ5" s="404"/>
      <c r="BA5" s="402" t="s">
        <v>24</v>
      </c>
      <c r="BB5" s="403"/>
      <c r="BC5" s="403"/>
      <c r="BD5" s="404"/>
      <c r="BE5" s="402" t="s">
        <v>23</v>
      </c>
      <c r="BF5" s="403"/>
      <c r="BG5" s="403"/>
      <c r="BH5" s="404"/>
      <c r="BI5" s="402" t="s">
        <v>24</v>
      </c>
      <c r="BJ5" s="403"/>
      <c r="BK5" s="403"/>
      <c r="BL5" s="404"/>
      <c r="BM5" s="402" t="s">
        <v>23</v>
      </c>
      <c r="BN5" s="403"/>
      <c r="BO5" s="403"/>
      <c r="BP5" s="404"/>
      <c r="BQ5" s="402" t="s">
        <v>24</v>
      </c>
      <c r="BR5" s="403"/>
      <c r="BS5" s="403"/>
      <c r="BT5" s="404"/>
      <c r="BU5" s="402" t="s">
        <v>23</v>
      </c>
      <c r="BV5" s="403"/>
      <c r="BW5" s="403"/>
      <c r="BX5" s="404"/>
      <c r="BY5" s="402" t="s">
        <v>24</v>
      </c>
      <c r="BZ5" s="403"/>
      <c r="CA5" s="403"/>
      <c r="CB5" s="404"/>
      <c r="CC5" s="402" t="s">
        <v>23</v>
      </c>
      <c r="CD5" s="403"/>
      <c r="CE5" s="403"/>
      <c r="CF5" s="404"/>
      <c r="CG5" s="402" t="s">
        <v>24</v>
      </c>
      <c r="CH5" s="403"/>
      <c r="CI5" s="403"/>
      <c r="CJ5" s="404"/>
      <c r="CK5" s="402" t="s">
        <v>23</v>
      </c>
      <c r="CL5" s="403"/>
      <c r="CM5" s="403"/>
      <c r="CN5" s="404"/>
      <c r="CO5" s="402" t="s">
        <v>24</v>
      </c>
      <c r="CP5" s="403"/>
      <c r="CQ5" s="403"/>
      <c r="CR5" s="404"/>
      <c r="CS5" s="40"/>
      <c r="CT5" s="40"/>
      <c r="CU5" s="40"/>
      <c r="CV5" s="40"/>
      <c r="CW5" s="40"/>
      <c r="CX5" s="40"/>
      <c r="CY5" s="40"/>
      <c r="CZ5" s="40"/>
      <c r="DA5" s="40"/>
      <c r="DB5" s="40"/>
      <c r="DC5" s="40"/>
      <c r="DD5" s="40"/>
      <c r="DE5" s="40"/>
    </row>
    <row r="6" spans="1:109" s="5" customFormat="1" ht="15" x14ac:dyDescent="0.25">
      <c r="A6" s="8" t="s">
        <v>25</v>
      </c>
      <c r="B6" s="8" t="s">
        <v>26</v>
      </c>
      <c r="C6" s="8" t="s">
        <v>27</v>
      </c>
      <c r="D6" s="8" t="s">
        <v>28</v>
      </c>
      <c r="E6" s="8" t="s">
        <v>29</v>
      </c>
      <c r="F6" s="8" t="s">
        <v>30</v>
      </c>
      <c r="G6" s="8" t="s">
        <v>31</v>
      </c>
      <c r="H6" s="8" t="s">
        <v>32</v>
      </c>
      <c r="I6" s="8" t="s">
        <v>33</v>
      </c>
      <c r="J6" s="601"/>
      <c r="K6" s="601"/>
      <c r="L6" s="8" t="s">
        <v>6</v>
      </c>
      <c r="M6" s="8" t="s">
        <v>34</v>
      </c>
      <c r="N6" s="8" t="s">
        <v>35</v>
      </c>
      <c r="O6" s="8" t="s">
        <v>36</v>
      </c>
      <c r="P6" s="8" t="s">
        <v>37</v>
      </c>
      <c r="Q6" s="8" t="s">
        <v>7</v>
      </c>
      <c r="R6" s="8" t="s">
        <v>38</v>
      </c>
      <c r="S6" s="8" t="s">
        <v>35</v>
      </c>
      <c r="T6" s="8" t="s">
        <v>36</v>
      </c>
      <c r="U6" s="8" t="s">
        <v>39</v>
      </c>
      <c r="V6" s="358" t="s">
        <v>40</v>
      </c>
      <c r="W6" s="358" t="s">
        <v>41</v>
      </c>
      <c r="X6" s="8" t="s">
        <v>42</v>
      </c>
      <c r="Y6" s="8" t="s">
        <v>43</v>
      </c>
      <c r="Z6" s="8" t="s">
        <v>44</v>
      </c>
      <c r="AA6" s="8" t="s">
        <v>45</v>
      </c>
      <c r="AB6" s="8" t="s">
        <v>46</v>
      </c>
      <c r="AC6" s="8" t="s">
        <v>43</v>
      </c>
      <c r="AD6" s="8" t="s">
        <v>44</v>
      </c>
      <c r="AE6" s="8" t="s">
        <v>45</v>
      </c>
      <c r="AF6" s="8" t="s">
        <v>46</v>
      </c>
      <c r="AG6" s="8" t="s">
        <v>43</v>
      </c>
      <c r="AH6" s="8" t="s">
        <v>44</v>
      </c>
      <c r="AI6" s="8" t="s">
        <v>45</v>
      </c>
      <c r="AJ6" s="8" t="s">
        <v>46</v>
      </c>
      <c r="AK6" s="8" t="s">
        <v>43</v>
      </c>
      <c r="AL6" s="8" t="s">
        <v>44</v>
      </c>
      <c r="AM6" s="8" t="s">
        <v>45</v>
      </c>
      <c r="AN6" s="8" t="s">
        <v>46</v>
      </c>
      <c r="AO6" s="8" t="s">
        <v>43</v>
      </c>
      <c r="AP6" s="8" t="s">
        <v>44</v>
      </c>
      <c r="AQ6" s="8" t="s">
        <v>45</v>
      </c>
      <c r="AR6" s="8" t="s">
        <v>46</v>
      </c>
      <c r="AS6" s="8" t="s">
        <v>43</v>
      </c>
      <c r="AT6" s="8" t="s">
        <v>44</v>
      </c>
      <c r="AU6" s="8" t="s">
        <v>45</v>
      </c>
      <c r="AV6" s="8" t="s">
        <v>46</v>
      </c>
      <c r="AW6" s="8" t="s">
        <v>43</v>
      </c>
      <c r="AX6" s="8" t="s">
        <v>44</v>
      </c>
      <c r="AY6" s="8" t="s">
        <v>45</v>
      </c>
      <c r="AZ6" s="8" t="s">
        <v>46</v>
      </c>
      <c r="BA6" s="8" t="s">
        <v>43</v>
      </c>
      <c r="BB6" s="8" t="s">
        <v>44</v>
      </c>
      <c r="BC6" s="8" t="s">
        <v>45</v>
      </c>
      <c r="BD6" s="8" t="s">
        <v>46</v>
      </c>
      <c r="BE6" s="8" t="s">
        <v>43</v>
      </c>
      <c r="BF6" s="8" t="s">
        <v>44</v>
      </c>
      <c r="BG6" s="8" t="s">
        <v>45</v>
      </c>
      <c r="BH6" s="8" t="s">
        <v>46</v>
      </c>
      <c r="BI6" s="8" t="s">
        <v>43</v>
      </c>
      <c r="BJ6" s="8" t="s">
        <v>44</v>
      </c>
      <c r="BK6" s="8" t="s">
        <v>45</v>
      </c>
      <c r="BL6" s="8" t="s">
        <v>46</v>
      </c>
      <c r="BM6" s="8" t="s">
        <v>43</v>
      </c>
      <c r="BN6" s="8" t="s">
        <v>44</v>
      </c>
      <c r="BO6" s="8" t="s">
        <v>45</v>
      </c>
      <c r="BP6" s="8" t="s">
        <v>46</v>
      </c>
      <c r="BQ6" s="8" t="s">
        <v>43</v>
      </c>
      <c r="BR6" s="8" t="s">
        <v>44</v>
      </c>
      <c r="BS6" s="8" t="s">
        <v>45</v>
      </c>
      <c r="BT6" s="8" t="s">
        <v>46</v>
      </c>
      <c r="BU6" s="8" t="s">
        <v>43</v>
      </c>
      <c r="BV6" s="8" t="s">
        <v>44</v>
      </c>
      <c r="BW6" s="8" t="s">
        <v>45</v>
      </c>
      <c r="BX6" s="8" t="s">
        <v>46</v>
      </c>
      <c r="BY6" s="8" t="s">
        <v>43</v>
      </c>
      <c r="BZ6" s="8" t="s">
        <v>44</v>
      </c>
      <c r="CA6" s="8" t="s">
        <v>45</v>
      </c>
      <c r="CB6" s="8" t="s">
        <v>46</v>
      </c>
      <c r="CC6" s="8" t="s">
        <v>43</v>
      </c>
      <c r="CD6" s="8" t="s">
        <v>44</v>
      </c>
      <c r="CE6" s="8" t="s">
        <v>45</v>
      </c>
      <c r="CF6" s="8" t="s">
        <v>46</v>
      </c>
      <c r="CG6" s="8" t="s">
        <v>43</v>
      </c>
      <c r="CH6" s="8" t="s">
        <v>44</v>
      </c>
      <c r="CI6" s="8" t="s">
        <v>45</v>
      </c>
      <c r="CJ6" s="8" t="s">
        <v>46</v>
      </c>
      <c r="CK6" s="8" t="s">
        <v>43</v>
      </c>
      <c r="CL6" s="8" t="s">
        <v>44</v>
      </c>
      <c r="CM6" s="8" t="s">
        <v>45</v>
      </c>
      <c r="CN6" s="8" t="s">
        <v>46</v>
      </c>
      <c r="CO6" s="8" t="s">
        <v>43</v>
      </c>
      <c r="CP6" s="8" t="s">
        <v>44</v>
      </c>
      <c r="CQ6" s="8" t="s">
        <v>45</v>
      </c>
      <c r="CR6" s="8" t="s">
        <v>46</v>
      </c>
      <c r="CS6" s="40"/>
      <c r="CT6" s="40"/>
      <c r="CU6" s="40"/>
      <c r="CV6" s="40"/>
      <c r="CW6" s="40"/>
      <c r="CX6" s="40"/>
      <c r="CY6" s="40"/>
      <c r="CZ6" s="40"/>
      <c r="DA6" s="40"/>
      <c r="DB6" s="40"/>
      <c r="DC6" s="40"/>
      <c r="DD6" s="40"/>
      <c r="DE6" s="40"/>
    </row>
    <row r="7" spans="1:109" s="18" customFormat="1" ht="108" x14ac:dyDescent="0.25">
      <c r="A7" s="631" t="s">
        <v>47</v>
      </c>
      <c r="B7" s="631" t="s">
        <v>48</v>
      </c>
      <c r="C7" s="631" t="s">
        <v>49</v>
      </c>
      <c r="D7" s="631" t="s">
        <v>50</v>
      </c>
      <c r="E7" s="710" t="s">
        <v>745</v>
      </c>
      <c r="F7" s="631" t="s">
        <v>1508</v>
      </c>
      <c r="G7" s="711" t="s">
        <v>940</v>
      </c>
      <c r="H7" s="512" t="s">
        <v>1509</v>
      </c>
      <c r="I7" s="631" t="s">
        <v>1510</v>
      </c>
      <c r="J7" s="512" t="s">
        <v>1511</v>
      </c>
      <c r="K7" s="512" t="s">
        <v>1511</v>
      </c>
      <c r="L7" s="710" t="s">
        <v>1512</v>
      </c>
      <c r="M7" s="710" t="s">
        <v>1513</v>
      </c>
      <c r="N7" s="710" t="s">
        <v>60</v>
      </c>
      <c r="O7" s="710">
        <v>0</v>
      </c>
      <c r="P7" s="710">
        <v>11</v>
      </c>
      <c r="Q7" s="712" t="s">
        <v>1514</v>
      </c>
      <c r="R7" s="712" t="s">
        <v>1515</v>
      </c>
      <c r="S7" s="713" t="s">
        <v>93</v>
      </c>
      <c r="T7" s="714">
        <v>0</v>
      </c>
      <c r="U7" s="715">
        <v>7</v>
      </c>
      <c r="V7" s="716">
        <v>1441069350</v>
      </c>
      <c r="W7" s="716">
        <v>1441069350</v>
      </c>
      <c r="X7" s="618" t="s">
        <v>1516</v>
      </c>
      <c r="Y7" s="717">
        <v>0.02</v>
      </c>
      <c r="Z7" s="710">
        <v>11</v>
      </c>
      <c r="AA7" s="718">
        <v>0.02</v>
      </c>
      <c r="AB7" s="710"/>
      <c r="AC7" s="719">
        <v>0</v>
      </c>
      <c r="AD7" s="715">
        <v>7</v>
      </c>
      <c r="AE7" s="719">
        <v>0</v>
      </c>
      <c r="AF7" s="713" t="s">
        <v>1517</v>
      </c>
      <c r="AG7" s="717">
        <v>0</v>
      </c>
      <c r="AH7" s="710">
        <v>11</v>
      </c>
      <c r="AI7" s="718">
        <f>2%+AG7</f>
        <v>0.02</v>
      </c>
      <c r="AJ7" s="631" t="s">
        <v>1518</v>
      </c>
      <c r="AK7" s="719">
        <v>0</v>
      </c>
      <c r="AL7" s="715">
        <v>7</v>
      </c>
      <c r="AM7" s="719">
        <v>0</v>
      </c>
      <c r="AN7" s="712" t="s">
        <v>1519</v>
      </c>
      <c r="AO7" s="717">
        <v>7.0000000000000007E-2</v>
      </c>
      <c r="AP7" s="710">
        <v>11</v>
      </c>
      <c r="AQ7" s="718">
        <f>2%+AO7</f>
        <v>9.0000000000000011E-2</v>
      </c>
      <c r="AR7" s="631" t="s">
        <v>1520</v>
      </c>
      <c r="AS7" s="719">
        <v>0</v>
      </c>
      <c r="AT7" s="715">
        <v>7</v>
      </c>
      <c r="AU7" s="719">
        <v>0</v>
      </c>
      <c r="AV7" s="712" t="s">
        <v>1521</v>
      </c>
      <c r="AW7" s="717">
        <v>0.2</v>
      </c>
      <c r="AX7" s="710">
        <v>11</v>
      </c>
      <c r="AY7" s="718">
        <v>0.28999999999999998</v>
      </c>
      <c r="AZ7" s="631" t="s">
        <v>1522</v>
      </c>
      <c r="BA7" s="720">
        <v>4</v>
      </c>
      <c r="BB7" s="715">
        <v>7</v>
      </c>
      <c r="BC7" s="719">
        <f>BA7/BB7</f>
        <v>0.5714285714285714</v>
      </c>
      <c r="BD7" s="712" t="s">
        <v>1523</v>
      </c>
      <c r="BE7" s="717">
        <v>0.24</v>
      </c>
      <c r="BF7" s="710">
        <v>11</v>
      </c>
      <c r="BG7" s="718">
        <v>0.61</v>
      </c>
      <c r="BH7" s="631" t="s">
        <v>1524</v>
      </c>
      <c r="BI7" s="720">
        <v>7</v>
      </c>
      <c r="BJ7" s="715">
        <v>7</v>
      </c>
      <c r="BK7" s="719">
        <v>1</v>
      </c>
      <c r="BL7" s="712" t="s">
        <v>1525</v>
      </c>
      <c r="BM7" s="717">
        <v>0.04</v>
      </c>
      <c r="BN7" s="710">
        <v>11</v>
      </c>
      <c r="BO7" s="718">
        <f>AVERAGE(BS7:BS11)</f>
        <v>0.65100000000000002</v>
      </c>
      <c r="BP7" s="631" t="s">
        <v>1524</v>
      </c>
      <c r="BQ7" s="720">
        <v>0</v>
      </c>
      <c r="BR7" s="715">
        <v>7</v>
      </c>
      <c r="BS7" s="719">
        <v>1</v>
      </c>
      <c r="BT7" s="712" t="s">
        <v>1526</v>
      </c>
      <c r="BU7" s="717">
        <v>7.0000000000000007E-2</v>
      </c>
      <c r="BV7" s="710">
        <v>11</v>
      </c>
      <c r="BW7" s="718">
        <f>AVERAGE(CA7:CA11)</f>
        <v>0.71699999999999997</v>
      </c>
      <c r="BX7" s="631" t="s">
        <v>1527</v>
      </c>
      <c r="BY7" s="720">
        <v>0</v>
      </c>
      <c r="BZ7" s="715">
        <v>7</v>
      </c>
      <c r="CA7" s="719">
        <v>1</v>
      </c>
      <c r="CB7" s="712" t="s">
        <v>1526</v>
      </c>
      <c r="CC7" s="717">
        <v>0.02</v>
      </c>
      <c r="CD7" s="710">
        <v>11</v>
      </c>
      <c r="CE7" s="718">
        <f>AVERAGE(CI7:CI11)</f>
        <v>0.74</v>
      </c>
      <c r="CF7" s="631" t="s">
        <v>1528</v>
      </c>
      <c r="CG7" s="720"/>
      <c r="CH7" s="715">
        <v>7</v>
      </c>
      <c r="CI7" s="719">
        <v>1</v>
      </c>
      <c r="CJ7" s="712" t="s">
        <v>1526</v>
      </c>
      <c r="CK7" s="717">
        <v>0.2</v>
      </c>
      <c r="CL7" s="710">
        <v>11</v>
      </c>
      <c r="CM7" s="718">
        <f>AVERAGE(CQ7:CQ11)</f>
        <v>0.94199999999999995</v>
      </c>
      <c r="CN7" s="631" t="s">
        <v>1529</v>
      </c>
      <c r="CO7" s="720"/>
      <c r="CP7" s="715">
        <v>7</v>
      </c>
      <c r="CQ7" s="719">
        <v>1</v>
      </c>
      <c r="CR7" s="712" t="s">
        <v>1526</v>
      </c>
      <c r="CS7" s="40"/>
      <c r="CT7" s="40"/>
      <c r="CU7" s="40"/>
      <c r="CV7" s="40"/>
      <c r="CW7" s="40"/>
      <c r="CX7" s="40"/>
      <c r="CY7" s="40"/>
      <c r="CZ7" s="40"/>
      <c r="DA7" s="40"/>
      <c r="DB7" s="40"/>
      <c r="DC7" s="40"/>
      <c r="DD7" s="40"/>
      <c r="DE7" s="40"/>
    </row>
    <row r="8" spans="1:109" s="29" customFormat="1" ht="84" x14ac:dyDescent="0.25">
      <c r="A8" s="721"/>
      <c r="B8" s="632"/>
      <c r="C8" s="632"/>
      <c r="D8" s="632"/>
      <c r="E8" s="721"/>
      <c r="F8" s="632"/>
      <c r="G8" s="722"/>
      <c r="H8" s="511"/>
      <c r="I8" s="632"/>
      <c r="J8" s="511"/>
      <c r="K8" s="511"/>
      <c r="L8" s="721"/>
      <c r="M8" s="721"/>
      <c r="N8" s="721"/>
      <c r="O8" s="721"/>
      <c r="P8" s="721"/>
      <c r="Q8" s="723" t="s">
        <v>1530</v>
      </c>
      <c r="R8" s="724" t="s">
        <v>1515</v>
      </c>
      <c r="S8" s="723" t="s">
        <v>93</v>
      </c>
      <c r="T8" s="725">
        <v>0</v>
      </c>
      <c r="U8" s="726">
        <v>1</v>
      </c>
      <c r="V8" s="727"/>
      <c r="W8" s="727"/>
      <c r="X8" s="616"/>
      <c r="Y8" s="728"/>
      <c r="Z8" s="721"/>
      <c r="AA8" s="721"/>
      <c r="AB8" s="721"/>
      <c r="AC8" s="726">
        <v>0</v>
      </c>
      <c r="AD8" s="726">
        <v>1</v>
      </c>
      <c r="AE8" s="726">
        <v>0</v>
      </c>
      <c r="AF8" s="724" t="s">
        <v>1517</v>
      </c>
      <c r="AG8" s="728"/>
      <c r="AH8" s="721"/>
      <c r="AI8" s="721"/>
      <c r="AJ8" s="632"/>
      <c r="AK8" s="726">
        <v>0</v>
      </c>
      <c r="AL8" s="726">
        <v>1</v>
      </c>
      <c r="AM8" s="726">
        <v>0</v>
      </c>
      <c r="AN8" s="724" t="s">
        <v>1531</v>
      </c>
      <c r="AO8" s="728"/>
      <c r="AP8" s="721"/>
      <c r="AQ8" s="721"/>
      <c r="AR8" s="632"/>
      <c r="AS8" s="726">
        <v>0.25</v>
      </c>
      <c r="AT8" s="726">
        <v>1</v>
      </c>
      <c r="AU8" s="726">
        <v>0.25</v>
      </c>
      <c r="AV8" s="724" t="s">
        <v>1532</v>
      </c>
      <c r="AW8" s="728"/>
      <c r="AX8" s="721"/>
      <c r="AY8" s="721"/>
      <c r="AZ8" s="632"/>
      <c r="BA8" s="726">
        <v>0</v>
      </c>
      <c r="BB8" s="726">
        <v>1</v>
      </c>
      <c r="BC8" s="726">
        <v>0.25</v>
      </c>
      <c r="BD8" s="724" t="s">
        <v>1533</v>
      </c>
      <c r="BE8" s="728"/>
      <c r="BF8" s="721"/>
      <c r="BG8" s="721"/>
      <c r="BH8" s="632"/>
      <c r="BI8" s="726">
        <v>0.75</v>
      </c>
      <c r="BJ8" s="726">
        <v>1</v>
      </c>
      <c r="BK8" s="726">
        <v>1</v>
      </c>
      <c r="BL8" s="724" t="s">
        <v>1534</v>
      </c>
      <c r="BM8" s="728"/>
      <c r="BN8" s="721"/>
      <c r="BO8" s="721"/>
      <c r="BP8" s="632"/>
      <c r="BQ8" s="726">
        <v>0</v>
      </c>
      <c r="BR8" s="726">
        <v>1</v>
      </c>
      <c r="BS8" s="726">
        <v>1</v>
      </c>
      <c r="BT8" s="724" t="s">
        <v>1535</v>
      </c>
      <c r="BU8" s="728"/>
      <c r="BV8" s="721"/>
      <c r="BW8" s="721"/>
      <c r="BX8" s="632"/>
      <c r="BY8" s="726">
        <v>0</v>
      </c>
      <c r="BZ8" s="726">
        <v>1</v>
      </c>
      <c r="CA8" s="726">
        <v>1</v>
      </c>
      <c r="CB8" s="724" t="s">
        <v>1536</v>
      </c>
      <c r="CC8" s="728"/>
      <c r="CD8" s="721"/>
      <c r="CE8" s="721"/>
      <c r="CF8" s="632"/>
      <c r="CG8" s="726"/>
      <c r="CH8" s="726">
        <v>1</v>
      </c>
      <c r="CI8" s="726">
        <v>1</v>
      </c>
      <c r="CJ8" s="724" t="s">
        <v>1536</v>
      </c>
      <c r="CK8" s="728"/>
      <c r="CL8" s="721"/>
      <c r="CM8" s="721"/>
      <c r="CN8" s="632"/>
      <c r="CO8" s="726"/>
      <c r="CP8" s="726">
        <v>1</v>
      </c>
      <c r="CQ8" s="726">
        <v>1</v>
      </c>
      <c r="CR8" s="724" t="s">
        <v>1536</v>
      </c>
      <c r="CS8" s="40"/>
      <c r="CT8" s="40"/>
      <c r="CU8" s="40"/>
      <c r="CV8" s="40"/>
      <c r="CW8" s="40"/>
      <c r="CX8" s="40"/>
      <c r="CY8" s="40"/>
      <c r="CZ8" s="40"/>
      <c r="DA8" s="40"/>
      <c r="DB8" s="40"/>
      <c r="DC8" s="40"/>
      <c r="DD8" s="40"/>
      <c r="DE8" s="40"/>
    </row>
    <row r="9" spans="1:109" s="18" customFormat="1" ht="120" x14ac:dyDescent="0.25">
      <c r="A9" s="721"/>
      <c r="B9" s="632"/>
      <c r="C9" s="632"/>
      <c r="D9" s="632"/>
      <c r="E9" s="721"/>
      <c r="F9" s="632"/>
      <c r="G9" s="722"/>
      <c r="H9" s="511"/>
      <c r="I9" s="632"/>
      <c r="J9" s="511"/>
      <c r="K9" s="511"/>
      <c r="L9" s="721"/>
      <c r="M9" s="721"/>
      <c r="N9" s="721"/>
      <c r="O9" s="721"/>
      <c r="P9" s="721"/>
      <c r="Q9" s="712" t="s">
        <v>1537</v>
      </c>
      <c r="R9" s="712" t="s">
        <v>1515</v>
      </c>
      <c r="S9" s="713" t="s">
        <v>93</v>
      </c>
      <c r="T9" s="714">
        <v>0</v>
      </c>
      <c r="U9" s="719">
        <v>1</v>
      </c>
      <c r="V9" s="727"/>
      <c r="W9" s="727"/>
      <c r="X9" s="616"/>
      <c r="Y9" s="728"/>
      <c r="Z9" s="721"/>
      <c r="AA9" s="721"/>
      <c r="AB9" s="721"/>
      <c r="AC9" s="719">
        <v>0.1</v>
      </c>
      <c r="AD9" s="719">
        <v>1</v>
      </c>
      <c r="AE9" s="719">
        <v>0.1</v>
      </c>
      <c r="AF9" s="712"/>
      <c r="AG9" s="728"/>
      <c r="AH9" s="721"/>
      <c r="AI9" s="721"/>
      <c r="AJ9" s="632"/>
      <c r="AK9" s="719">
        <v>0.02</v>
      </c>
      <c r="AL9" s="719">
        <v>1</v>
      </c>
      <c r="AM9" s="719">
        <v>0.12</v>
      </c>
      <c r="AN9" s="712" t="s">
        <v>1538</v>
      </c>
      <c r="AO9" s="728"/>
      <c r="AP9" s="721"/>
      <c r="AQ9" s="721"/>
      <c r="AR9" s="632"/>
      <c r="AS9" s="719" t="s">
        <v>1539</v>
      </c>
      <c r="AT9" s="719">
        <v>1</v>
      </c>
      <c r="AU9" s="719" t="s">
        <v>1540</v>
      </c>
      <c r="AV9" s="712" t="s">
        <v>1541</v>
      </c>
      <c r="AW9" s="728"/>
      <c r="AX9" s="721"/>
      <c r="AY9" s="721"/>
      <c r="AZ9" s="632"/>
      <c r="BA9" s="719">
        <v>0.04</v>
      </c>
      <c r="BB9" s="719">
        <v>1</v>
      </c>
      <c r="BC9" s="729">
        <v>0.22500000000000001</v>
      </c>
      <c r="BD9" s="712" t="s">
        <v>1542</v>
      </c>
      <c r="BE9" s="728"/>
      <c r="BF9" s="721"/>
      <c r="BG9" s="721"/>
      <c r="BH9" s="632"/>
      <c r="BI9" s="719">
        <v>0.13</v>
      </c>
      <c r="BJ9" s="719">
        <v>1</v>
      </c>
      <c r="BK9" s="729">
        <v>0.35499999999999998</v>
      </c>
      <c r="BL9" s="712" t="s">
        <v>1543</v>
      </c>
      <c r="BM9" s="728"/>
      <c r="BN9" s="721"/>
      <c r="BO9" s="721"/>
      <c r="BP9" s="632"/>
      <c r="BQ9" s="719">
        <v>0.05</v>
      </c>
      <c r="BR9" s="719">
        <v>1</v>
      </c>
      <c r="BS9" s="729">
        <v>0.40500000000000003</v>
      </c>
      <c r="BT9" s="712" t="s">
        <v>1544</v>
      </c>
      <c r="BU9" s="728"/>
      <c r="BV9" s="721"/>
      <c r="BW9" s="721"/>
      <c r="BX9" s="632"/>
      <c r="BY9" s="729">
        <v>2.5000000000000001E-2</v>
      </c>
      <c r="BZ9" s="719">
        <v>1</v>
      </c>
      <c r="CA9" s="729">
        <v>0.435</v>
      </c>
      <c r="CB9" s="712" t="s">
        <v>1545</v>
      </c>
      <c r="CC9" s="728"/>
      <c r="CD9" s="721"/>
      <c r="CE9" s="721"/>
      <c r="CF9" s="632"/>
      <c r="CG9" s="729">
        <v>6.5000000000000002E-2</v>
      </c>
      <c r="CH9" s="719">
        <v>1</v>
      </c>
      <c r="CI9" s="729">
        <v>0.5</v>
      </c>
      <c r="CJ9" s="712" t="s">
        <v>1546</v>
      </c>
      <c r="CK9" s="728"/>
      <c r="CL9" s="721"/>
      <c r="CM9" s="721"/>
      <c r="CN9" s="632"/>
      <c r="CO9" s="729">
        <v>0.46</v>
      </c>
      <c r="CP9" s="719">
        <v>1</v>
      </c>
      <c r="CQ9" s="729">
        <v>0.96</v>
      </c>
      <c r="CR9" s="712" t="s">
        <v>1547</v>
      </c>
      <c r="CS9" s="40"/>
      <c r="CT9" s="40"/>
      <c r="CU9" s="40"/>
      <c r="CV9" s="40"/>
      <c r="CW9" s="40"/>
      <c r="CX9" s="40"/>
      <c r="CY9" s="40"/>
      <c r="CZ9" s="40"/>
      <c r="DA9" s="40"/>
      <c r="DB9" s="40"/>
      <c r="DC9" s="40"/>
      <c r="DD9" s="40"/>
      <c r="DE9" s="40"/>
    </row>
    <row r="10" spans="1:109" s="29" customFormat="1" ht="84" x14ac:dyDescent="0.25">
      <c r="A10" s="721"/>
      <c r="B10" s="632"/>
      <c r="C10" s="632"/>
      <c r="D10" s="632"/>
      <c r="E10" s="721"/>
      <c r="F10" s="632"/>
      <c r="G10" s="722"/>
      <c r="H10" s="511"/>
      <c r="I10" s="632"/>
      <c r="J10" s="511"/>
      <c r="K10" s="511"/>
      <c r="L10" s="721"/>
      <c r="M10" s="721"/>
      <c r="N10" s="721"/>
      <c r="O10" s="721"/>
      <c r="P10" s="721"/>
      <c r="Q10" s="723" t="s">
        <v>1548</v>
      </c>
      <c r="R10" s="724" t="s">
        <v>1515</v>
      </c>
      <c r="S10" s="723" t="s">
        <v>93</v>
      </c>
      <c r="T10" s="725">
        <v>0</v>
      </c>
      <c r="U10" s="726">
        <v>1</v>
      </c>
      <c r="V10" s="727"/>
      <c r="W10" s="727"/>
      <c r="X10" s="616"/>
      <c r="Y10" s="728"/>
      <c r="Z10" s="721"/>
      <c r="AA10" s="721"/>
      <c r="AB10" s="721"/>
      <c r="AC10" s="726">
        <v>0</v>
      </c>
      <c r="AD10" s="726">
        <v>1</v>
      </c>
      <c r="AE10" s="726">
        <v>0</v>
      </c>
      <c r="AF10" s="723" t="s">
        <v>1517</v>
      </c>
      <c r="AG10" s="728"/>
      <c r="AH10" s="721"/>
      <c r="AI10" s="721"/>
      <c r="AJ10" s="632"/>
      <c r="AK10" s="726">
        <v>0</v>
      </c>
      <c r="AL10" s="726">
        <v>1</v>
      </c>
      <c r="AM10" s="726">
        <v>0</v>
      </c>
      <c r="AN10" s="724" t="s">
        <v>1531</v>
      </c>
      <c r="AO10" s="728"/>
      <c r="AP10" s="721"/>
      <c r="AQ10" s="721"/>
      <c r="AR10" s="632"/>
      <c r="AS10" s="726">
        <v>0.05</v>
      </c>
      <c r="AT10" s="726">
        <v>1</v>
      </c>
      <c r="AU10" s="726">
        <v>0.05</v>
      </c>
      <c r="AV10" s="724" t="s">
        <v>1549</v>
      </c>
      <c r="AW10" s="728"/>
      <c r="AX10" s="721"/>
      <c r="AY10" s="721"/>
      <c r="AZ10" s="632"/>
      <c r="BA10" s="726">
        <v>0.2</v>
      </c>
      <c r="BB10" s="726">
        <v>1</v>
      </c>
      <c r="BC10" s="726">
        <v>0.25</v>
      </c>
      <c r="BD10" s="724" t="s">
        <v>1550</v>
      </c>
      <c r="BE10" s="728"/>
      <c r="BF10" s="721"/>
      <c r="BG10" s="721"/>
      <c r="BH10" s="632"/>
      <c r="BI10" s="726">
        <v>0.15</v>
      </c>
      <c r="BJ10" s="726">
        <v>1</v>
      </c>
      <c r="BK10" s="726">
        <v>0.4</v>
      </c>
      <c r="BL10" s="724" t="s">
        <v>1551</v>
      </c>
      <c r="BM10" s="728"/>
      <c r="BN10" s="721"/>
      <c r="BO10" s="721"/>
      <c r="BP10" s="632"/>
      <c r="BQ10" s="726">
        <v>0</v>
      </c>
      <c r="BR10" s="726">
        <v>1</v>
      </c>
      <c r="BS10" s="726">
        <v>0.4</v>
      </c>
      <c r="BT10" s="724" t="s">
        <v>1552</v>
      </c>
      <c r="BU10" s="728"/>
      <c r="BV10" s="721"/>
      <c r="BW10" s="721"/>
      <c r="BX10" s="632"/>
      <c r="BY10" s="726">
        <v>0.1</v>
      </c>
      <c r="BZ10" s="726">
        <v>1</v>
      </c>
      <c r="CA10" s="726">
        <v>0.5</v>
      </c>
      <c r="CB10" s="724" t="s">
        <v>1553</v>
      </c>
      <c r="CC10" s="728"/>
      <c r="CD10" s="721"/>
      <c r="CE10" s="721"/>
      <c r="CF10" s="632"/>
      <c r="CG10" s="726">
        <v>0</v>
      </c>
      <c r="CH10" s="726">
        <v>1</v>
      </c>
      <c r="CI10" s="726">
        <v>0.5</v>
      </c>
      <c r="CJ10" s="724" t="s">
        <v>1554</v>
      </c>
      <c r="CK10" s="728"/>
      <c r="CL10" s="721"/>
      <c r="CM10" s="721"/>
      <c r="CN10" s="632"/>
      <c r="CO10" s="726">
        <v>0.5</v>
      </c>
      <c r="CP10" s="726">
        <v>1</v>
      </c>
      <c r="CQ10" s="726">
        <v>1</v>
      </c>
      <c r="CR10" s="730" t="s">
        <v>1555</v>
      </c>
      <c r="CS10" s="40"/>
      <c r="CT10" s="40"/>
      <c r="CU10" s="40"/>
      <c r="CV10" s="40"/>
      <c r="CW10" s="40"/>
      <c r="CX10" s="40"/>
      <c r="CY10" s="40"/>
      <c r="CZ10" s="40"/>
      <c r="DA10" s="40"/>
      <c r="DB10" s="40"/>
      <c r="DC10" s="40"/>
      <c r="DD10" s="40"/>
      <c r="DE10" s="40"/>
    </row>
    <row r="11" spans="1:109" s="18" customFormat="1" ht="84" x14ac:dyDescent="0.25">
      <c r="A11" s="721"/>
      <c r="B11" s="632"/>
      <c r="C11" s="632"/>
      <c r="D11" s="632"/>
      <c r="E11" s="721"/>
      <c r="F11" s="632"/>
      <c r="G11" s="722"/>
      <c r="H11" s="511"/>
      <c r="I11" s="632"/>
      <c r="J11" s="511"/>
      <c r="K11" s="511"/>
      <c r="L11" s="721"/>
      <c r="M11" s="721"/>
      <c r="N11" s="721"/>
      <c r="O11" s="721"/>
      <c r="P11" s="721"/>
      <c r="Q11" s="712" t="s">
        <v>1556</v>
      </c>
      <c r="R11" s="712" t="s">
        <v>1515</v>
      </c>
      <c r="S11" s="713" t="s">
        <v>93</v>
      </c>
      <c r="T11" s="714">
        <v>0</v>
      </c>
      <c r="U11" s="719">
        <v>1</v>
      </c>
      <c r="V11" s="727"/>
      <c r="W11" s="727"/>
      <c r="X11" s="616"/>
      <c r="Y11" s="728"/>
      <c r="Z11" s="721"/>
      <c r="AA11" s="721"/>
      <c r="AB11" s="721"/>
      <c r="AC11" s="719">
        <v>0</v>
      </c>
      <c r="AD11" s="719">
        <v>1</v>
      </c>
      <c r="AE11" s="719">
        <v>0</v>
      </c>
      <c r="AF11" s="712" t="s">
        <v>1517</v>
      </c>
      <c r="AG11" s="728"/>
      <c r="AH11" s="721"/>
      <c r="AI11" s="721"/>
      <c r="AJ11" s="632"/>
      <c r="AK11" s="719">
        <v>0</v>
      </c>
      <c r="AL11" s="719">
        <v>1</v>
      </c>
      <c r="AM11" s="719">
        <v>0</v>
      </c>
      <c r="AN11" s="712" t="s">
        <v>1531</v>
      </c>
      <c r="AO11" s="728"/>
      <c r="AP11" s="721"/>
      <c r="AQ11" s="721"/>
      <c r="AR11" s="632"/>
      <c r="AS11" s="719">
        <v>0.05</v>
      </c>
      <c r="AT11" s="719">
        <v>1</v>
      </c>
      <c r="AU11" s="719">
        <v>0.05</v>
      </c>
      <c r="AV11" s="712" t="s">
        <v>1557</v>
      </c>
      <c r="AW11" s="728"/>
      <c r="AX11" s="721"/>
      <c r="AY11" s="721"/>
      <c r="AZ11" s="632"/>
      <c r="BA11" s="719">
        <v>0.1</v>
      </c>
      <c r="BB11" s="719">
        <v>1</v>
      </c>
      <c r="BC11" s="719">
        <v>0.15</v>
      </c>
      <c r="BD11" s="712" t="s">
        <v>1558</v>
      </c>
      <c r="BE11" s="728"/>
      <c r="BF11" s="721"/>
      <c r="BG11" s="721"/>
      <c r="BH11" s="632"/>
      <c r="BI11" s="719">
        <v>0.15</v>
      </c>
      <c r="BJ11" s="719">
        <v>1</v>
      </c>
      <c r="BK11" s="719">
        <v>0.3</v>
      </c>
      <c r="BL11" s="712" t="s">
        <v>1559</v>
      </c>
      <c r="BM11" s="728"/>
      <c r="BN11" s="721"/>
      <c r="BO11" s="721"/>
      <c r="BP11" s="632"/>
      <c r="BQ11" s="719">
        <v>0.15</v>
      </c>
      <c r="BR11" s="719">
        <v>1</v>
      </c>
      <c r="BS11" s="719">
        <v>0.45</v>
      </c>
      <c r="BT11" s="712" t="s">
        <v>1560</v>
      </c>
      <c r="BU11" s="728"/>
      <c r="BV11" s="721"/>
      <c r="BW11" s="721"/>
      <c r="BX11" s="632"/>
      <c r="BY11" s="719">
        <v>0.2</v>
      </c>
      <c r="BZ11" s="719">
        <v>1</v>
      </c>
      <c r="CA11" s="719">
        <v>0.65</v>
      </c>
      <c r="CB11" s="712" t="s">
        <v>1561</v>
      </c>
      <c r="CC11" s="728"/>
      <c r="CD11" s="721"/>
      <c r="CE11" s="721"/>
      <c r="CF11" s="632"/>
      <c r="CG11" s="719">
        <v>0.05</v>
      </c>
      <c r="CH11" s="719">
        <v>1</v>
      </c>
      <c r="CI11" s="719">
        <v>0.7</v>
      </c>
      <c r="CJ11" s="712" t="s">
        <v>1562</v>
      </c>
      <c r="CK11" s="728"/>
      <c r="CL11" s="721"/>
      <c r="CM11" s="721"/>
      <c r="CN11" s="632"/>
      <c r="CO11" s="719">
        <v>0.05</v>
      </c>
      <c r="CP11" s="719">
        <v>1</v>
      </c>
      <c r="CQ11" s="719">
        <v>0.75</v>
      </c>
      <c r="CR11" s="712" t="s">
        <v>1563</v>
      </c>
      <c r="CS11" s="40"/>
      <c r="CT11" s="40"/>
      <c r="CU11" s="40"/>
      <c r="CV11" s="40"/>
      <c r="CW11" s="40"/>
      <c r="CX11" s="40"/>
      <c r="CY11" s="40"/>
      <c r="CZ11" s="40"/>
      <c r="DA11" s="40"/>
      <c r="DB11" s="40"/>
      <c r="DC11" s="40"/>
      <c r="DD11" s="40"/>
      <c r="DE11" s="40"/>
    </row>
    <row r="12" spans="1:109" s="29" customFormat="1" ht="84" x14ac:dyDescent="0.25">
      <c r="A12" s="379" t="s">
        <v>47</v>
      </c>
      <c r="B12" s="379" t="s">
        <v>48</v>
      </c>
      <c r="C12" s="379" t="s">
        <v>49</v>
      </c>
      <c r="D12" s="731"/>
      <c r="E12" s="618" t="s">
        <v>90</v>
      </c>
      <c r="F12" s="618" t="s">
        <v>52</v>
      </c>
      <c r="G12" s="722"/>
      <c r="H12" s="511"/>
      <c r="I12" s="632"/>
      <c r="J12" s="511"/>
      <c r="K12" s="511"/>
      <c r="L12" s="732" t="s">
        <v>1564</v>
      </c>
      <c r="M12" s="381" t="s">
        <v>1565</v>
      </c>
      <c r="N12" s="733" t="s">
        <v>93</v>
      </c>
      <c r="O12" s="734">
        <v>0</v>
      </c>
      <c r="P12" s="734">
        <v>0.95</v>
      </c>
      <c r="Q12" s="723" t="s">
        <v>1566</v>
      </c>
      <c r="R12" s="724" t="s">
        <v>1515</v>
      </c>
      <c r="S12" s="723" t="s">
        <v>93</v>
      </c>
      <c r="T12" s="725">
        <v>0</v>
      </c>
      <c r="U12" s="735">
        <v>1</v>
      </c>
      <c r="V12" s="727"/>
      <c r="W12" s="727"/>
      <c r="X12" s="616"/>
      <c r="Y12" s="736"/>
      <c r="Z12" s="737">
        <v>0.95</v>
      </c>
      <c r="AA12" s="738">
        <v>9.9000000000000005E-2</v>
      </c>
      <c r="AB12" s="736"/>
      <c r="AC12" s="739">
        <v>0</v>
      </c>
      <c r="AD12" s="739">
        <v>1</v>
      </c>
      <c r="AE12" s="739">
        <v>0</v>
      </c>
      <c r="AF12" s="723" t="s">
        <v>1517</v>
      </c>
      <c r="AG12" s="740">
        <v>0.17399999999999999</v>
      </c>
      <c r="AH12" s="737">
        <v>0.95</v>
      </c>
      <c r="AI12" s="738">
        <v>0.17399999999999999</v>
      </c>
      <c r="AJ12" s="736"/>
      <c r="AK12" s="739">
        <v>0.08</v>
      </c>
      <c r="AL12" s="739">
        <v>1</v>
      </c>
      <c r="AM12" s="739">
        <v>0.08</v>
      </c>
      <c r="AN12" s="724" t="s">
        <v>1567</v>
      </c>
      <c r="AO12" s="740"/>
      <c r="AP12" s="737">
        <v>0.95</v>
      </c>
      <c r="AQ12" s="738" t="s">
        <v>1568</v>
      </c>
      <c r="AR12" s="736"/>
      <c r="AS12" s="741">
        <v>0.28000000000000003</v>
      </c>
      <c r="AT12" s="741">
        <v>1</v>
      </c>
      <c r="AU12" s="741">
        <v>0.36</v>
      </c>
      <c r="AV12" s="379" t="s">
        <v>1569</v>
      </c>
      <c r="AW12" s="740"/>
      <c r="AX12" s="737">
        <v>0.95</v>
      </c>
      <c r="AY12" s="738">
        <v>0.35599999999999998</v>
      </c>
      <c r="AZ12" s="736"/>
      <c r="BA12" s="741">
        <v>0.08</v>
      </c>
      <c r="BB12" s="741">
        <v>1</v>
      </c>
      <c r="BC12" s="741">
        <v>0.4</v>
      </c>
      <c r="BD12" s="379" t="s">
        <v>1570</v>
      </c>
      <c r="BE12" s="740"/>
      <c r="BF12" s="737">
        <v>0.95</v>
      </c>
      <c r="BG12" s="738">
        <v>0.44700000000000001</v>
      </c>
      <c r="BH12" s="736"/>
      <c r="BI12" s="741">
        <v>0.05</v>
      </c>
      <c r="BJ12" s="741">
        <v>1</v>
      </c>
      <c r="BK12" s="741">
        <v>0.45</v>
      </c>
      <c r="BL12" s="742" t="s">
        <v>1571</v>
      </c>
      <c r="BM12" s="743">
        <v>0.10440000000000001</v>
      </c>
      <c r="BN12" s="737">
        <v>0.95</v>
      </c>
      <c r="BO12" s="738">
        <v>0.55100000000000005</v>
      </c>
      <c r="BP12" s="736"/>
      <c r="BQ12" s="741">
        <v>0.05</v>
      </c>
      <c r="BR12" s="741">
        <v>1</v>
      </c>
      <c r="BS12" s="741">
        <v>0.5</v>
      </c>
      <c r="BT12" s="742" t="s">
        <v>1572</v>
      </c>
      <c r="BU12" s="743"/>
      <c r="BV12" s="737">
        <v>0.95</v>
      </c>
      <c r="BW12" s="743">
        <v>0.60299999999999998</v>
      </c>
      <c r="BX12" s="736"/>
      <c r="BY12" s="741">
        <v>0.1</v>
      </c>
      <c r="BZ12" s="741">
        <v>1</v>
      </c>
      <c r="CA12" s="741">
        <v>0.6</v>
      </c>
      <c r="CB12" s="742" t="s">
        <v>1573</v>
      </c>
      <c r="CC12" s="743"/>
      <c r="CD12" s="737">
        <v>0.95</v>
      </c>
      <c r="CE12" s="743">
        <v>0.68799999999999994</v>
      </c>
      <c r="CF12" s="736"/>
      <c r="CG12" s="741">
        <v>0.1</v>
      </c>
      <c r="CH12" s="741">
        <v>1</v>
      </c>
      <c r="CI12" s="741">
        <v>0.7</v>
      </c>
      <c r="CJ12" s="742" t="s">
        <v>1574</v>
      </c>
      <c r="CK12" s="743"/>
      <c r="CL12" s="737">
        <v>0.95</v>
      </c>
      <c r="CM12" s="737" t="s">
        <v>1575</v>
      </c>
      <c r="CN12" s="736"/>
      <c r="CO12" s="741">
        <v>0.05</v>
      </c>
      <c r="CP12" s="741">
        <v>1</v>
      </c>
      <c r="CQ12" s="741">
        <v>0.75</v>
      </c>
      <c r="CR12" s="742" t="s">
        <v>1576</v>
      </c>
      <c r="CS12" s="40"/>
      <c r="CT12" s="40"/>
      <c r="CU12" s="40"/>
      <c r="CV12" s="40"/>
      <c r="CW12" s="40"/>
      <c r="CX12" s="40"/>
      <c r="CY12" s="40"/>
      <c r="CZ12" s="40"/>
      <c r="DA12" s="40"/>
      <c r="DB12" s="40"/>
      <c r="DC12" s="40"/>
      <c r="DD12" s="40"/>
      <c r="DE12" s="40"/>
    </row>
    <row r="13" spans="1:109" s="29" customFormat="1" ht="216" x14ac:dyDescent="0.25">
      <c r="A13" s="631" t="s">
        <v>47</v>
      </c>
      <c r="B13" s="631" t="s">
        <v>48</v>
      </c>
      <c r="C13" s="631" t="s">
        <v>49</v>
      </c>
      <c r="D13" s="618" t="s">
        <v>717</v>
      </c>
      <c r="E13" s="616"/>
      <c r="F13" s="616"/>
      <c r="G13" s="722"/>
      <c r="H13" s="511"/>
      <c r="I13" s="632"/>
      <c r="J13" s="511"/>
      <c r="K13" s="511"/>
      <c r="L13" s="710" t="s">
        <v>1577</v>
      </c>
      <c r="M13" s="631" t="s">
        <v>1578</v>
      </c>
      <c r="N13" s="710" t="s">
        <v>60</v>
      </c>
      <c r="O13" s="710">
        <v>0</v>
      </c>
      <c r="P13" s="710">
        <v>3</v>
      </c>
      <c r="Q13" s="712" t="s">
        <v>1579</v>
      </c>
      <c r="R13" s="712" t="s">
        <v>1515</v>
      </c>
      <c r="S13" s="713" t="s">
        <v>93</v>
      </c>
      <c r="T13" s="714">
        <v>0</v>
      </c>
      <c r="U13" s="719">
        <v>1</v>
      </c>
      <c r="V13" s="727"/>
      <c r="W13" s="727"/>
      <c r="X13" s="616"/>
      <c r="Y13" s="744">
        <v>0.3</v>
      </c>
      <c r="Z13" s="710">
        <v>3</v>
      </c>
      <c r="AA13" s="717">
        <v>0.3</v>
      </c>
      <c r="AB13" s="710"/>
      <c r="AC13" s="719">
        <v>0.4</v>
      </c>
      <c r="AD13" s="719">
        <v>1</v>
      </c>
      <c r="AE13" s="719">
        <v>0.4</v>
      </c>
      <c r="AF13" s="714"/>
      <c r="AG13" s="744">
        <v>0.16</v>
      </c>
      <c r="AH13" s="710">
        <v>3</v>
      </c>
      <c r="AI13" s="717">
        <f>30%+AG13</f>
        <v>0.45999999999999996</v>
      </c>
      <c r="AJ13" s="631" t="s">
        <v>1580</v>
      </c>
      <c r="AK13" s="719">
        <v>0.05</v>
      </c>
      <c r="AL13" s="719">
        <v>1</v>
      </c>
      <c r="AM13" s="719">
        <v>0.45</v>
      </c>
      <c r="AN13" s="712" t="s">
        <v>1581</v>
      </c>
      <c r="AO13" s="744">
        <v>0.14000000000000001</v>
      </c>
      <c r="AP13" s="710">
        <v>3</v>
      </c>
      <c r="AQ13" s="717">
        <v>0.6</v>
      </c>
      <c r="AR13" s="631" t="s">
        <v>1582</v>
      </c>
      <c r="AS13" s="719">
        <v>0.27</v>
      </c>
      <c r="AT13" s="719">
        <v>1</v>
      </c>
      <c r="AU13" s="719">
        <v>0.72</v>
      </c>
      <c r="AV13" s="712" t="s">
        <v>1583</v>
      </c>
      <c r="AW13" s="744">
        <v>0.08</v>
      </c>
      <c r="AX13" s="710">
        <v>3</v>
      </c>
      <c r="AY13" s="717">
        <v>0.68</v>
      </c>
      <c r="AZ13" s="631" t="s">
        <v>1584</v>
      </c>
      <c r="BA13" s="719">
        <v>0.08</v>
      </c>
      <c r="BB13" s="719">
        <v>1</v>
      </c>
      <c r="BC13" s="719">
        <v>0.8</v>
      </c>
      <c r="BD13" s="712" t="s">
        <v>1585</v>
      </c>
      <c r="BE13" s="744">
        <v>0</v>
      </c>
      <c r="BF13" s="710">
        <v>3</v>
      </c>
      <c r="BG13" s="717">
        <v>0.68</v>
      </c>
      <c r="BH13" s="631" t="s">
        <v>1586</v>
      </c>
      <c r="BI13" s="719">
        <v>0</v>
      </c>
      <c r="BJ13" s="719">
        <v>1</v>
      </c>
      <c r="BK13" s="719">
        <v>0.8</v>
      </c>
      <c r="BL13" s="712" t="s">
        <v>1587</v>
      </c>
      <c r="BM13" s="744">
        <v>0</v>
      </c>
      <c r="BN13" s="710">
        <v>3</v>
      </c>
      <c r="BO13" s="717">
        <v>0.68</v>
      </c>
      <c r="BP13" s="631" t="s">
        <v>1586</v>
      </c>
      <c r="BQ13" s="719">
        <v>0.02</v>
      </c>
      <c r="BR13" s="719">
        <v>1</v>
      </c>
      <c r="BS13" s="719">
        <v>0.82</v>
      </c>
      <c r="BT13" s="712" t="s">
        <v>1588</v>
      </c>
      <c r="BU13" s="744">
        <v>0.06</v>
      </c>
      <c r="BV13" s="710">
        <v>3</v>
      </c>
      <c r="BW13" s="717">
        <v>0.74</v>
      </c>
      <c r="BX13" s="631" t="s">
        <v>1589</v>
      </c>
      <c r="BY13" s="719">
        <v>0.18</v>
      </c>
      <c r="BZ13" s="719">
        <v>1</v>
      </c>
      <c r="CA13" s="719">
        <v>1</v>
      </c>
      <c r="CB13" s="712" t="s">
        <v>1590</v>
      </c>
      <c r="CC13" s="744">
        <v>0.03</v>
      </c>
      <c r="CD13" s="710">
        <v>3</v>
      </c>
      <c r="CE13" s="717">
        <v>0.77</v>
      </c>
      <c r="CF13" s="631" t="s">
        <v>1591</v>
      </c>
      <c r="CG13" s="719"/>
      <c r="CH13" s="719">
        <v>1</v>
      </c>
      <c r="CI13" s="719">
        <v>1</v>
      </c>
      <c r="CJ13" s="712" t="s">
        <v>1592</v>
      </c>
      <c r="CK13" s="744">
        <v>7.0000000000000007E-2</v>
      </c>
      <c r="CL13" s="710">
        <v>3</v>
      </c>
      <c r="CM13" s="717">
        <v>0.84</v>
      </c>
      <c r="CN13" s="631" t="s">
        <v>1593</v>
      </c>
      <c r="CO13" s="719"/>
      <c r="CP13" s="719">
        <v>1</v>
      </c>
      <c r="CQ13" s="719">
        <v>1</v>
      </c>
      <c r="CR13" s="712" t="s">
        <v>1592</v>
      </c>
      <c r="CS13" s="40"/>
      <c r="CT13" s="40"/>
      <c r="CU13" s="40"/>
      <c r="CV13" s="40"/>
      <c r="CW13" s="40"/>
      <c r="CX13" s="40"/>
      <c r="CY13" s="40"/>
      <c r="CZ13" s="40"/>
      <c r="DA13" s="40"/>
      <c r="DB13" s="40"/>
      <c r="DC13" s="40"/>
      <c r="DD13" s="40"/>
      <c r="DE13" s="40"/>
    </row>
    <row r="14" spans="1:109" s="29" customFormat="1" ht="180" x14ac:dyDescent="0.25">
      <c r="A14" s="632"/>
      <c r="B14" s="632"/>
      <c r="C14" s="632"/>
      <c r="D14" s="616"/>
      <c r="E14" s="616"/>
      <c r="F14" s="616"/>
      <c r="G14" s="722"/>
      <c r="H14" s="511"/>
      <c r="I14" s="632"/>
      <c r="J14" s="511"/>
      <c r="K14" s="511"/>
      <c r="L14" s="721"/>
      <c r="M14" s="632"/>
      <c r="N14" s="721"/>
      <c r="O14" s="721"/>
      <c r="P14" s="721"/>
      <c r="Q14" s="723" t="s">
        <v>1594</v>
      </c>
      <c r="R14" s="724" t="s">
        <v>1515</v>
      </c>
      <c r="S14" s="723" t="s">
        <v>93</v>
      </c>
      <c r="T14" s="725">
        <v>0</v>
      </c>
      <c r="U14" s="726">
        <v>1</v>
      </c>
      <c r="V14" s="727"/>
      <c r="W14" s="727"/>
      <c r="X14" s="616"/>
      <c r="Y14" s="745"/>
      <c r="Z14" s="721"/>
      <c r="AA14" s="728"/>
      <c r="AB14" s="721"/>
      <c r="AC14" s="735">
        <v>0.05</v>
      </c>
      <c r="AD14" s="726">
        <v>1</v>
      </c>
      <c r="AE14" s="726">
        <v>0.05</v>
      </c>
      <c r="AF14" s="735"/>
      <c r="AG14" s="745"/>
      <c r="AH14" s="721"/>
      <c r="AI14" s="728"/>
      <c r="AJ14" s="632"/>
      <c r="AK14" s="735">
        <v>0.38</v>
      </c>
      <c r="AL14" s="726">
        <v>1</v>
      </c>
      <c r="AM14" s="726">
        <v>0.43</v>
      </c>
      <c r="AN14" s="746" t="s">
        <v>1595</v>
      </c>
      <c r="AO14" s="745"/>
      <c r="AP14" s="721"/>
      <c r="AQ14" s="728"/>
      <c r="AR14" s="632"/>
      <c r="AS14" s="735">
        <v>0.05</v>
      </c>
      <c r="AT14" s="726">
        <v>1</v>
      </c>
      <c r="AU14" s="726">
        <v>0.48</v>
      </c>
      <c r="AV14" s="746" t="s">
        <v>1596</v>
      </c>
      <c r="AW14" s="745"/>
      <c r="AX14" s="721"/>
      <c r="AY14" s="728"/>
      <c r="AZ14" s="632"/>
      <c r="BA14" s="735">
        <v>0</v>
      </c>
      <c r="BB14" s="726">
        <v>1</v>
      </c>
      <c r="BC14" s="726">
        <v>0.48</v>
      </c>
      <c r="BD14" s="746" t="s">
        <v>1596</v>
      </c>
      <c r="BE14" s="745"/>
      <c r="BF14" s="721"/>
      <c r="BG14" s="728"/>
      <c r="BH14" s="632"/>
      <c r="BI14" s="735">
        <v>0</v>
      </c>
      <c r="BJ14" s="726">
        <v>1</v>
      </c>
      <c r="BK14" s="726">
        <v>0.48</v>
      </c>
      <c r="BL14" s="742" t="s">
        <v>1587</v>
      </c>
      <c r="BM14" s="745"/>
      <c r="BN14" s="721"/>
      <c r="BO14" s="728"/>
      <c r="BP14" s="632"/>
      <c r="BQ14" s="735">
        <v>0</v>
      </c>
      <c r="BR14" s="726">
        <v>1</v>
      </c>
      <c r="BS14" s="726">
        <v>0.48</v>
      </c>
      <c r="BT14" s="742" t="s">
        <v>1597</v>
      </c>
      <c r="BU14" s="745"/>
      <c r="BV14" s="721"/>
      <c r="BW14" s="728"/>
      <c r="BX14" s="632"/>
      <c r="BY14" s="735">
        <v>0</v>
      </c>
      <c r="BZ14" s="726">
        <v>1</v>
      </c>
      <c r="CA14" s="726">
        <v>0.48</v>
      </c>
      <c r="CB14" s="742" t="s">
        <v>1598</v>
      </c>
      <c r="CC14" s="745"/>
      <c r="CD14" s="721"/>
      <c r="CE14" s="728"/>
      <c r="CF14" s="632"/>
      <c r="CG14" s="735">
        <v>0.09</v>
      </c>
      <c r="CH14" s="726">
        <v>1</v>
      </c>
      <c r="CI14" s="726">
        <v>0.56999999999999995</v>
      </c>
      <c r="CJ14" s="742"/>
      <c r="CK14" s="745"/>
      <c r="CL14" s="721"/>
      <c r="CM14" s="728"/>
      <c r="CN14" s="632"/>
      <c r="CO14" s="735">
        <v>0.2</v>
      </c>
      <c r="CP14" s="726">
        <v>1</v>
      </c>
      <c r="CQ14" s="726">
        <v>0.77</v>
      </c>
      <c r="CR14" s="742" t="s">
        <v>1599</v>
      </c>
      <c r="CS14" s="40"/>
      <c r="CT14" s="40"/>
      <c r="CU14" s="40"/>
      <c r="CV14" s="40"/>
      <c r="CW14" s="40"/>
      <c r="CX14" s="40"/>
      <c r="CY14" s="40"/>
      <c r="CZ14" s="40"/>
      <c r="DA14" s="40"/>
      <c r="DB14" s="40"/>
      <c r="DC14" s="40"/>
      <c r="DD14" s="40"/>
      <c r="DE14" s="40"/>
    </row>
    <row r="15" spans="1:109" s="18" customFormat="1" ht="168" x14ac:dyDescent="0.25">
      <c r="A15" s="731"/>
      <c r="B15" s="731"/>
      <c r="C15" s="731"/>
      <c r="D15" s="616"/>
      <c r="E15" s="617"/>
      <c r="F15" s="617"/>
      <c r="G15" s="722"/>
      <c r="H15" s="511"/>
      <c r="I15" s="632"/>
      <c r="J15" s="511"/>
      <c r="K15" s="511"/>
      <c r="L15" s="747"/>
      <c r="M15" s="731"/>
      <c r="N15" s="747"/>
      <c r="O15" s="747"/>
      <c r="P15" s="747"/>
      <c r="Q15" s="712" t="s">
        <v>1600</v>
      </c>
      <c r="R15" s="712" t="s">
        <v>1515</v>
      </c>
      <c r="S15" s="713" t="s">
        <v>93</v>
      </c>
      <c r="T15" s="714">
        <v>0</v>
      </c>
      <c r="U15" s="719">
        <v>1</v>
      </c>
      <c r="V15" s="748"/>
      <c r="W15" s="748"/>
      <c r="X15" s="616"/>
      <c r="Y15" s="749"/>
      <c r="Z15" s="747"/>
      <c r="AA15" s="750"/>
      <c r="AB15" s="747"/>
      <c r="AC15" s="751">
        <v>0.45</v>
      </c>
      <c r="AD15" s="751">
        <v>1</v>
      </c>
      <c r="AE15" s="751">
        <v>0.45</v>
      </c>
      <c r="AF15" s="713"/>
      <c r="AG15" s="749"/>
      <c r="AH15" s="747"/>
      <c r="AI15" s="750"/>
      <c r="AJ15" s="731"/>
      <c r="AK15" s="751">
        <v>0.05</v>
      </c>
      <c r="AL15" s="751">
        <v>1</v>
      </c>
      <c r="AM15" s="751">
        <v>0.5</v>
      </c>
      <c r="AN15" s="712" t="s">
        <v>1601</v>
      </c>
      <c r="AO15" s="749"/>
      <c r="AP15" s="747"/>
      <c r="AQ15" s="750"/>
      <c r="AR15" s="731"/>
      <c r="AS15" s="751">
        <v>0.1</v>
      </c>
      <c r="AT15" s="751">
        <v>1</v>
      </c>
      <c r="AU15" s="751">
        <v>0.6</v>
      </c>
      <c r="AV15" s="712" t="s">
        <v>1602</v>
      </c>
      <c r="AW15" s="749"/>
      <c r="AX15" s="747"/>
      <c r="AY15" s="750"/>
      <c r="AZ15" s="731"/>
      <c r="BA15" s="751">
        <v>0.15</v>
      </c>
      <c r="BB15" s="751">
        <v>1</v>
      </c>
      <c r="BC15" s="751">
        <v>0.75</v>
      </c>
      <c r="BD15" s="712" t="s">
        <v>1603</v>
      </c>
      <c r="BE15" s="749"/>
      <c r="BF15" s="747"/>
      <c r="BG15" s="750"/>
      <c r="BH15" s="731"/>
      <c r="BI15" s="751">
        <v>0</v>
      </c>
      <c r="BJ15" s="751">
        <v>1</v>
      </c>
      <c r="BK15" s="751">
        <v>0.75</v>
      </c>
      <c r="BL15" s="712" t="s">
        <v>1587</v>
      </c>
      <c r="BM15" s="749"/>
      <c r="BN15" s="747"/>
      <c r="BO15" s="750"/>
      <c r="BP15" s="731"/>
      <c r="BQ15" s="751">
        <v>0</v>
      </c>
      <c r="BR15" s="751">
        <v>1</v>
      </c>
      <c r="BS15" s="751">
        <v>0.75</v>
      </c>
      <c r="BT15" s="712" t="s">
        <v>1597</v>
      </c>
      <c r="BU15" s="749"/>
      <c r="BV15" s="747"/>
      <c r="BW15" s="750"/>
      <c r="BX15" s="731"/>
      <c r="BY15" s="751">
        <v>0</v>
      </c>
      <c r="BZ15" s="751">
        <v>1</v>
      </c>
      <c r="CA15" s="751">
        <v>0.75</v>
      </c>
      <c r="CB15" s="712" t="s">
        <v>1598</v>
      </c>
      <c r="CC15" s="749"/>
      <c r="CD15" s="747"/>
      <c r="CE15" s="750"/>
      <c r="CF15" s="731"/>
      <c r="CG15" s="751">
        <v>0</v>
      </c>
      <c r="CH15" s="751">
        <v>1</v>
      </c>
      <c r="CI15" s="751">
        <v>0.75</v>
      </c>
      <c r="CJ15" s="712" t="s">
        <v>1603</v>
      </c>
      <c r="CK15" s="749"/>
      <c r="CL15" s="747"/>
      <c r="CM15" s="750"/>
      <c r="CN15" s="731"/>
      <c r="CO15" s="751">
        <v>0</v>
      </c>
      <c r="CP15" s="751">
        <v>1</v>
      </c>
      <c r="CQ15" s="751">
        <v>0.75</v>
      </c>
      <c r="CR15" s="712" t="s">
        <v>1604</v>
      </c>
      <c r="CS15" s="40"/>
      <c r="CT15" s="40"/>
      <c r="CU15" s="40"/>
      <c r="CV15" s="40"/>
      <c r="CW15" s="40"/>
      <c r="CX15" s="40"/>
      <c r="CY15" s="40"/>
      <c r="CZ15" s="40"/>
      <c r="DA15" s="40"/>
      <c r="DB15" s="40"/>
      <c r="DC15" s="40"/>
      <c r="DD15" s="40"/>
      <c r="DE15" s="40"/>
    </row>
    <row r="16" spans="1:109" s="29" customFormat="1" ht="60" x14ac:dyDescent="0.25">
      <c r="A16" s="752" t="s">
        <v>47</v>
      </c>
      <c r="B16" s="752" t="s">
        <v>48</v>
      </c>
      <c r="C16" s="752" t="s">
        <v>49</v>
      </c>
      <c r="D16" s="752" t="s">
        <v>354</v>
      </c>
      <c r="E16" s="752" t="s">
        <v>1221</v>
      </c>
      <c r="F16" s="753" t="s">
        <v>1221</v>
      </c>
      <c r="G16" s="722"/>
      <c r="H16" s="511"/>
      <c r="I16" s="731"/>
      <c r="J16" s="511"/>
      <c r="K16" s="511"/>
      <c r="L16" s="725" t="s">
        <v>1605</v>
      </c>
      <c r="M16" s="724" t="s">
        <v>1606</v>
      </c>
      <c r="N16" s="725" t="s">
        <v>60</v>
      </c>
      <c r="O16" s="725">
        <v>0</v>
      </c>
      <c r="P16" s="754">
        <v>5</v>
      </c>
      <c r="V16" s="754"/>
      <c r="W16" s="754"/>
      <c r="X16" s="754"/>
      <c r="Y16" s="754">
        <v>0</v>
      </c>
      <c r="Z16" s="754">
        <v>5</v>
      </c>
      <c r="AA16" s="726">
        <v>0</v>
      </c>
      <c r="AB16" s="755" t="s">
        <v>1517</v>
      </c>
      <c r="AC16" s="756"/>
      <c r="AD16" s="756"/>
      <c r="AE16" s="756"/>
      <c r="AF16" s="756"/>
      <c r="AG16" s="754">
        <v>1</v>
      </c>
      <c r="AH16" s="754">
        <v>5</v>
      </c>
      <c r="AI16" s="726">
        <f>AG16/AH16</f>
        <v>0.2</v>
      </c>
      <c r="AJ16" s="755" t="s">
        <v>1607</v>
      </c>
      <c r="AK16" s="756"/>
      <c r="AL16" s="756"/>
      <c r="AM16" s="756"/>
      <c r="AN16" s="756"/>
      <c r="AO16" s="754">
        <v>1</v>
      </c>
      <c r="AP16" s="754">
        <v>5</v>
      </c>
      <c r="AQ16" s="726">
        <v>0.2</v>
      </c>
      <c r="AR16" s="755" t="s">
        <v>1608</v>
      </c>
      <c r="AS16" s="756"/>
      <c r="AT16" s="756"/>
      <c r="AU16" s="756"/>
      <c r="AV16" s="756"/>
      <c r="AW16" s="754">
        <v>1</v>
      </c>
      <c r="AX16" s="754">
        <v>5</v>
      </c>
      <c r="AY16" s="726">
        <v>0.2</v>
      </c>
      <c r="AZ16" s="755" t="s">
        <v>1609</v>
      </c>
      <c r="BA16" s="756"/>
      <c r="BB16" s="756"/>
      <c r="BC16" s="756"/>
      <c r="BD16" s="756"/>
      <c r="BE16" s="754">
        <v>1</v>
      </c>
      <c r="BF16" s="754">
        <v>5</v>
      </c>
      <c r="BG16" s="726">
        <v>0.2</v>
      </c>
      <c r="BH16" s="755" t="s">
        <v>1610</v>
      </c>
      <c r="BI16" s="756"/>
      <c r="BJ16" s="756"/>
      <c r="BK16" s="756"/>
      <c r="BL16" s="756"/>
      <c r="BM16" s="754">
        <v>4</v>
      </c>
      <c r="BN16" s="754">
        <v>5</v>
      </c>
      <c r="BO16" s="726">
        <f>BM16/BN16</f>
        <v>0.8</v>
      </c>
      <c r="BP16" s="755" t="s">
        <v>1611</v>
      </c>
      <c r="BQ16" s="756"/>
      <c r="BR16" s="756"/>
      <c r="BS16" s="756"/>
      <c r="BT16" s="756"/>
      <c r="BU16" s="754">
        <v>4</v>
      </c>
      <c r="BV16" s="754">
        <v>5</v>
      </c>
      <c r="BW16" s="726">
        <v>0.8</v>
      </c>
      <c r="BX16" s="755" t="s">
        <v>1612</v>
      </c>
      <c r="BY16" s="756"/>
      <c r="BZ16" s="756"/>
      <c r="CA16" s="756"/>
      <c r="CB16" s="756"/>
      <c r="CC16" s="754">
        <v>5</v>
      </c>
      <c r="CD16" s="754">
        <v>5</v>
      </c>
      <c r="CE16" s="726">
        <v>1</v>
      </c>
      <c r="CF16" s="755" t="s">
        <v>1613</v>
      </c>
      <c r="CG16" s="756"/>
      <c r="CH16" s="756"/>
      <c r="CI16" s="756"/>
      <c r="CJ16" s="756"/>
      <c r="CK16" s="754">
        <v>5</v>
      </c>
      <c r="CL16" s="754">
        <v>5</v>
      </c>
      <c r="CM16" s="726">
        <v>1</v>
      </c>
      <c r="CN16" s="755" t="s">
        <v>1614</v>
      </c>
      <c r="CO16" s="756"/>
      <c r="CP16" s="756"/>
      <c r="CQ16" s="756"/>
      <c r="CR16" s="756"/>
      <c r="CS16" s="40"/>
      <c r="CT16" s="40"/>
      <c r="CU16" s="40"/>
      <c r="CV16" s="40"/>
      <c r="CW16" s="40"/>
      <c r="CX16" s="40"/>
      <c r="CY16" s="40"/>
      <c r="CZ16" s="40"/>
      <c r="DA16" s="40"/>
      <c r="DB16" s="40"/>
      <c r="DC16" s="40"/>
      <c r="DD16" s="40"/>
      <c r="DE16" s="40"/>
    </row>
    <row r="17" spans="1:96" ht="396" x14ac:dyDescent="0.25">
      <c r="A17" s="712" t="s">
        <v>47</v>
      </c>
      <c r="B17" s="712" t="s">
        <v>48</v>
      </c>
      <c r="C17" s="712" t="s">
        <v>49</v>
      </c>
      <c r="D17" s="712" t="s">
        <v>717</v>
      </c>
      <c r="E17" s="757" t="s">
        <v>51</v>
      </c>
      <c r="F17" s="712" t="s">
        <v>851</v>
      </c>
      <c r="G17" s="722"/>
      <c r="H17" s="511"/>
      <c r="I17" s="380"/>
      <c r="J17" s="511"/>
      <c r="K17" s="511"/>
      <c r="L17" s="712" t="s">
        <v>1615</v>
      </c>
      <c r="M17" s="712" t="s">
        <v>1515</v>
      </c>
      <c r="N17" s="712" t="s">
        <v>93</v>
      </c>
      <c r="O17" s="712">
        <v>0</v>
      </c>
      <c r="P17" s="758">
        <v>1</v>
      </c>
      <c r="Q17" s="712"/>
      <c r="R17" s="712"/>
      <c r="S17" s="712"/>
      <c r="T17" s="712"/>
      <c r="U17" s="712"/>
      <c r="V17" s="712"/>
      <c r="W17" s="712"/>
      <c r="X17" s="712"/>
      <c r="Y17" s="758">
        <v>0</v>
      </c>
      <c r="Z17" s="693">
        <v>1</v>
      </c>
      <c r="AA17" s="701">
        <v>0</v>
      </c>
      <c r="AB17" s="712" t="s">
        <v>1517</v>
      </c>
      <c r="AC17" s="759"/>
      <c r="AD17" s="759"/>
      <c r="AE17" s="759"/>
      <c r="AF17" s="759"/>
      <c r="AG17" s="758">
        <v>0.03</v>
      </c>
      <c r="AH17" s="693">
        <v>1</v>
      </c>
      <c r="AI17" s="701">
        <v>0.03</v>
      </c>
      <c r="AJ17" s="712"/>
      <c r="AK17" s="759"/>
      <c r="AL17" s="759"/>
      <c r="AM17" s="759"/>
      <c r="AN17" s="759"/>
      <c r="AO17" s="758">
        <v>0.03</v>
      </c>
      <c r="AP17" s="693">
        <v>1</v>
      </c>
      <c r="AQ17" s="701">
        <v>0.06</v>
      </c>
      <c r="AR17" s="712" t="s">
        <v>1616</v>
      </c>
      <c r="AS17" s="756"/>
      <c r="AT17" s="756"/>
      <c r="AU17" s="756"/>
      <c r="AV17" s="756"/>
      <c r="AW17" s="760">
        <v>1.2999999999999999E-2</v>
      </c>
      <c r="AX17" s="693">
        <v>1</v>
      </c>
      <c r="AY17" s="761">
        <f>6%+AW17</f>
        <v>7.2999999999999995E-2</v>
      </c>
      <c r="AZ17" s="712" t="s">
        <v>1617</v>
      </c>
      <c r="BA17" s="756"/>
      <c r="BB17" s="756"/>
      <c r="BC17" s="756"/>
      <c r="BD17" s="756"/>
      <c r="BE17" s="760">
        <v>0.219</v>
      </c>
      <c r="BF17" s="693">
        <v>1</v>
      </c>
      <c r="BG17" s="761">
        <v>0.29199999999999998</v>
      </c>
      <c r="BH17" s="712" t="s">
        <v>1618</v>
      </c>
      <c r="BI17" s="756"/>
      <c r="BJ17" s="756"/>
      <c r="BK17" s="756"/>
      <c r="BL17" s="756"/>
      <c r="BM17" s="760">
        <v>0.22800000000000001</v>
      </c>
      <c r="BN17" s="693">
        <v>1</v>
      </c>
      <c r="BO17" s="761">
        <v>0.52</v>
      </c>
      <c r="BP17" s="712" t="s">
        <v>1619</v>
      </c>
      <c r="BQ17" s="756"/>
      <c r="BR17" s="756"/>
      <c r="BS17" s="756"/>
      <c r="BT17" s="756"/>
      <c r="BU17" s="760">
        <v>0.109</v>
      </c>
      <c r="BV17" s="693">
        <v>1</v>
      </c>
      <c r="BW17" s="761">
        <v>0.629</v>
      </c>
      <c r="BX17" s="712" t="s">
        <v>1620</v>
      </c>
      <c r="BY17" s="756"/>
      <c r="BZ17" s="756"/>
      <c r="CA17" s="756"/>
      <c r="CB17" s="756"/>
      <c r="CC17" s="760">
        <v>0.155</v>
      </c>
      <c r="CD17" s="693">
        <v>1</v>
      </c>
      <c r="CE17" s="761">
        <v>0.78400000000000003</v>
      </c>
      <c r="CF17" s="762" t="s">
        <v>1621</v>
      </c>
      <c r="CG17" s="756"/>
      <c r="CH17" s="756"/>
      <c r="CI17" s="756"/>
      <c r="CJ17" s="756"/>
      <c r="CK17" s="760">
        <v>4.3999999999999997E-2</v>
      </c>
      <c r="CL17" s="693">
        <v>1</v>
      </c>
      <c r="CM17" s="761">
        <v>0.82799999999999996</v>
      </c>
      <c r="CN17" s="762" t="s">
        <v>1622</v>
      </c>
      <c r="CO17" s="756"/>
      <c r="CP17" s="756"/>
      <c r="CQ17" s="756"/>
      <c r="CR17" s="756"/>
    </row>
    <row r="18" spans="1:96" ht="96.75" thickBot="1" x14ac:dyDescent="0.3">
      <c r="A18" s="752" t="s">
        <v>47</v>
      </c>
      <c r="B18" s="752" t="s">
        <v>48</v>
      </c>
      <c r="C18" s="752" t="s">
        <v>49</v>
      </c>
      <c r="D18" s="752" t="s">
        <v>717</v>
      </c>
      <c r="E18" s="752" t="s">
        <v>745</v>
      </c>
      <c r="F18" s="753" t="s">
        <v>1508</v>
      </c>
      <c r="G18" s="722"/>
      <c r="H18" s="511"/>
      <c r="I18" s="752" t="s">
        <v>1623</v>
      </c>
      <c r="J18" s="511"/>
      <c r="K18" s="511"/>
      <c r="L18" s="752" t="s">
        <v>1624</v>
      </c>
      <c r="M18" s="724" t="s">
        <v>1515</v>
      </c>
      <c r="N18" s="725" t="s">
        <v>93</v>
      </c>
      <c r="O18" s="725">
        <v>0</v>
      </c>
      <c r="P18" s="754">
        <v>1</v>
      </c>
      <c r="Q18" s="29"/>
      <c r="R18" s="29"/>
      <c r="S18" s="29"/>
      <c r="T18" s="29"/>
      <c r="U18" s="29"/>
      <c r="V18" s="754"/>
      <c r="W18" s="754"/>
      <c r="X18" s="754"/>
      <c r="Y18" s="754">
        <v>0.1</v>
      </c>
      <c r="Z18" s="754">
        <v>1</v>
      </c>
      <c r="AA18" s="726">
        <v>0.1</v>
      </c>
      <c r="AB18" s="755"/>
      <c r="AC18" s="756"/>
      <c r="AD18" s="756"/>
      <c r="AE18" s="756"/>
      <c r="AF18" s="756"/>
      <c r="AG18" s="726">
        <v>0.1</v>
      </c>
      <c r="AH18" s="754">
        <v>1</v>
      </c>
      <c r="AI18" s="726">
        <v>0.2</v>
      </c>
      <c r="AJ18" s="755" t="s">
        <v>1625</v>
      </c>
      <c r="AK18" s="756"/>
      <c r="AL18" s="756"/>
      <c r="AM18" s="756"/>
      <c r="AN18" s="756"/>
      <c r="AO18" s="726">
        <v>0.35</v>
      </c>
      <c r="AP18" s="754">
        <v>1</v>
      </c>
      <c r="AQ18" s="726">
        <v>0.55000000000000004</v>
      </c>
      <c r="AR18" s="755" t="s">
        <v>1626</v>
      </c>
      <c r="AS18" s="759"/>
      <c r="AT18" s="759"/>
      <c r="AU18" s="759"/>
      <c r="AV18" s="759"/>
      <c r="AW18" s="726">
        <v>0</v>
      </c>
      <c r="AX18" s="726">
        <v>1</v>
      </c>
      <c r="AY18" s="726">
        <v>0.55000000000000004</v>
      </c>
      <c r="AZ18" s="755" t="s">
        <v>1627</v>
      </c>
      <c r="BA18" s="759"/>
      <c r="BB18" s="759"/>
      <c r="BC18" s="759"/>
      <c r="BD18" s="759"/>
      <c r="BE18" s="726">
        <v>0.25</v>
      </c>
      <c r="BF18" s="726">
        <v>1</v>
      </c>
      <c r="BG18" s="726">
        <v>0.8</v>
      </c>
      <c r="BH18" s="763" t="s">
        <v>1628</v>
      </c>
      <c r="BI18" s="759"/>
      <c r="BJ18" s="759"/>
      <c r="BK18" s="759"/>
      <c r="BL18" s="759"/>
      <c r="BM18" s="726">
        <v>0.2</v>
      </c>
      <c r="BN18" s="726">
        <v>1</v>
      </c>
      <c r="BO18" s="726">
        <v>1</v>
      </c>
      <c r="BP18" s="763" t="s">
        <v>1629</v>
      </c>
      <c r="BQ18" s="759"/>
      <c r="BR18" s="759"/>
      <c r="BS18" s="759"/>
      <c r="BT18" s="759"/>
      <c r="BU18" s="726">
        <v>0</v>
      </c>
      <c r="BV18" s="726">
        <v>1</v>
      </c>
      <c r="BW18" s="726">
        <v>1</v>
      </c>
      <c r="BX18" s="763" t="s">
        <v>1629</v>
      </c>
      <c r="BY18" s="759"/>
      <c r="BZ18" s="759"/>
      <c r="CA18" s="759"/>
      <c r="CB18" s="759"/>
      <c r="CC18" s="726"/>
      <c r="CD18" s="726">
        <v>1</v>
      </c>
      <c r="CE18" s="726">
        <v>1</v>
      </c>
      <c r="CF18" s="763" t="s">
        <v>1629</v>
      </c>
      <c r="CG18" s="759"/>
      <c r="CH18" s="759"/>
      <c r="CI18" s="759"/>
      <c r="CJ18" s="759"/>
      <c r="CK18" s="726"/>
      <c r="CL18" s="726">
        <v>1</v>
      </c>
      <c r="CM18" s="726">
        <v>1</v>
      </c>
      <c r="CN18" s="763" t="s">
        <v>1629</v>
      </c>
      <c r="CO18" s="759"/>
      <c r="CP18" s="759"/>
      <c r="CQ18" s="759"/>
      <c r="CR18" s="759"/>
    </row>
    <row r="19" spans="1:96" ht="36.75" thickBot="1" x14ac:dyDescent="0.3">
      <c r="Z19" s="764" t="s">
        <v>1630</v>
      </c>
      <c r="AA19" s="765" t="e">
        <f>AVERAGE(AA7,AA12,AA13,AA16,#REF!,AA17,AA18)</f>
        <v>#REF!</v>
      </c>
      <c r="AD19" s="764" t="s">
        <v>1631</v>
      </c>
      <c r="AE19" s="765">
        <f>AVERAGE(AE7,AE8,AE9,AE10,AE11,AE12,AE13,AE14,AE15)</f>
        <v>0.1111111111111111</v>
      </c>
      <c r="AH19" s="764" t="s">
        <v>1630</v>
      </c>
      <c r="AI19" s="765">
        <f>AVERAGE(AI7:AI18)</f>
        <v>0.18066666666666664</v>
      </c>
      <c r="AL19" s="764" t="s">
        <v>1631</v>
      </c>
      <c r="AM19" s="765">
        <f>AVERAGE(AM7:AM15)</f>
        <v>0.17555555555555558</v>
      </c>
      <c r="AP19" s="764" t="s">
        <v>1630</v>
      </c>
      <c r="AQ19" s="765">
        <f>AVERAGE(AQ7:AQ18)</f>
        <v>0.3</v>
      </c>
      <c r="AT19" s="764" t="s">
        <v>1631</v>
      </c>
      <c r="AU19" s="765">
        <f>AVERAGE(AU7:AU15)</f>
        <v>0.31374999999999997</v>
      </c>
      <c r="AX19" s="764" t="s">
        <v>1630</v>
      </c>
      <c r="AY19" s="765">
        <f>AVERAGE(AY7:AY18)</f>
        <v>0.35816666666666669</v>
      </c>
      <c r="BB19" s="764" t="s">
        <v>1631</v>
      </c>
      <c r="BC19" s="765">
        <f>AVERAGE(BC7:BC15)</f>
        <v>0.43071428571428572</v>
      </c>
      <c r="BF19" s="764" t="s">
        <v>1630</v>
      </c>
      <c r="BG19" s="765">
        <f>AVERAGE(BG7:BG18)</f>
        <v>0.50483333333333336</v>
      </c>
      <c r="BJ19" s="764" t="s">
        <v>1631</v>
      </c>
      <c r="BK19" s="765">
        <f>AVERAGE(BK7:BK15)</f>
        <v>0.61499999999999999</v>
      </c>
      <c r="BN19" s="764" t="s">
        <v>1630</v>
      </c>
      <c r="BO19" s="765">
        <f>AVERAGE(BO7:BO18)</f>
        <v>0.70033333333333336</v>
      </c>
      <c r="BR19" s="764" t="s">
        <v>1631</v>
      </c>
      <c r="BS19" s="765">
        <f>AVERAGE(BS7:BS15)</f>
        <v>0.64500000000000002</v>
      </c>
      <c r="BV19" s="764" t="s">
        <v>1630</v>
      </c>
      <c r="BW19" s="765">
        <f>AVERAGE(BW7:BW18)</f>
        <v>0.74816666666666654</v>
      </c>
      <c r="BZ19" s="764" t="s">
        <v>1631</v>
      </c>
      <c r="CA19" s="765">
        <f>AVERAGE(CA7:CA15)</f>
        <v>0.71277777777777773</v>
      </c>
      <c r="CD19" s="764" t="s">
        <v>1630</v>
      </c>
      <c r="CE19" s="765">
        <f>AVERAGE(CE7:CE18)</f>
        <v>0.83033333333333337</v>
      </c>
      <c r="CH19" s="764" t="s">
        <v>1631</v>
      </c>
      <c r="CI19" s="765">
        <f>AVERAGE(CI7:CI15)</f>
        <v>0.7466666666666667</v>
      </c>
      <c r="CL19" s="764" t="s">
        <v>1630</v>
      </c>
      <c r="CM19" s="765">
        <f>AVERAGE(CM7:CM18)</f>
        <v>0.92199999999999993</v>
      </c>
      <c r="CP19" s="764" t="s">
        <v>1631</v>
      </c>
      <c r="CQ19" s="765">
        <f>AVERAGE(CQ7:CQ15)</f>
        <v>0.88666666666666671</v>
      </c>
    </row>
  </sheetData>
  <sheetProtection algorithmName="SHA-512" hashValue="5EzIbK1WJ2yvoRJxOPvPh5DWSvNDCoDB/QDF51UvX59CaOlhJ+j4EmM954mWFnYYUCy9qqVsO1gDnZheU2/cmw==" saltValue="bP3DbZ5jFjybcuO7Kx0lcg==" spinCount="100000" sheet="1" objects="1" scenarios="1" selectLockedCells="1"/>
  <mergeCells count="140">
    <mergeCell ref="CM13:CM15"/>
    <mergeCell ref="CN13:CN15"/>
    <mergeCell ref="C1:CP3"/>
    <mergeCell ref="CC13:CC15"/>
    <mergeCell ref="CD13:CD15"/>
    <mergeCell ref="CE13:CE15"/>
    <mergeCell ref="CF13:CF15"/>
    <mergeCell ref="CK13:CK15"/>
    <mergeCell ref="CL13:CL15"/>
    <mergeCell ref="BO13:BO15"/>
    <mergeCell ref="BP13:BP15"/>
    <mergeCell ref="BU13:BU15"/>
    <mergeCell ref="BV13:BV15"/>
    <mergeCell ref="BW13:BW15"/>
    <mergeCell ref="BX13:BX15"/>
    <mergeCell ref="BE13:BE15"/>
    <mergeCell ref="BF13:BF15"/>
    <mergeCell ref="BG13:BG15"/>
    <mergeCell ref="BH13:BH15"/>
    <mergeCell ref="BM13:BM15"/>
    <mergeCell ref="BN13:BN15"/>
    <mergeCell ref="AQ13:AQ15"/>
    <mergeCell ref="AR13:AR15"/>
    <mergeCell ref="AW13:AW15"/>
    <mergeCell ref="AX13:AX15"/>
    <mergeCell ref="AY13:AY15"/>
    <mergeCell ref="AZ13:AZ15"/>
    <mergeCell ref="AG13:AG15"/>
    <mergeCell ref="AH13:AH15"/>
    <mergeCell ref="AI13:AI15"/>
    <mergeCell ref="AJ13:AJ15"/>
    <mergeCell ref="AO13:AO15"/>
    <mergeCell ref="AP13:AP15"/>
    <mergeCell ref="CN7:CN11"/>
    <mergeCell ref="E12:E15"/>
    <mergeCell ref="F12:F15"/>
    <mergeCell ref="A13:A15"/>
    <mergeCell ref="B13:B15"/>
    <mergeCell ref="C13:C15"/>
    <mergeCell ref="D13:D15"/>
    <mergeCell ref="L13:L15"/>
    <mergeCell ref="M13:M15"/>
    <mergeCell ref="N13:N15"/>
    <mergeCell ref="CD7:CD11"/>
    <mergeCell ref="CE7:CE11"/>
    <mergeCell ref="CF7:CF11"/>
    <mergeCell ref="CK7:CK11"/>
    <mergeCell ref="CL7:CL11"/>
    <mergeCell ref="CM7:CM11"/>
    <mergeCell ref="BP7:BP11"/>
    <mergeCell ref="BU7:BU11"/>
    <mergeCell ref="BV7:BV11"/>
    <mergeCell ref="BW7:BW11"/>
    <mergeCell ref="BX7:BX11"/>
    <mergeCell ref="CC7:CC11"/>
    <mergeCell ref="BF7:BF11"/>
    <mergeCell ref="BG7:BG11"/>
    <mergeCell ref="BH7:BH11"/>
    <mergeCell ref="BM7:BM11"/>
    <mergeCell ref="BN7:BN11"/>
    <mergeCell ref="BO7:BO11"/>
    <mergeCell ref="AR7:AR11"/>
    <mergeCell ref="AW7:AW11"/>
    <mergeCell ref="AX7:AX11"/>
    <mergeCell ref="AY7:AY11"/>
    <mergeCell ref="AZ7:AZ11"/>
    <mergeCell ref="BE7:BE11"/>
    <mergeCell ref="AH7:AH11"/>
    <mergeCell ref="AI7:AI11"/>
    <mergeCell ref="AJ7:AJ11"/>
    <mergeCell ref="AO7:AO11"/>
    <mergeCell ref="AP7:AP11"/>
    <mergeCell ref="AQ7:AQ11"/>
    <mergeCell ref="X7:X15"/>
    <mergeCell ref="Y7:Y11"/>
    <mergeCell ref="Z7:Z11"/>
    <mergeCell ref="AA7:AA11"/>
    <mergeCell ref="AB7:AB11"/>
    <mergeCell ref="AG7:AG11"/>
    <mergeCell ref="Y13:Y15"/>
    <mergeCell ref="Z13:Z15"/>
    <mergeCell ref="AA13:AA15"/>
    <mergeCell ref="AB13:AB15"/>
    <mergeCell ref="M7:M11"/>
    <mergeCell ref="N7:N11"/>
    <mergeCell ref="O7:O11"/>
    <mergeCell ref="P7:P11"/>
    <mergeCell ref="V7:V15"/>
    <mergeCell ref="W7:W15"/>
    <mergeCell ref="O13:O15"/>
    <mergeCell ref="P13:P15"/>
    <mergeCell ref="G7:G18"/>
    <mergeCell ref="H7:H18"/>
    <mergeCell ref="I7:I16"/>
    <mergeCell ref="J7:J18"/>
    <mergeCell ref="K7:K18"/>
    <mergeCell ref="L7:L11"/>
    <mergeCell ref="CC5:CF5"/>
    <mergeCell ref="CG5:CJ5"/>
    <mergeCell ref="CK5:CN5"/>
    <mergeCell ref="CO5:CR5"/>
    <mergeCell ref="A7:A11"/>
    <mergeCell ref="B7:B11"/>
    <mergeCell ref="C7:C11"/>
    <mergeCell ref="D7:D12"/>
    <mergeCell ref="E7:E11"/>
    <mergeCell ref="F7:F11"/>
    <mergeCell ref="BE5:BH5"/>
    <mergeCell ref="BI5:BL5"/>
    <mergeCell ref="BM5:BP5"/>
    <mergeCell ref="BQ5:BT5"/>
    <mergeCell ref="BU5:BX5"/>
    <mergeCell ref="BY5:CB5"/>
    <mergeCell ref="AG5:AJ5"/>
    <mergeCell ref="AK5:AN5"/>
    <mergeCell ref="AO5:AR5"/>
    <mergeCell ref="AS5:AV5"/>
    <mergeCell ref="AW5:AZ5"/>
    <mergeCell ref="BA5:BD5"/>
    <mergeCell ref="BU4:CB4"/>
    <mergeCell ref="CC4:CJ4"/>
    <mergeCell ref="CK4:CR4"/>
    <mergeCell ref="A5:C5"/>
    <mergeCell ref="E5:F5"/>
    <mergeCell ref="G5:I5"/>
    <mergeCell ref="J5:J6"/>
    <mergeCell ref="K5:K6"/>
    <mergeCell ref="Y5:AB5"/>
    <mergeCell ref="AC5:AF5"/>
    <mergeCell ref="Y4:AF4"/>
    <mergeCell ref="AG4:AN4"/>
    <mergeCell ref="AO4:AV4"/>
    <mergeCell ref="AW4:BD4"/>
    <mergeCell ref="BE4:BL4"/>
    <mergeCell ref="BM4:BT4"/>
    <mergeCell ref="A4:K4"/>
    <mergeCell ref="L4:P5"/>
    <mergeCell ref="Q4:U5"/>
    <mergeCell ref="V4:W5"/>
    <mergeCell ref="X4:X5"/>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2F825-9648-4453-A733-56C175005BA7}">
  <sheetPr>
    <tabColor rgb="FFFF0000"/>
  </sheetPr>
  <dimension ref="A1:CR410"/>
  <sheetViews>
    <sheetView topLeftCell="CK1" zoomScale="85" zoomScaleNormal="85" workbookViewId="0">
      <selection activeCell="C1" sqref="C1:CP3"/>
    </sheetView>
  </sheetViews>
  <sheetFormatPr baseColWidth="10" defaultColWidth="11.42578125" defaultRowHeight="15" x14ac:dyDescent="0.25"/>
  <cols>
    <col min="1" max="1" width="21.140625" style="250" customWidth="1"/>
    <col min="2" max="2" width="17.85546875" style="250" customWidth="1"/>
    <col min="3" max="3" width="24.140625" style="250" customWidth="1"/>
    <col min="4" max="4" width="26.42578125" style="250" customWidth="1"/>
    <col min="5" max="5" width="18.140625" style="250" customWidth="1"/>
    <col min="6" max="6" width="20.5703125" style="250" customWidth="1"/>
    <col min="7" max="7" width="14" style="250" customWidth="1"/>
    <col min="8" max="8" width="16.5703125" style="250" customWidth="1"/>
    <col min="9" max="9" width="15.140625" style="250" customWidth="1"/>
    <col min="10" max="10" width="15.85546875" style="250" customWidth="1"/>
    <col min="11" max="11" width="16.42578125" style="250" customWidth="1"/>
    <col min="12" max="12" width="21.85546875" style="250" customWidth="1"/>
    <col min="13" max="13" width="23" style="250" customWidth="1"/>
    <col min="14" max="14" width="11.42578125" style="250"/>
    <col min="15" max="15" width="13.5703125" style="250" customWidth="1"/>
    <col min="16" max="16" width="11.42578125" style="250"/>
    <col min="17" max="17" width="20.28515625" style="250" customWidth="1"/>
    <col min="18" max="18" width="20.140625" style="250" customWidth="1"/>
    <col min="19" max="19" width="12.28515625" style="250" customWidth="1"/>
    <col min="20" max="20" width="11.42578125" style="250"/>
    <col min="21" max="21" width="11.5703125" style="250" customWidth="1"/>
    <col min="22" max="22" width="15.5703125" style="251" customWidth="1"/>
    <col min="23" max="23" width="16.7109375" style="251" customWidth="1"/>
    <col min="24" max="24" width="16.7109375" style="250" customWidth="1"/>
    <col min="25" max="25" width="16.28515625" style="250" customWidth="1"/>
    <col min="26" max="26" width="11.42578125" style="250"/>
    <col min="27" max="27" width="16" style="250" customWidth="1"/>
    <col min="28" max="28" width="40.5703125" style="250" customWidth="1"/>
    <col min="29" max="29" width="14.5703125" style="250" customWidth="1"/>
    <col min="30" max="30" width="11.42578125" style="250"/>
    <col min="31" max="31" width="13" style="250" customWidth="1"/>
    <col min="32" max="32" width="32.85546875" style="250" customWidth="1"/>
    <col min="33" max="33" width="18.140625" style="250" bestFit="1" customWidth="1"/>
    <col min="34" max="34" width="11.42578125" style="250"/>
    <col min="35" max="35" width="16" style="250" customWidth="1"/>
    <col min="36" max="36" width="40.5703125" style="250" customWidth="1"/>
    <col min="37" max="37" width="17.140625" style="250" bestFit="1" customWidth="1"/>
    <col min="38" max="38" width="11.42578125" style="250"/>
    <col min="39" max="39" width="13" style="250" customWidth="1"/>
    <col min="40" max="40" width="32.85546875" style="250" customWidth="1"/>
    <col min="41" max="41" width="18.140625" style="250" bestFit="1" customWidth="1"/>
    <col min="42" max="42" width="11.42578125" style="250"/>
    <col min="43" max="43" width="16" style="250" customWidth="1"/>
    <col min="44" max="44" width="40.5703125" style="250" customWidth="1"/>
    <col min="45" max="45" width="17.140625" style="250" bestFit="1" customWidth="1"/>
    <col min="46" max="46" width="11.42578125" style="250"/>
    <col min="47" max="47" width="13" style="250" customWidth="1"/>
    <col min="48" max="48" width="32.85546875" style="250" customWidth="1"/>
    <col min="49" max="49" width="18.140625" style="250" bestFit="1" customWidth="1"/>
    <col min="50" max="50" width="11.42578125" style="250"/>
    <col min="51" max="51" width="16" style="250" customWidth="1"/>
    <col min="52" max="52" width="40.5703125" style="250" customWidth="1"/>
    <col min="53" max="53" width="17.140625" style="250" bestFit="1" customWidth="1"/>
    <col min="54" max="54" width="11.42578125" style="250"/>
    <col min="55" max="55" width="13" style="250" customWidth="1"/>
    <col min="56" max="56" width="32.85546875" style="250" customWidth="1"/>
    <col min="57" max="57" width="18.140625" style="250" bestFit="1" customWidth="1"/>
    <col min="58" max="58" width="11.42578125" style="250"/>
    <col min="59" max="59" width="16" style="250" customWidth="1"/>
    <col min="60" max="60" width="40.5703125" style="250" customWidth="1"/>
    <col min="61" max="61" width="17.140625" style="250" bestFit="1" customWidth="1"/>
    <col min="62" max="62" width="11.42578125" style="250"/>
    <col min="63" max="63" width="13" style="250" customWidth="1"/>
    <col min="64" max="64" width="48.28515625" style="250" customWidth="1"/>
    <col min="65" max="65" width="18.140625" style="250" bestFit="1" customWidth="1"/>
    <col min="66" max="66" width="11.42578125" style="250"/>
    <col min="67" max="67" width="16" style="250" customWidth="1"/>
    <col min="68" max="68" width="49.85546875" style="250" customWidth="1"/>
    <col min="69" max="69" width="17.140625" style="250" bestFit="1" customWidth="1"/>
    <col min="70" max="70" width="11.42578125" style="250"/>
    <col min="71" max="71" width="13" style="250" customWidth="1"/>
    <col min="72" max="72" width="53.5703125" style="250" customWidth="1"/>
    <col min="73" max="73" width="18.140625" style="250" bestFit="1" customWidth="1"/>
    <col min="74" max="74" width="11.42578125" style="250"/>
    <col min="75" max="75" width="16" style="250" customWidth="1"/>
    <col min="76" max="76" width="49.85546875" style="250" customWidth="1"/>
    <col min="77" max="77" width="17.140625" style="250" bestFit="1" customWidth="1"/>
    <col min="78" max="78" width="11.42578125" style="250"/>
    <col min="79" max="79" width="13" style="250" customWidth="1"/>
    <col min="80" max="80" width="53.5703125" style="250" customWidth="1"/>
    <col min="81" max="81" width="18.140625" style="250" bestFit="1" customWidth="1"/>
    <col min="82" max="82" width="11.42578125" style="250"/>
    <col min="83" max="83" width="16" style="250" customWidth="1"/>
    <col min="84" max="84" width="49.85546875" style="250" customWidth="1"/>
    <col min="85" max="85" width="17.140625" style="250" bestFit="1" customWidth="1"/>
    <col min="86" max="86" width="11.42578125" style="250"/>
    <col min="87" max="87" width="13" style="250" customWidth="1"/>
    <col min="88" max="88" width="53.5703125" style="250" customWidth="1"/>
    <col min="89" max="89" width="18.140625" style="250" bestFit="1" customWidth="1"/>
    <col min="90" max="90" width="11.42578125" style="250"/>
    <col min="91" max="91" width="16" style="250" customWidth="1"/>
    <col min="92" max="92" width="49.85546875" style="250" customWidth="1"/>
    <col min="93" max="93" width="17.140625" style="250" bestFit="1" customWidth="1"/>
    <col min="94" max="94" width="11.42578125" style="250"/>
    <col min="95" max="95" width="13" style="250" customWidth="1"/>
    <col min="96" max="96" width="53.5703125" style="250" customWidth="1"/>
    <col min="97" max="16384" width="11.42578125" style="250"/>
  </cols>
  <sheetData>
    <row r="1" spans="1:96" s="1" customFormat="1" ht="15.75" customHeight="1" x14ac:dyDescent="0.25">
      <c r="C1" s="383" t="s">
        <v>0</v>
      </c>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c r="CA1" s="383"/>
      <c r="CB1" s="383"/>
      <c r="CC1" s="383"/>
      <c r="CD1" s="383"/>
      <c r="CE1" s="383"/>
      <c r="CF1" s="383"/>
      <c r="CG1" s="383"/>
      <c r="CH1" s="383"/>
      <c r="CI1" s="383"/>
      <c r="CJ1" s="383"/>
      <c r="CK1" s="383"/>
      <c r="CL1" s="383"/>
      <c r="CM1" s="383"/>
      <c r="CN1" s="383"/>
      <c r="CO1" s="383"/>
      <c r="CP1" s="384"/>
      <c r="CQ1" s="2" t="s">
        <v>1</v>
      </c>
      <c r="CR1" s="3">
        <v>43458</v>
      </c>
    </row>
    <row r="2" spans="1:96" s="1" customFormat="1" ht="24.75" customHeight="1" x14ac:dyDescent="0.25">
      <c r="C2" s="383"/>
      <c r="D2" s="383"/>
      <c r="E2" s="383"/>
      <c r="F2" s="383"/>
      <c r="G2" s="383"/>
      <c r="H2" s="383"/>
      <c r="I2" s="383"/>
      <c r="J2" s="383"/>
      <c r="K2" s="383"/>
      <c r="L2" s="383"/>
      <c r="M2" s="383"/>
      <c r="N2" s="383"/>
      <c r="O2" s="383"/>
      <c r="P2" s="383"/>
      <c r="Q2" s="383"/>
      <c r="R2" s="383"/>
      <c r="S2" s="383"/>
      <c r="T2" s="383"/>
      <c r="U2" s="383"/>
      <c r="V2" s="383"/>
      <c r="W2" s="383"/>
      <c r="X2" s="383"/>
      <c r="Y2" s="383"/>
      <c r="Z2" s="383"/>
      <c r="AA2" s="383"/>
      <c r="AB2" s="383"/>
      <c r="AC2" s="383"/>
      <c r="AD2" s="383"/>
      <c r="AE2" s="383"/>
      <c r="AF2" s="383"/>
      <c r="AG2" s="383"/>
      <c r="AH2" s="383"/>
      <c r="AI2" s="383"/>
      <c r="AJ2" s="383"/>
      <c r="AK2" s="383"/>
      <c r="AL2" s="383"/>
      <c r="AM2" s="383"/>
      <c r="AN2" s="383"/>
      <c r="AO2" s="383"/>
      <c r="AP2" s="383"/>
      <c r="AQ2" s="383"/>
      <c r="AR2" s="383"/>
      <c r="AS2" s="383"/>
      <c r="AT2" s="383"/>
      <c r="AU2" s="383"/>
      <c r="AV2" s="383"/>
      <c r="AW2" s="383"/>
      <c r="AX2" s="383"/>
      <c r="AY2" s="383"/>
      <c r="AZ2" s="383"/>
      <c r="BA2" s="383"/>
      <c r="BB2" s="383"/>
      <c r="BC2" s="383"/>
      <c r="BD2" s="383"/>
      <c r="BE2" s="383"/>
      <c r="BF2" s="383"/>
      <c r="BG2" s="383"/>
      <c r="BH2" s="383"/>
      <c r="BI2" s="383"/>
      <c r="BJ2" s="383"/>
      <c r="BK2" s="383"/>
      <c r="BL2" s="383"/>
      <c r="BM2" s="383"/>
      <c r="BN2" s="383"/>
      <c r="BO2" s="383"/>
      <c r="BP2" s="383"/>
      <c r="BQ2" s="383"/>
      <c r="BR2" s="383"/>
      <c r="BS2" s="383"/>
      <c r="BT2" s="383"/>
      <c r="BU2" s="383"/>
      <c r="BV2" s="383"/>
      <c r="BW2" s="383"/>
      <c r="BX2" s="383"/>
      <c r="BY2" s="383"/>
      <c r="BZ2" s="383"/>
      <c r="CA2" s="383"/>
      <c r="CB2" s="383"/>
      <c r="CC2" s="383"/>
      <c r="CD2" s="383"/>
      <c r="CE2" s="383"/>
      <c r="CF2" s="383"/>
      <c r="CG2" s="383"/>
      <c r="CH2" s="383"/>
      <c r="CI2" s="383"/>
      <c r="CJ2" s="383"/>
      <c r="CK2" s="383"/>
      <c r="CL2" s="383"/>
      <c r="CM2" s="383"/>
      <c r="CN2" s="383"/>
      <c r="CO2" s="383"/>
      <c r="CP2" s="384"/>
      <c r="CQ2" s="2" t="s">
        <v>2</v>
      </c>
      <c r="CR2" s="2">
        <v>5</v>
      </c>
    </row>
    <row r="3" spans="1:96" s="1" customFormat="1" ht="27.75" customHeight="1" x14ac:dyDescent="0.25">
      <c r="C3" s="383"/>
      <c r="D3" s="383"/>
      <c r="E3" s="383"/>
      <c r="F3" s="383"/>
      <c r="G3" s="383"/>
      <c r="H3" s="383"/>
      <c r="I3" s="383"/>
      <c r="J3" s="383"/>
      <c r="K3" s="383"/>
      <c r="L3" s="383"/>
      <c r="M3" s="383"/>
      <c r="N3" s="383"/>
      <c r="O3" s="383"/>
      <c r="P3" s="383"/>
      <c r="Q3" s="383"/>
      <c r="R3" s="383"/>
      <c r="S3" s="383"/>
      <c r="T3" s="383"/>
      <c r="U3" s="383"/>
      <c r="V3" s="383"/>
      <c r="W3" s="383"/>
      <c r="X3" s="383"/>
      <c r="Y3" s="383"/>
      <c r="Z3" s="383"/>
      <c r="AA3" s="383"/>
      <c r="AB3" s="383"/>
      <c r="AC3" s="383"/>
      <c r="AD3" s="383"/>
      <c r="AE3" s="383"/>
      <c r="AF3" s="383"/>
      <c r="AG3" s="383"/>
      <c r="AH3" s="383"/>
      <c r="AI3" s="383"/>
      <c r="AJ3" s="383"/>
      <c r="AK3" s="383"/>
      <c r="AL3" s="383"/>
      <c r="AM3" s="383"/>
      <c r="AN3" s="383"/>
      <c r="AO3" s="383"/>
      <c r="AP3" s="383"/>
      <c r="AQ3" s="383"/>
      <c r="AR3" s="383"/>
      <c r="AS3" s="383"/>
      <c r="AT3" s="383"/>
      <c r="AU3" s="383"/>
      <c r="AV3" s="383"/>
      <c r="AW3" s="383"/>
      <c r="AX3" s="383"/>
      <c r="AY3" s="383"/>
      <c r="AZ3" s="383"/>
      <c r="BA3" s="383"/>
      <c r="BB3" s="383"/>
      <c r="BC3" s="383"/>
      <c r="BD3" s="383"/>
      <c r="BE3" s="383"/>
      <c r="BF3" s="383"/>
      <c r="BG3" s="383"/>
      <c r="BH3" s="383"/>
      <c r="BI3" s="383"/>
      <c r="BJ3" s="383"/>
      <c r="BK3" s="383"/>
      <c r="BL3" s="383"/>
      <c r="BM3" s="383"/>
      <c r="BN3" s="383"/>
      <c r="BO3" s="383"/>
      <c r="BP3" s="383"/>
      <c r="BQ3" s="383"/>
      <c r="BR3" s="383"/>
      <c r="BS3" s="383"/>
      <c r="BT3" s="383"/>
      <c r="BU3" s="383"/>
      <c r="BV3" s="383"/>
      <c r="BW3" s="383"/>
      <c r="BX3" s="383"/>
      <c r="BY3" s="383"/>
      <c r="BZ3" s="383"/>
      <c r="CA3" s="383"/>
      <c r="CB3" s="383"/>
      <c r="CC3" s="383"/>
      <c r="CD3" s="383"/>
      <c r="CE3" s="383"/>
      <c r="CF3" s="383"/>
      <c r="CG3" s="383"/>
      <c r="CH3" s="383"/>
      <c r="CI3" s="383"/>
      <c r="CJ3" s="383"/>
      <c r="CK3" s="383"/>
      <c r="CL3" s="383"/>
      <c r="CM3" s="383"/>
      <c r="CN3" s="383"/>
      <c r="CO3" s="383"/>
      <c r="CP3" s="384"/>
      <c r="CQ3" s="2" t="s">
        <v>3</v>
      </c>
      <c r="CR3" s="2" t="s">
        <v>4</v>
      </c>
    </row>
    <row r="4" spans="1:96" s="202" customFormat="1" ht="15" customHeight="1" x14ac:dyDescent="0.25">
      <c r="A4" s="557" t="s">
        <v>5</v>
      </c>
      <c r="B4" s="558"/>
      <c r="C4" s="558"/>
      <c r="D4" s="558"/>
      <c r="E4" s="558"/>
      <c r="F4" s="558"/>
      <c r="G4" s="558"/>
      <c r="H4" s="558"/>
      <c r="I4" s="558"/>
      <c r="J4" s="558"/>
      <c r="K4" s="559"/>
      <c r="L4" s="560" t="s">
        <v>6</v>
      </c>
      <c r="M4" s="561"/>
      <c r="N4" s="561"/>
      <c r="O4" s="561"/>
      <c r="P4" s="562"/>
      <c r="Q4" s="560" t="s">
        <v>7</v>
      </c>
      <c r="R4" s="561"/>
      <c r="S4" s="561"/>
      <c r="T4" s="561"/>
      <c r="U4" s="562"/>
      <c r="V4" s="563" t="s">
        <v>8</v>
      </c>
      <c r="W4" s="564"/>
      <c r="X4" s="567" t="s">
        <v>9</v>
      </c>
      <c r="Y4" s="549" t="s">
        <v>10</v>
      </c>
      <c r="Z4" s="550"/>
      <c r="AA4" s="550"/>
      <c r="AB4" s="550"/>
      <c r="AC4" s="550"/>
      <c r="AD4" s="550"/>
      <c r="AE4" s="550"/>
      <c r="AF4" s="551"/>
      <c r="AG4" s="549" t="s">
        <v>11</v>
      </c>
      <c r="AH4" s="550"/>
      <c r="AI4" s="550"/>
      <c r="AJ4" s="550"/>
      <c r="AK4" s="550"/>
      <c r="AL4" s="550"/>
      <c r="AM4" s="550"/>
      <c r="AN4" s="551"/>
      <c r="AO4" s="549" t="s">
        <v>12</v>
      </c>
      <c r="AP4" s="550"/>
      <c r="AQ4" s="550"/>
      <c r="AR4" s="550"/>
      <c r="AS4" s="550"/>
      <c r="AT4" s="550"/>
      <c r="AU4" s="550"/>
      <c r="AV4" s="551"/>
      <c r="AW4" s="549" t="s">
        <v>13</v>
      </c>
      <c r="AX4" s="550"/>
      <c r="AY4" s="550"/>
      <c r="AZ4" s="550"/>
      <c r="BA4" s="550"/>
      <c r="BB4" s="550"/>
      <c r="BC4" s="550"/>
      <c r="BD4" s="551"/>
      <c r="BE4" s="549" t="s">
        <v>14</v>
      </c>
      <c r="BF4" s="550"/>
      <c r="BG4" s="550"/>
      <c r="BH4" s="550"/>
      <c r="BI4" s="550"/>
      <c r="BJ4" s="550"/>
      <c r="BK4" s="550"/>
      <c r="BL4" s="551"/>
      <c r="BM4" s="549" t="s">
        <v>15</v>
      </c>
      <c r="BN4" s="550"/>
      <c r="BO4" s="550"/>
      <c r="BP4" s="550"/>
      <c r="BQ4" s="550"/>
      <c r="BR4" s="550"/>
      <c r="BS4" s="550"/>
      <c r="BT4" s="551"/>
      <c r="BU4" s="549" t="s">
        <v>16</v>
      </c>
      <c r="BV4" s="550"/>
      <c r="BW4" s="550"/>
      <c r="BX4" s="550"/>
      <c r="BY4" s="550"/>
      <c r="BZ4" s="550"/>
      <c r="CA4" s="550"/>
      <c r="CB4" s="551"/>
      <c r="CC4" s="549" t="s">
        <v>382</v>
      </c>
      <c r="CD4" s="550"/>
      <c r="CE4" s="550"/>
      <c r="CF4" s="550"/>
      <c r="CG4" s="550"/>
      <c r="CH4" s="550"/>
      <c r="CI4" s="550"/>
      <c r="CJ4" s="551"/>
      <c r="CK4" s="549" t="s">
        <v>595</v>
      </c>
      <c r="CL4" s="550"/>
      <c r="CM4" s="550"/>
      <c r="CN4" s="550"/>
      <c r="CO4" s="550"/>
      <c r="CP4" s="550"/>
      <c r="CQ4" s="550"/>
      <c r="CR4" s="551"/>
    </row>
    <row r="5" spans="1:96" s="202" customFormat="1" ht="30" x14ac:dyDescent="0.25">
      <c r="A5" s="538" t="s">
        <v>17</v>
      </c>
      <c r="B5" s="539"/>
      <c r="C5" s="542"/>
      <c r="D5" s="333" t="s">
        <v>18</v>
      </c>
      <c r="E5" s="538" t="s">
        <v>19</v>
      </c>
      <c r="F5" s="542"/>
      <c r="G5" s="538" t="s">
        <v>20</v>
      </c>
      <c r="H5" s="539"/>
      <c r="I5" s="542"/>
      <c r="J5" s="506" t="s">
        <v>21</v>
      </c>
      <c r="K5" s="506" t="s">
        <v>22</v>
      </c>
      <c r="L5" s="549"/>
      <c r="M5" s="550"/>
      <c r="N5" s="550"/>
      <c r="O5" s="550"/>
      <c r="P5" s="551"/>
      <c r="Q5" s="549"/>
      <c r="R5" s="550"/>
      <c r="S5" s="550"/>
      <c r="T5" s="550"/>
      <c r="U5" s="551"/>
      <c r="V5" s="565"/>
      <c r="W5" s="566"/>
      <c r="X5" s="568"/>
      <c r="Y5" s="538" t="s">
        <v>23</v>
      </c>
      <c r="Z5" s="539"/>
      <c r="AA5" s="539"/>
      <c r="AB5" s="540"/>
      <c r="AC5" s="541" t="s">
        <v>24</v>
      </c>
      <c r="AD5" s="539"/>
      <c r="AE5" s="539"/>
      <c r="AF5" s="542"/>
      <c r="AG5" s="538" t="s">
        <v>23</v>
      </c>
      <c r="AH5" s="539"/>
      <c r="AI5" s="539"/>
      <c r="AJ5" s="540"/>
      <c r="AK5" s="541" t="s">
        <v>24</v>
      </c>
      <c r="AL5" s="539"/>
      <c r="AM5" s="539"/>
      <c r="AN5" s="542"/>
      <c r="AO5" s="538" t="s">
        <v>23</v>
      </c>
      <c r="AP5" s="539"/>
      <c r="AQ5" s="539"/>
      <c r="AR5" s="540"/>
      <c r="AS5" s="541" t="s">
        <v>24</v>
      </c>
      <c r="AT5" s="539"/>
      <c r="AU5" s="539"/>
      <c r="AV5" s="542"/>
      <c r="AW5" s="538" t="s">
        <v>23</v>
      </c>
      <c r="AX5" s="539"/>
      <c r="AY5" s="539"/>
      <c r="AZ5" s="540"/>
      <c r="BA5" s="541" t="s">
        <v>24</v>
      </c>
      <c r="BB5" s="539"/>
      <c r="BC5" s="539"/>
      <c r="BD5" s="542"/>
      <c r="BE5" s="538" t="s">
        <v>23</v>
      </c>
      <c r="BF5" s="539"/>
      <c r="BG5" s="539"/>
      <c r="BH5" s="540"/>
      <c r="BI5" s="541" t="s">
        <v>24</v>
      </c>
      <c r="BJ5" s="539"/>
      <c r="BK5" s="539"/>
      <c r="BL5" s="542"/>
      <c r="BM5" s="538" t="s">
        <v>23</v>
      </c>
      <c r="BN5" s="539"/>
      <c r="BO5" s="539"/>
      <c r="BP5" s="540"/>
      <c r="BQ5" s="541" t="s">
        <v>24</v>
      </c>
      <c r="BR5" s="539"/>
      <c r="BS5" s="539"/>
      <c r="BT5" s="542"/>
      <c r="BU5" s="538" t="s">
        <v>23</v>
      </c>
      <c r="BV5" s="539"/>
      <c r="BW5" s="539"/>
      <c r="BX5" s="540"/>
      <c r="BY5" s="541" t="s">
        <v>24</v>
      </c>
      <c r="BZ5" s="539"/>
      <c r="CA5" s="539"/>
      <c r="CB5" s="542"/>
      <c r="CC5" s="538" t="s">
        <v>23</v>
      </c>
      <c r="CD5" s="539"/>
      <c r="CE5" s="539"/>
      <c r="CF5" s="540"/>
      <c r="CG5" s="541" t="s">
        <v>24</v>
      </c>
      <c r="CH5" s="539"/>
      <c r="CI5" s="539"/>
      <c r="CJ5" s="542"/>
      <c r="CK5" s="538" t="s">
        <v>23</v>
      </c>
      <c r="CL5" s="539"/>
      <c r="CM5" s="539"/>
      <c r="CN5" s="540"/>
      <c r="CO5" s="541" t="s">
        <v>24</v>
      </c>
      <c r="CP5" s="539"/>
      <c r="CQ5" s="539"/>
      <c r="CR5" s="542"/>
    </row>
    <row r="6" spans="1:96" s="202" customFormat="1" ht="45" x14ac:dyDescent="0.25">
      <c r="A6" s="150" t="s">
        <v>25</v>
      </c>
      <c r="B6" s="150" t="s">
        <v>26</v>
      </c>
      <c r="C6" s="150" t="s">
        <v>27</v>
      </c>
      <c r="D6" s="150" t="s">
        <v>28</v>
      </c>
      <c r="E6" s="150" t="s">
        <v>29</v>
      </c>
      <c r="F6" s="150" t="s">
        <v>30</v>
      </c>
      <c r="G6" s="150" t="s">
        <v>31</v>
      </c>
      <c r="H6" s="150" t="s">
        <v>32</v>
      </c>
      <c r="I6" s="150" t="s">
        <v>33</v>
      </c>
      <c r="J6" s="552"/>
      <c r="K6" s="552"/>
      <c r="L6" s="150" t="s">
        <v>6</v>
      </c>
      <c r="M6" s="150" t="s">
        <v>34</v>
      </c>
      <c r="N6" s="150" t="s">
        <v>35</v>
      </c>
      <c r="O6" s="150" t="s">
        <v>36</v>
      </c>
      <c r="P6" s="150" t="s">
        <v>37</v>
      </c>
      <c r="Q6" s="150" t="s">
        <v>7</v>
      </c>
      <c r="R6" s="150" t="s">
        <v>38</v>
      </c>
      <c r="S6" s="150" t="s">
        <v>35</v>
      </c>
      <c r="T6" s="150" t="s">
        <v>36</v>
      </c>
      <c r="U6" s="150" t="s">
        <v>39</v>
      </c>
      <c r="V6" s="203" t="s">
        <v>40</v>
      </c>
      <c r="W6" s="203" t="s">
        <v>41</v>
      </c>
      <c r="X6" s="150" t="s">
        <v>42</v>
      </c>
      <c r="Y6" s="150" t="s">
        <v>43</v>
      </c>
      <c r="Z6" s="150" t="s">
        <v>44</v>
      </c>
      <c r="AA6" s="150" t="s">
        <v>45</v>
      </c>
      <c r="AB6" s="150" t="s">
        <v>46</v>
      </c>
      <c r="AC6" s="150" t="s">
        <v>43</v>
      </c>
      <c r="AD6" s="150" t="s">
        <v>44</v>
      </c>
      <c r="AE6" s="150" t="s">
        <v>45</v>
      </c>
      <c r="AF6" s="150" t="s">
        <v>46</v>
      </c>
      <c r="AG6" s="150" t="s">
        <v>43</v>
      </c>
      <c r="AH6" s="150" t="s">
        <v>44</v>
      </c>
      <c r="AI6" s="150" t="s">
        <v>45</v>
      </c>
      <c r="AJ6" s="150" t="s">
        <v>46</v>
      </c>
      <c r="AK6" s="150" t="s">
        <v>43</v>
      </c>
      <c r="AL6" s="150" t="s">
        <v>44</v>
      </c>
      <c r="AM6" s="150" t="s">
        <v>45</v>
      </c>
      <c r="AN6" s="150" t="s">
        <v>46</v>
      </c>
      <c r="AO6" s="150" t="s">
        <v>43</v>
      </c>
      <c r="AP6" s="150" t="s">
        <v>44</v>
      </c>
      <c r="AQ6" s="150" t="s">
        <v>45</v>
      </c>
      <c r="AR6" s="150" t="s">
        <v>46</v>
      </c>
      <c r="AS6" s="150" t="s">
        <v>43</v>
      </c>
      <c r="AT6" s="150" t="s">
        <v>44</v>
      </c>
      <c r="AU6" s="150" t="s">
        <v>45</v>
      </c>
      <c r="AV6" s="150" t="s">
        <v>46</v>
      </c>
      <c r="AW6" s="150" t="s">
        <v>43</v>
      </c>
      <c r="AX6" s="150" t="s">
        <v>44</v>
      </c>
      <c r="AY6" s="150" t="s">
        <v>45</v>
      </c>
      <c r="AZ6" s="150" t="s">
        <v>46</v>
      </c>
      <c r="BA6" s="150" t="s">
        <v>43</v>
      </c>
      <c r="BB6" s="150" t="s">
        <v>44</v>
      </c>
      <c r="BC6" s="150" t="s">
        <v>45</v>
      </c>
      <c r="BD6" s="150" t="s">
        <v>46</v>
      </c>
      <c r="BE6" s="150" t="s">
        <v>43</v>
      </c>
      <c r="BF6" s="150" t="s">
        <v>44</v>
      </c>
      <c r="BG6" s="150" t="s">
        <v>45</v>
      </c>
      <c r="BH6" s="150" t="s">
        <v>46</v>
      </c>
      <c r="BI6" s="150" t="s">
        <v>43</v>
      </c>
      <c r="BJ6" s="150" t="s">
        <v>44</v>
      </c>
      <c r="BK6" s="150" t="s">
        <v>45</v>
      </c>
      <c r="BL6" s="150" t="s">
        <v>46</v>
      </c>
      <c r="BM6" s="150" t="s">
        <v>43</v>
      </c>
      <c r="BN6" s="150" t="s">
        <v>44</v>
      </c>
      <c r="BO6" s="150" t="s">
        <v>45</v>
      </c>
      <c r="BP6" s="150" t="s">
        <v>46</v>
      </c>
      <c r="BQ6" s="150" t="s">
        <v>43</v>
      </c>
      <c r="BR6" s="150" t="s">
        <v>44</v>
      </c>
      <c r="BS6" s="150" t="s">
        <v>45</v>
      </c>
      <c r="BT6" s="150" t="s">
        <v>46</v>
      </c>
      <c r="BU6" s="150" t="s">
        <v>43</v>
      </c>
      <c r="BV6" s="150" t="s">
        <v>44</v>
      </c>
      <c r="BW6" s="150" t="s">
        <v>45</v>
      </c>
      <c r="BX6" s="150" t="s">
        <v>46</v>
      </c>
      <c r="BY6" s="150" t="s">
        <v>43</v>
      </c>
      <c r="BZ6" s="150" t="s">
        <v>44</v>
      </c>
      <c r="CA6" s="150" t="s">
        <v>45</v>
      </c>
      <c r="CB6" s="150" t="s">
        <v>46</v>
      </c>
      <c r="CC6" s="150" t="s">
        <v>43</v>
      </c>
      <c r="CD6" s="150" t="s">
        <v>44</v>
      </c>
      <c r="CE6" s="150" t="s">
        <v>45</v>
      </c>
      <c r="CF6" s="150" t="s">
        <v>46</v>
      </c>
      <c r="CG6" s="150" t="s">
        <v>43</v>
      </c>
      <c r="CH6" s="150" t="s">
        <v>44</v>
      </c>
      <c r="CI6" s="150" t="s">
        <v>45</v>
      </c>
      <c r="CJ6" s="150" t="s">
        <v>46</v>
      </c>
      <c r="CK6" s="150" t="s">
        <v>43</v>
      </c>
      <c r="CL6" s="150" t="s">
        <v>44</v>
      </c>
      <c r="CM6" s="150" t="s">
        <v>45</v>
      </c>
      <c r="CN6" s="150" t="s">
        <v>46</v>
      </c>
      <c r="CO6" s="150" t="s">
        <v>43</v>
      </c>
      <c r="CP6" s="150" t="s">
        <v>44</v>
      </c>
      <c r="CQ6" s="150" t="s">
        <v>45</v>
      </c>
      <c r="CR6" s="150" t="s">
        <v>46</v>
      </c>
    </row>
    <row r="7" spans="1:96" s="210" customFormat="1" ht="162" customHeight="1" x14ac:dyDescent="0.25">
      <c r="A7" s="543" t="s">
        <v>47</v>
      </c>
      <c r="B7" s="547" t="s">
        <v>48</v>
      </c>
      <c r="C7" s="578" t="s">
        <v>49</v>
      </c>
      <c r="D7" s="397" t="s">
        <v>354</v>
      </c>
      <c r="E7" s="578" t="s">
        <v>51</v>
      </c>
      <c r="F7" s="397" t="s">
        <v>1270</v>
      </c>
      <c r="G7" s="578" t="s">
        <v>940</v>
      </c>
      <c r="H7" s="397" t="s">
        <v>941</v>
      </c>
      <c r="I7" s="578" t="s">
        <v>1271</v>
      </c>
      <c r="J7" s="397" t="s">
        <v>1272</v>
      </c>
      <c r="K7" s="578" t="s">
        <v>1273</v>
      </c>
      <c r="L7" s="391" t="s">
        <v>1274</v>
      </c>
      <c r="M7" s="391" t="s">
        <v>1275</v>
      </c>
      <c r="N7" s="391" t="s">
        <v>60</v>
      </c>
      <c r="O7" s="391"/>
      <c r="P7" s="391">
        <v>5</v>
      </c>
      <c r="Q7" s="49" t="s">
        <v>1276</v>
      </c>
      <c r="R7" s="49" t="s">
        <v>1277</v>
      </c>
      <c r="S7" s="322" t="s">
        <v>60</v>
      </c>
      <c r="T7" s="322"/>
      <c r="U7" s="322">
        <v>8</v>
      </c>
      <c r="V7" s="331">
        <v>2197500000</v>
      </c>
      <c r="W7" s="582">
        <v>10000000000</v>
      </c>
      <c r="X7" s="532" t="s">
        <v>1278</v>
      </c>
      <c r="Y7" s="391">
        <v>0</v>
      </c>
      <c r="Z7" s="391">
        <v>5</v>
      </c>
      <c r="AA7" s="391">
        <v>0</v>
      </c>
      <c r="AB7" s="391" t="s">
        <v>1279</v>
      </c>
      <c r="AC7" s="322">
        <v>0</v>
      </c>
      <c r="AD7" s="322">
        <v>8</v>
      </c>
      <c r="AE7" s="323">
        <v>0</v>
      </c>
      <c r="AF7" s="322" t="s">
        <v>1280</v>
      </c>
      <c r="AG7" s="391">
        <v>0</v>
      </c>
      <c r="AH7" s="391">
        <v>5</v>
      </c>
      <c r="AI7" s="391">
        <v>0</v>
      </c>
      <c r="AJ7" s="391" t="s">
        <v>1279</v>
      </c>
      <c r="AK7" s="322">
        <v>0</v>
      </c>
      <c r="AL7" s="322">
        <v>8</v>
      </c>
      <c r="AM7" s="323">
        <v>0</v>
      </c>
      <c r="AN7" s="322" t="s">
        <v>1280</v>
      </c>
      <c r="AO7" s="391">
        <v>0</v>
      </c>
      <c r="AP7" s="391">
        <v>5</v>
      </c>
      <c r="AQ7" s="391">
        <v>0</v>
      </c>
      <c r="AR7" s="391" t="s">
        <v>1281</v>
      </c>
      <c r="AS7" s="322">
        <v>1</v>
      </c>
      <c r="AT7" s="322">
        <v>8</v>
      </c>
      <c r="AU7" s="323">
        <f>+AS7/AT7</f>
        <v>0.125</v>
      </c>
      <c r="AV7" s="322" t="s">
        <v>1282</v>
      </c>
      <c r="AW7" s="391">
        <v>0</v>
      </c>
      <c r="AX7" s="391">
        <v>5</v>
      </c>
      <c r="AY7" s="391">
        <v>0</v>
      </c>
      <c r="AZ7" s="391" t="s">
        <v>1281</v>
      </c>
      <c r="BA7" s="322">
        <v>1</v>
      </c>
      <c r="BB7" s="322">
        <v>8</v>
      </c>
      <c r="BC7" s="323">
        <f>+BA7/BB7</f>
        <v>0.125</v>
      </c>
      <c r="BD7" s="322" t="s">
        <v>1283</v>
      </c>
      <c r="BE7" s="391">
        <v>0</v>
      </c>
      <c r="BF7" s="391">
        <v>5</v>
      </c>
      <c r="BG7" s="391">
        <v>0</v>
      </c>
      <c r="BH7" s="391" t="s">
        <v>1281</v>
      </c>
      <c r="BI7" s="322">
        <v>1</v>
      </c>
      <c r="BJ7" s="322">
        <v>8</v>
      </c>
      <c r="BK7" s="323">
        <v>0.125</v>
      </c>
      <c r="BL7" s="322" t="s">
        <v>1284</v>
      </c>
      <c r="BM7" s="391">
        <v>0</v>
      </c>
      <c r="BN7" s="391">
        <v>5</v>
      </c>
      <c r="BO7" s="391">
        <v>0</v>
      </c>
      <c r="BP7" s="391" t="s">
        <v>1285</v>
      </c>
      <c r="BQ7" s="322">
        <v>2</v>
      </c>
      <c r="BR7" s="322">
        <v>8</v>
      </c>
      <c r="BS7" s="323">
        <v>0.25</v>
      </c>
      <c r="BT7" s="322" t="s">
        <v>1286</v>
      </c>
      <c r="BU7" s="391">
        <v>0</v>
      </c>
      <c r="BV7" s="391">
        <v>5</v>
      </c>
      <c r="BW7" s="391">
        <v>0</v>
      </c>
      <c r="BX7" s="391" t="s">
        <v>1387</v>
      </c>
      <c r="BY7" s="322">
        <v>2</v>
      </c>
      <c r="BZ7" s="322">
        <v>8</v>
      </c>
      <c r="CA7" s="323">
        <v>0.25</v>
      </c>
      <c r="CB7" s="322" t="s">
        <v>1388</v>
      </c>
      <c r="CC7" s="391">
        <v>0</v>
      </c>
      <c r="CD7" s="391">
        <v>5</v>
      </c>
      <c r="CE7" s="391">
        <v>0</v>
      </c>
      <c r="CF7" s="391" t="s">
        <v>1387</v>
      </c>
      <c r="CG7" s="322">
        <v>3</v>
      </c>
      <c r="CH7" s="322">
        <v>8</v>
      </c>
      <c r="CI7" s="323">
        <v>0.375</v>
      </c>
      <c r="CJ7" s="322" t="s">
        <v>1389</v>
      </c>
      <c r="CK7" s="391">
        <v>3</v>
      </c>
      <c r="CL7" s="391">
        <v>5</v>
      </c>
      <c r="CM7" s="392">
        <v>0.6</v>
      </c>
      <c r="CN7" s="391" t="s">
        <v>1390</v>
      </c>
      <c r="CO7" s="322">
        <v>4</v>
      </c>
      <c r="CP7" s="322">
        <v>8</v>
      </c>
      <c r="CQ7" s="323">
        <v>0.5</v>
      </c>
      <c r="CR7" s="322" t="s">
        <v>1391</v>
      </c>
    </row>
    <row r="8" spans="1:96" s="210" customFormat="1" ht="132" customHeight="1" x14ac:dyDescent="0.25">
      <c r="A8" s="532"/>
      <c r="B8" s="548"/>
      <c r="C8" s="579"/>
      <c r="D8" s="435"/>
      <c r="E8" s="579"/>
      <c r="F8" s="435"/>
      <c r="G8" s="579"/>
      <c r="H8" s="435"/>
      <c r="I8" s="579"/>
      <c r="J8" s="435"/>
      <c r="K8" s="579"/>
      <c r="L8" s="391"/>
      <c r="M8" s="391"/>
      <c r="N8" s="391"/>
      <c r="O8" s="391"/>
      <c r="P8" s="391"/>
      <c r="Q8" s="58" t="s">
        <v>1287</v>
      </c>
      <c r="R8" s="58" t="s">
        <v>1288</v>
      </c>
      <c r="S8" s="327" t="s">
        <v>60</v>
      </c>
      <c r="T8" s="327"/>
      <c r="U8" s="327">
        <v>4</v>
      </c>
      <c r="V8" s="329">
        <v>3024477452</v>
      </c>
      <c r="W8" s="583"/>
      <c r="X8" s="532"/>
      <c r="Y8" s="391"/>
      <c r="Z8" s="391"/>
      <c r="AA8" s="391"/>
      <c r="AB8" s="391"/>
      <c r="AC8" s="327">
        <v>0</v>
      </c>
      <c r="AD8" s="327">
        <v>4</v>
      </c>
      <c r="AE8" s="328">
        <v>0</v>
      </c>
      <c r="AF8" s="327" t="s">
        <v>1280</v>
      </c>
      <c r="AG8" s="391"/>
      <c r="AH8" s="391"/>
      <c r="AI8" s="391"/>
      <c r="AJ8" s="391"/>
      <c r="AK8" s="327">
        <v>0</v>
      </c>
      <c r="AL8" s="327">
        <v>4</v>
      </c>
      <c r="AM8" s="328">
        <v>0</v>
      </c>
      <c r="AN8" s="327" t="s">
        <v>1280</v>
      </c>
      <c r="AO8" s="391"/>
      <c r="AP8" s="391"/>
      <c r="AQ8" s="391"/>
      <c r="AR8" s="391"/>
      <c r="AS8" s="327">
        <v>0</v>
      </c>
      <c r="AT8" s="327">
        <v>4</v>
      </c>
      <c r="AU8" s="328">
        <v>0</v>
      </c>
      <c r="AV8" s="327" t="s">
        <v>1280</v>
      </c>
      <c r="AW8" s="391"/>
      <c r="AX8" s="391"/>
      <c r="AY8" s="391"/>
      <c r="AZ8" s="391"/>
      <c r="BA8" s="327">
        <v>0</v>
      </c>
      <c r="BB8" s="327">
        <v>4</v>
      </c>
      <c r="BC8" s="328">
        <v>0</v>
      </c>
      <c r="BD8" s="327" t="s">
        <v>1280</v>
      </c>
      <c r="BE8" s="391"/>
      <c r="BF8" s="391"/>
      <c r="BG8" s="391"/>
      <c r="BH8" s="391"/>
      <c r="BI8" s="327">
        <v>0</v>
      </c>
      <c r="BJ8" s="327">
        <v>4</v>
      </c>
      <c r="BK8" s="328">
        <v>0</v>
      </c>
      <c r="BL8" s="327" t="s">
        <v>1280</v>
      </c>
      <c r="BM8" s="391"/>
      <c r="BN8" s="391"/>
      <c r="BO8" s="391"/>
      <c r="BP8" s="391"/>
      <c r="BQ8" s="327">
        <v>0</v>
      </c>
      <c r="BR8" s="327">
        <v>4</v>
      </c>
      <c r="BS8" s="328">
        <v>0</v>
      </c>
      <c r="BT8" s="327" t="s">
        <v>1289</v>
      </c>
      <c r="BU8" s="391"/>
      <c r="BV8" s="391"/>
      <c r="BW8" s="391"/>
      <c r="BX8" s="391"/>
      <c r="BY8" s="327">
        <v>0</v>
      </c>
      <c r="BZ8" s="327">
        <v>4</v>
      </c>
      <c r="CA8" s="328">
        <v>0</v>
      </c>
      <c r="CB8" s="327" t="s">
        <v>1392</v>
      </c>
      <c r="CC8" s="391"/>
      <c r="CD8" s="391"/>
      <c r="CE8" s="391"/>
      <c r="CF8" s="391"/>
      <c r="CG8" s="327">
        <v>0</v>
      </c>
      <c r="CH8" s="327">
        <v>4</v>
      </c>
      <c r="CI8" s="328">
        <v>0</v>
      </c>
      <c r="CJ8" s="327" t="s">
        <v>1392</v>
      </c>
      <c r="CK8" s="391"/>
      <c r="CL8" s="391"/>
      <c r="CM8" s="392"/>
      <c r="CN8" s="391"/>
      <c r="CO8" s="327">
        <v>1</v>
      </c>
      <c r="CP8" s="327">
        <v>4</v>
      </c>
      <c r="CQ8" s="328">
        <v>0.25</v>
      </c>
      <c r="CR8" s="327" t="s">
        <v>1393</v>
      </c>
    </row>
    <row r="9" spans="1:96" s="210" customFormat="1" ht="163.5" customHeight="1" x14ac:dyDescent="0.25">
      <c r="A9" s="532"/>
      <c r="B9" s="548"/>
      <c r="C9" s="579"/>
      <c r="D9" s="435"/>
      <c r="E9" s="579"/>
      <c r="F9" s="398"/>
      <c r="G9" s="579"/>
      <c r="H9" s="435"/>
      <c r="I9" s="579"/>
      <c r="J9" s="435"/>
      <c r="K9" s="579"/>
      <c r="L9" s="58" t="s">
        <v>1290</v>
      </c>
      <c r="M9" s="58" t="s">
        <v>1291</v>
      </c>
      <c r="N9" s="58" t="s">
        <v>60</v>
      </c>
      <c r="O9" s="58"/>
      <c r="P9" s="58">
        <v>1000</v>
      </c>
      <c r="Q9" s="58" t="s">
        <v>1292</v>
      </c>
      <c r="R9" s="58" t="s">
        <v>1293</v>
      </c>
      <c r="S9" s="327" t="s">
        <v>60</v>
      </c>
      <c r="T9" s="58"/>
      <c r="U9" s="327">
        <v>5</v>
      </c>
      <c r="V9" s="331">
        <v>1081803196</v>
      </c>
      <c r="W9" s="583"/>
      <c r="X9" s="532"/>
      <c r="Y9" s="327">
        <v>0</v>
      </c>
      <c r="Z9" s="327">
        <v>1000</v>
      </c>
      <c r="AA9" s="327">
        <v>0</v>
      </c>
      <c r="AB9" s="58" t="s">
        <v>1294</v>
      </c>
      <c r="AC9" s="327">
        <v>1</v>
      </c>
      <c r="AD9" s="327">
        <v>5</v>
      </c>
      <c r="AE9" s="328">
        <f>+AC9/AD9</f>
        <v>0.2</v>
      </c>
      <c r="AF9" s="327" t="s">
        <v>1295</v>
      </c>
      <c r="AG9" s="327">
        <v>385</v>
      </c>
      <c r="AH9" s="327">
        <v>1000</v>
      </c>
      <c r="AI9" s="328">
        <f>+AG9/AH9</f>
        <v>0.38500000000000001</v>
      </c>
      <c r="AJ9" s="327" t="s">
        <v>1296</v>
      </c>
      <c r="AK9" s="327">
        <v>2</v>
      </c>
      <c r="AL9" s="327">
        <v>5</v>
      </c>
      <c r="AM9" s="328">
        <f>+AK9/AL9</f>
        <v>0.4</v>
      </c>
      <c r="AN9" s="327" t="s">
        <v>1295</v>
      </c>
      <c r="AO9" s="327">
        <v>385</v>
      </c>
      <c r="AP9" s="327">
        <v>1000</v>
      </c>
      <c r="AQ9" s="328">
        <f>+AO9/AP9</f>
        <v>0.38500000000000001</v>
      </c>
      <c r="AR9" s="327" t="s">
        <v>1297</v>
      </c>
      <c r="AS9" s="327">
        <v>3</v>
      </c>
      <c r="AT9" s="327">
        <v>5</v>
      </c>
      <c r="AU9" s="328">
        <f>+AS9/AT9</f>
        <v>0.6</v>
      </c>
      <c r="AV9" s="327" t="s">
        <v>1298</v>
      </c>
      <c r="AW9" s="327">
        <v>385</v>
      </c>
      <c r="AX9" s="327">
        <v>1000</v>
      </c>
      <c r="AY9" s="328">
        <f>+AW9/AX9</f>
        <v>0.38500000000000001</v>
      </c>
      <c r="AZ9" s="327" t="s">
        <v>1297</v>
      </c>
      <c r="BA9" s="327">
        <v>4</v>
      </c>
      <c r="BB9" s="327">
        <v>5</v>
      </c>
      <c r="BC9" s="328">
        <f>+BA9/BB9</f>
        <v>0.8</v>
      </c>
      <c r="BD9" s="327" t="s">
        <v>1299</v>
      </c>
      <c r="BE9" s="327">
        <v>385</v>
      </c>
      <c r="BF9" s="327">
        <v>1000</v>
      </c>
      <c r="BG9" s="328">
        <f>+BE9/BF9</f>
        <v>0.38500000000000001</v>
      </c>
      <c r="BH9" s="327" t="s">
        <v>1297</v>
      </c>
      <c r="BI9" s="327">
        <v>4</v>
      </c>
      <c r="BJ9" s="327">
        <v>5</v>
      </c>
      <c r="BK9" s="328">
        <f>+BI9/BJ9</f>
        <v>0.8</v>
      </c>
      <c r="BL9" s="327" t="s">
        <v>1299</v>
      </c>
      <c r="BM9" s="327">
        <v>1000</v>
      </c>
      <c r="BN9" s="327">
        <v>1000</v>
      </c>
      <c r="BO9" s="328">
        <f>100%*50%</f>
        <v>0.5</v>
      </c>
      <c r="BP9" s="327" t="s">
        <v>1300</v>
      </c>
      <c r="BQ9" s="327">
        <v>4</v>
      </c>
      <c r="BR9" s="327">
        <v>5</v>
      </c>
      <c r="BS9" s="328">
        <v>0.8</v>
      </c>
      <c r="BT9" s="327" t="s">
        <v>1301</v>
      </c>
      <c r="BU9" s="327">
        <v>1000</v>
      </c>
      <c r="BV9" s="327">
        <v>1000</v>
      </c>
      <c r="BW9" s="328">
        <v>1</v>
      </c>
      <c r="BX9" s="327" t="s">
        <v>1394</v>
      </c>
      <c r="BY9" s="327">
        <v>4</v>
      </c>
      <c r="BZ9" s="327">
        <v>5</v>
      </c>
      <c r="CA9" s="328">
        <v>0.8</v>
      </c>
      <c r="CB9" s="327" t="s">
        <v>1301</v>
      </c>
      <c r="CC9" s="327">
        <v>1000</v>
      </c>
      <c r="CD9" s="327">
        <v>1000</v>
      </c>
      <c r="CE9" s="328">
        <v>1</v>
      </c>
      <c r="CF9" s="327" t="s">
        <v>1394</v>
      </c>
      <c r="CG9" s="327">
        <v>4</v>
      </c>
      <c r="CH9" s="327">
        <v>5</v>
      </c>
      <c r="CI9" s="328">
        <v>0.8</v>
      </c>
      <c r="CJ9" s="327" t="s">
        <v>1301</v>
      </c>
      <c r="CK9" s="327">
        <v>1000</v>
      </c>
      <c r="CL9" s="327">
        <v>1000</v>
      </c>
      <c r="CM9" s="328">
        <v>1</v>
      </c>
      <c r="CN9" s="327" t="s">
        <v>1394</v>
      </c>
      <c r="CO9" s="327">
        <v>4</v>
      </c>
      <c r="CP9" s="327">
        <v>5</v>
      </c>
      <c r="CQ9" s="328">
        <v>0.8</v>
      </c>
      <c r="CR9" s="327" t="s">
        <v>1301</v>
      </c>
    </row>
    <row r="10" spans="1:96" s="210" customFormat="1" ht="114" customHeight="1" x14ac:dyDescent="0.25">
      <c r="A10" s="532"/>
      <c r="B10" s="548"/>
      <c r="C10" s="579"/>
      <c r="D10" s="435"/>
      <c r="E10" s="579"/>
      <c r="F10" s="391" t="s">
        <v>851</v>
      </c>
      <c r="G10" s="579"/>
      <c r="H10" s="435"/>
      <c r="I10" s="579"/>
      <c r="J10" s="435"/>
      <c r="K10" s="579"/>
      <c r="L10" s="391" t="s">
        <v>1302</v>
      </c>
      <c r="M10" s="391" t="s">
        <v>1303</v>
      </c>
      <c r="N10" s="391" t="s">
        <v>60</v>
      </c>
      <c r="O10" s="391"/>
      <c r="P10" s="391">
        <v>5</v>
      </c>
      <c r="Q10" s="49" t="s">
        <v>1304</v>
      </c>
      <c r="R10" s="49" t="s">
        <v>1305</v>
      </c>
      <c r="S10" s="322" t="s">
        <v>60</v>
      </c>
      <c r="T10" s="322"/>
      <c r="U10" s="322">
        <v>7</v>
      </c>
      <c r="V10" s="329">
        <v>2415200000</v>
      </c>
      <c r="W10" s="583"/>
      <c r="X10" s="532"/>
      <c r="Y10" s="391">
        <v>1</v>
      </c>
      <c r="Z10" s="391">
        <v>5</v>
      </c>
      <c r="AA10" s="392">
        <f>+Y10/Z10</f>
        <v>0.2</v>
      </c>
      <c r="AB10" s="391" t="s">
        <v>1306</v>
      </c>
      <c r="AC10" s="322">
        <v>0</v>
      </c>
      <c r="AD10" s="322">
        <v>7</v>
      </c>
      <c r="AE10" s="323">
        <v>0</v>
      </c>
      <c r="AF10" s="322" t="s">
        <v>1280</v>
      </c>
      <c r="AG10" s="391">
        <v>2</v>
      </c>
      <c r="AH10" s="391">
        <v>5</v>
      </c>
      <c r="AI10" s="392">
        <f>+AG10/AH10</f>
        <v>0.4</v>
      </c>
      <c r="AJ10" s="391" t="s">
        <v>1307</v>
      </c>
      <c r="AK10" s="322">
        <v>0</v>
      </c>
      <c r="AL10" s="322">
        <v>7</v>
      </c>
      <c r="AM10" s="323">
        <v>0</v>
      </c>
      <c r="AN10" s="322" t="s">
        <v>1280</v>
      </c>
      <c r="AO10" s="391">
        <v>2</v>
      </c>
      <c r="AP10" s="391">
        <v>5</v>
      </c>
      <c r="AQ10" s="392">
        <f>+AO10/AP10</f>
        <v>0.4</v>
      </c>
      <c r="AR10" s="391" t="s">
        <v>1307</v>
      </c>
      <c r="AS10" s="322">
        <v>0</v>
      </c>
      <c r="AT10" s="322">
        <v>7</v>
      </c>
      <c r="AU10" s="323">
        <v>0</v>
      </c>
      <c r="AV10" s="322" t="s">
        <v>1280</v>
      </c>
      <c r="AW10" s="391">
        <v>2</v>
      </c>
      <c r="AX10" s="391">
        <v>5</v>
      </c>
      <c r="AY10" s="392">
        <f>+AW10/AX10</f>
        <v>0.4</v>
      </c>
      <c r="AZ10" s="391" t="s">
        <v>1307</v>
      </c>
      <c r="BA10" s="322">
        <v>0</v>
      </c>
      <c r="BB10" s="322">
        <v>7</v>
      </c>
      <c r="BC10" s="323">
        <v>0</v>
      </c>
      <c r="BD10" s="322" t="s">
        <v>1280</v>
      </c>
      <c r="BE10" s="391">
        <v>2</v>
      </c>
      <c r="BF10" s="391">
        <v>5</v>
      </c>
      <c r="BG10" s="392">
        <f>+BE10/BF10</f>
        <v>0.4</v>
      </c>
      <c r="BH10" s="391" t="s">
        <v>1307</v>
      </c>
      <c r="BI10" s="322">
        <v>0</v>
      </c>
      <c r="BJ10" s="322">
        <v>7</v>
      </c>
      <c r="BK10" s="323">
        <v>0</v>
      </c>
      <c r="BL10" s="322" t="s">
        <v>1280</v>
      </c>
      <c r="BM10" s="391">
        <v>2</v>
      </c>
      <c r="BN10" s="391">
        <v>5</v>
      </c>
      <c r="BO10" s="392">
        <f>+BM10/BN10</f>
        <v>0.4</v>
      </c>
      <c r="BP10" s="391" t="s">
        <v>1308</v>
      </c>
      <c r="BQ10" s="322">
        <v>1</v>
      </c>
      <c r="BR10" s="322">
        <v>7</v>
      </c>
      <c r="BS10" s="323">
        <v>0.14285714285714285</v>
      </c>
      <c r="BT10" s="322" t="s">
        <v>1309</v>
      </c>
      <c r="BU10" s="391">
        <v>2</v>
      </c>
      <c r="BV10" s="391">
        <v>5</v>
      </c>
      <c r="BW10" s="392">
        <f>+BU10/BV10</f>
        <v>0.4</v>
      </c>
      <c r="BX10" s="391" t="s">
        <v>1395</v>
      </c>
      <c r="BY10" s="322">
        <v>1</v>
      </c>
      <c r="BZ10" s="322">
        <v>7</v>
      </c>
      <c r="CA10" s="323">
        <v>0.14285714285714285</v>
      </c>
      <c r="CB10" s="322" t="s">
        <v>1309</v>
      </c>
      <c r="CC10" s="391">
        <v>2</v>
      </c>
      <c r="CD10" s="391">
        <v>5</v>
      </c>
      <c r="CE10" s="392">
        <f>+CC10/CD10</f>
        <v>0.4</v>
      </c>
      <c r="CF10" s="391" t="s">
        <v>1395</v>
      </c>
      <c r="CG10" s="322">
        <v>1</v>
      </c>
      <c r="CH10" s="322">
        <v>7</v>
      </c>
      <c r="CI10" s="323">
        <v>0.14285714285714285</v>
      </c>
      <c r="CJ10" s="322" t="s">
        <v>1309</v>
      </c>
      <c r="CK10" s="391">
        <v>2</v>
      </c>
      <c r="CL10" s="391">
        <v>5</v>
      </c>
      <c r="CM10" s="392">
        <v>0.4</v>
      </c>
      <c r="CN10" s="391" t="s">
        <v>1396</v>
      </c>
      <c r="CO10" s="322">
        <v>1</v>
      </c>
      <c r="CP10" s="322">
        <v>7</v>
      </c>
      <c r="CQ10" s="323">
        <v>0.14285714285714285</v>
      </c>
      <c r="CR10" s="322" t="s">
        <v>1397</v>
      </c>
    </row>
    <row r="11" spans="1:96" s="210" customFormat="1" ht="174" customHeight="1" x14ac:dyDescent="0.25">
      <c r="A11" s="532"/>
      <c r="B11" s="548"/>
      <c r="C11" s="579"/>
      <c r="D11" s="435"/>
      <c r="E11" s="579"/>
      <c r="F11" s="391"/>
      <c r="G11" s="579"/>
      <c r="H11" s="435"/>
      <c r="I11" s="579"/>
      <c r="J11" s="435"/>
      <c r="K11" s="579"/>
      <c r="L11" s="391"/>
      <c r="M11" s="391"/>
      <c r="N11" s="391"/>
      <c r="O11" s="391"/>
      <c r="P11" s="391"/>
      <c r="Q11" s="58" t="s">
        <v>1310</v>
      </c>
      <c r="R11" s="58" t="s">
        <v>1311</v>
      </c>
      <c r="S11" s="58" t="s">
        <v>93</v>
      </c>
      <c r="T11" s="58"/>
      <c r="U11" s="327">
        <v>1</v>
      </c>
      <c r="V11" s="331">
        <v>2415200000</v>
      </c>
      <c r="W11" s="583"/>
      <c r="X11" s="532"/>
      <c r="Y11" s="391"/>
      <c r="Z11" s="391"/>
      <c r="AA11" s="392"/>
      <c r="AB11" s="391"/>
      <c r="AC11" s="328">
        <v>0.05</v>
      </c>
      <c r="AD11" s="327">
        <v>1</v>
      </c>
      <c r="AE11" s="328">
        <v>0.05</v>
      </c>
      <c r="AF11" s="327" t="s">
        <v>1312</v>
      </c>
      <c r="AG11" s="391"/>
      <c r="AH11" s="391">
        <v>5</v>
      </c>
      <c r="AI11" s="392"/>
      <c r="AJ11" s="391"/>
      <c r="AK11" s="328">
        <v>0.05</v>
      </c>
      <c r="AL11" s="327">
        <v>1</v>
      </c>
      <c r="AM11" s="328">
        <v>0.05</v>
      </c>
      <c r="AN11" s="327" t="s">
        <v>1312</v>
      </c>
      <c r="AO11" s="391"/>
      <c r="AP11" s="391">
        <v>5</v>
      </c>
      <c r="AQ11" s="392"/>
      <c r="AR11" s="391"/>
      <c r="AS11" s="328">
        <v>0.25</v>
      </c>
      <c r="AT11" s="327">
        <v>1</v>
      </c>
      <c r="AU11" s="328">
        <v>0.3</v>
      </c>
      <c r="AV11" s="327" t="s">
        <v>1313</v>
      </c>
      <c r="AW11" s="391"/>
      <c r="AX11" s="391">
        <v>5</v>
      </c>
      <c r="AY11" s="392"/>
      <c r="AZ11" s="391"/>
      <c r="BA11" s="328">
        <v>0</v>
      </c>
      <c r="BB11" s="327">
        <v>1</v>
      </c>
      <c r="BC11" s="328">
        <v>0.3</v>
      </c>
      <c r="BD11" s="327" t="s">
        <v>1313</v>
      </c>
      <c r="BE11" s="391"/>
      <c r="BF11" s="391">
        <v>5</v>
      </c>
      <c r="BG11" s="392"/>
      <c r="BH11" s="391"/>
      <c r="BI11" s="328">
        <f>BK11-BC11</f>
        <v>0.5</v>
      </c>
      <c r="BJ11" s="327">
        <v>1</v>
      </c>
      <c r="BK11" s="328">
        <v>0.8</v>
      </c>
      <c r="BL11" s="327" t="s">
        <v>1314</v>
      </c>
      <c r="BM11" s="391"/>
      <c r="BN11" s="391">
        <v>5</v>
      </c>
      <c r="BO11" s="392"/>
      <c r="BP11" s="391"/>
      <c r="BQ11" s="328">
        <f>BS11-BK11</f>
        <v>9.9999999999999978E-2</v>
      </c>
      <c r="BR11" s="327">
        <v>1</v>
      </c>
      <c r="BS11" s="328">
        <v>0.9</v>
      </c>
      <c r="BT11" s="327" t="s">
        <v>1315</v>
      </c>
      <c r="BU11" s="391"/>
      <c r="BV11" s="391">
        <v>5</v>
      </c>
      <c r="BW11" s="392"/>
      <c r="BX11" s="391"/>
      <c r="BY11" s="328">
        <f>CA11-BS11</f>
        <v>0</v>
      </c>
      <c r="BZ11" s="327">
        <v>1</v>
      </c>
      <c r="CA11" s="328">
        <v>0.9</v>
      </c>
      <c r="CB11" s="327" t="s">
        <v>1315</v>
      </c>
      <c r="CC11" s="391"/>
      <c r="CD11" s="391">
        <v>5</v>
      </c>
      <c r="CE11" s="392"/>
      <c r="CF11" s="391"/>
      <c r="CG11" s="328">
        <f>CI11-CA11</f>
        <v>0</v>
      </c>
      <c r="CH11" s="327">
        <v>1</v>
      </c>
      <c r="CI11" s="328">
        <v>0.9</v>
      </c>
      <c r="CJ11" s="327" t="s">
        <v>1315</v>
      </c>
      <c r="CK11" s="391"/>
      <c r="CL11" s="391">
        <v>5</v>
      </c>
      <c r="CM11" s="392"/>
      <c r="CN11" s="391"/>
      <c r="CO11" s="328">
        <v>0.9</v>
      </c>
      <c r="CP11" s="327">
        <v>1</v>
      </c>
      <c r="CQ11" s="328">
        <v>0.9</v>
      </c>
      <c r="CR11" s="327" t="s">
        <v>1398</v>
      </c>
    </row>
    <row r="12" spans="1:96" s="210" customFormat="1" ht="174" customHeight="1" x14ac:dyDescent="0.25">
      <c r="A12" s="532"/>
      <c r="B12" s="548"/>
      <c r="C12" s="579"/>
      <c r="D12" s="435"/>
      <c r="E12" s="579"/>
      <c r="F12" s="391"/>
      <c r="G12" s="579"/>
      <c r="H12" s="435"/>
      <c r="I12" s="579"/>
      <c r="J12" s="435"/>
      <c r="K12" s="579"/>
      <c r="L12" s="391"/>
      <c r="M12" s="391"/>
      <c r="N12" s="391"/>
      <c r="O12" s="391"/>
      <c r="P12" s="391"/>
      <c r="Q12" s="49" t="s">
        <v>1316</v>
      </c>
      <c r="R12" s="49" t="s">
        <v>1317</v>
      </c>
      <c r="S12" s="322" t="s">
        <v>93</v>
      </c>
      <c r="T12" s="322"/>
      <c r="U12" s="322">
        <v>1</v>
      </c>
      <c r="V12" s="329">
        <v>2415200000</v>
      </c>
      <c r="W12" s="583"/>
      <c r="X12" s="532"/>
      <c r="Y12" s="391"/>
      <c r="Z12" s="391"/>
      <c r="AA12" s="392"/>
      <c r="AB12" s="391"/>
      <c r="AC12" s="323">
        <v>0.05</v>
      </c>
      <c r="AD12" s="322">
        <v>1</v>
      </c>
      <c r="AE12" s="323">
        <v>0.05</v>
      </c>
      <c r="AF12" s="322" t="s">
        <v>1318</v>
      </c>
      <c r="AG12" s="391"/>
      <c r="AH12" s="391"/>
      <c r="AI12" s="392"/>
      <c r="AJ12" s="391"/>
      <c r="AK12" s="323">
        <v>0.05</v>
      </c>
      <c r="AL12" s="322">
        <v>1</v>
      </c>
      <c r="AM12" s="323">
        <v>0.05</v>
      </c>
      <c r="AN12" s="322" t="s">
        <v>1318</v>
      </c>
      <c r="AO12" s="391"/>
      <c r="AP12" s="391"/>
      <c r="AQ12" s="392"/>
      <c r="AR12" s="391"/>
      <c r="AS12" s="323">
        <v>0.15</v>
      </c>
      <c r="AT12" s="322">
        <v>1</v>
      </c>
      <c r="AU12" s="323">
        <v>0.2</v>
      </c>
      <c r="AV12" s="322" t="s">
        <v>1319</v>
      </c>
      <c r="AW12" s="391"/>
      <c r="AX12" s="391"/>
      <c r="AY12" s="392"/>
      <c r="AZ12" s="391"/>
      <c r="BA12" s="323">
        <v>0</v>
      </c>
      <c r="BB12" s="322">
        <v>1</v>
      </c>
      <c r="BC12" s="323">
        <v>0.2</v>
      </c>
      <c r="BD12" s="322" t="s">
        <v>1319</v>
      </c>
      <c r="BE12" s="391"/>
      <c r="BF12" s="391"/>
      <c r="BG12" s="392"/>
      <c r="BH12" s="391"/>
      <c r="BI12" s="323">
        <v>0</v>
      </c>
      <c r="BJ12" s="322">
        <v>1</v>
      </c>
      <c r="BK12" s="323">
        <v>0.2</v>
      </c>
      <c r="BL12" s="322" t="s">
        <v>1319</v>
      </c>
      <c r="BM12" s="391"/>
      <c r="BN12" s="391"/>
      <c r="BO12" s="392"/>
      <c r="BP12" s="391"/>
      <c r="BQ12" s="323">
        <f>+BS12-BK12</f>
        <v>0.25829999999999997</v>
      </c>
      <c r="BR12" s="322">
        <v>1</v>
      </c>
      <c r="BS12" s="323">
        <v>0.45829999999999999</v>
      </c>
      <c r="BT12" s="322" t="s">
        <v>1320</v>
      </c>
      <c r="BU12" s="391"/>
      <c r="BV12" s="391"/>
      <c r="BW12" s="392"/>
      <c r="BX12" s="391"/>
      <c r="BY12" s="323">
        <f>+CA12-BS12</f>
        <v>9.5000000000000029E-2</v>
      </c>
      <c r="BZ12" s="322">
        <v>1</v>
      </c>
      <c r="CA12" s="323">
        <v>0.55330000000000001</v>
      </c>
      <c r="CB12" s="322" t="s">
        <v>1399</v>
      </c>
      <c r="CC12" s="391"/>
      <c r="CD12" s="391"/>
      <c r="CE12" s="392"/>
      <c r="CF12" s="391"/>
      <c r="CG12" s="323">
        <f>+CI12-CA12</f>
        <v>0.13669999999999993</v>
      </c>
      <c r="CH12" s="322">
        <v>1</v>
      </c>
      <c r="CI12" s="323">
        <v>0.69</v>
      </c>
      <c r="CJ12" s="322" t="s">
        <v>1399</v>
      </c>
      <c r="CK12" s="391"/>
      <c r="CL12" s="391"/>
      <c r="CM12" s="392"/>
      <c r="CN12" s="391"/>
      <c r="CO12" s="323">
        <v>0.80500000000000005</v>
      </c>
      <c r="CP12" s="322">
        <v>1</v>
      </c>
      <c r="CQ12" s="323">
        <v>0.80500000000000005</v>
      </c>
      <c r="CR12" s="322" t="s">
        <v>1400</v>
      </c>
    </row>
    <row r="13" spans="1:96" s="210" customFormat="1" ht="116.25" customHeight="1" x14ac:dyDescent="0.25">
      <c r="A13" s="532"/>
      <c r="B13" s="548"/>
      <c r="C13" s="579"/>
      <c r="D13" s="435"/>
      <c r="E13" s="579"/>
      <c r="F13" s="397" t="s">
        <v>1270</v>
      </c>
      <c r="G13" s="579"/>
      <c r="H13" s="435"/>
      <c r="I13" s="579"/>
      <c r="J13" s="435"/>
      <c r="K13" s="579"/>
      <c r="L13" s="454" t="s">
        <v>1321</v>
      </c>
      <c r="M13" s="454" t="s">
        <v>1317</v>
      </c>
      <c r="N13" s="454" t="s">
        <v>93</v>
      </c>
      <c r="O13" s="454"/>
      <c r="P13" s="454">
        <v>100</v>
      </c>
      <c r="Q13" s="58" t="s">
        <v>1322</v>
      </c>
      <c r="R13" s="58" t="s">
        <v>1311</v>
      </c>
      <c r="S13" s="327" t="s">
        <v>60</v>
      </c>
      <c r="T13" s="58"/>
      <c r="U13" s="327">
        <v>3</v>
      </c>
      <c r="V13" s="331">
        <v>1281019352</v>
      </c>
      <c r="W13" s="583"/>
      <c r="X13" s="532"/>
      <c r="Y13" s="455">
        <v>0.05</v>
      </c>
      <c r="Z13" s="455">
        <v>1</v>
      </c>
      <c r="AA13" s="455">
        <v>0.05</v>
      </c>
      <c r="AB13" s="454" t="s">
        <v>1323</v>
      </c>
      <c r="AC13" s="327">
        <v>1</v>
      </c>
      <c r="AD13" s="327">
        <v>3</v>
      </c>
      <c r="AE13" s="328">
        <f>+AC13/AD13</f>
        <v>0.33333333333333331</v>
      </c>
      <c r="AF13" s="327" t="s">
        <v>1324</v>
      </c>
      <c r="AG13" s="455">
        <v>0.05</v>
      </c>
      <c r="AH13" s="455">
        <v>1</v>
      </c>
      <c r="AI13" s="455">
        <v>0.05</v>
      </c>
      <c r="AJ13" s="454" t="s">
        <v>1323</v>
      </c>
      <c r="AK13" s="327">
        <v>1</v>
      </c>
      <c r="AL13" s="327">
        <v>3</v>
      </c>
      <c r="AM13" s="328">
        <f>+AK13/AL13</f>
        <v>0.33333333333333331</v>
      </c>
      <c r="AN13" s="327" t="s">
        <v>1324</v>
      </c>
      <c r="AO13" s="455">
        <v>0.25</v>
      </c>
      <c r="AP13" s="455">
        <v>1</v>
      </c>
      <c r="AQ13" s="455">
        <f>+AO13/AP13</f>
        <v>0.25</v>
      </c>
      <c r="AR13" s="454" t="s">
        <v>1325</v>
      </c>
      <c r="AS13" s="327">
        <v>1</v>
      </c>
      <c r="AT13" s="327">
        <v>3</v>
      </c>
      <c r="AU13" s="328">
        <v>0.33</v>
      </c>
      <c r="AV13" s="327" t="s">
        <v>1324</v>
      </c>
      <c r="AW13" s="455">
        <v>0.25</v>
      </c>
      <c r="AX13" s="455">
        <v>1</v>
      </c>
      <c r="AY13" s="455">
        <f>+AW13/AX13</f>
        <v>0.25</v>
      </c>
      <c r="AZ13" s="454" t="s">
        <v>1325</v>
      </c>
      <c r="BA13" s="327">
        <v>1</v>
      </c>
      <c r="BB13" s="327">
        <v>3</v>
      </c>
      <c r="BC13" s="328">
        <v>0.33</v>
      </c>
      <c r="BD13" s="327" t="s">
        <v>1324</v>
      </c>
      <c r="BE13" s="455">
        <f>+BG13-AY13</f>
        <v>0.125</v>
      </c>
      <c r="BF13" s="455">
        <v>1</v>
      </c>
      <c r="BG13" s="455">
        <v>0.375</v>
      </c>
      <c r="BH13" s="454" t="s">
        <v>1326</v>
      </c>
      <c r="BI13" s="327">
        <v>1</v>
      </c>
      <c r="BJ13" s="327">
        <v>3</v>
      </c>
      <c r="BK13" s="328">
        <v>0.33</v>
      </c>
      <c r="BL13" s="327" t="s">
        <v>1324</v>
      </c>
      <c r="BM13" s="455">
        <f>+BO13-BG13</f>
        <v>0.3206</v>
      </c>
      <c r="BN13" s="455">
        <v>1</v>
      </c>
      <c r="BO13" s="455">
        <v>0.6956</v>
      </c>
      <c r="BP13" s="454" t="s">
        <v>1327</v>
      </c>
      <c r="BQ13" s="327">
        <v>2</v>
      </c>
      <c r="BR13" s="327">
        <v>3</v>
      </c>
      <c r="BS13" s="328">
        <v>0.66666666666666663</v>
      </c>
      <c r="BT13" s="327" t="s">
        <v>1328</v>
      </c>
      <c r="BU13" s="455">
        <f>+BW13-BO13</f>
        <v>0</v>
      </c>
      <c r="BV13" s="455">
        <v>1</v>
      </c>
      <c r="BW13" s="455">
        <v>0.6956</v>
      </c>
      <c r="BX13" s="454" t="s">
        <v>1327</v>
      </c>
      <c r="BY13" s="327">
        <v>2</v>
      </c>
      <c r="BZ13" s="327">
        <v>3</v>
      </c>
      <c r="CA13" s="328">
        <v>0.66666666666666663</v>
      </c>
      <c r="CB13" s="327" t="s">
        <v>1328</v>
      </c>
      <c r="CC13" s="455">
        <f>+CE13-BW13</f>
        <v>4.9799999999999955E-2</v>
      </c>
      <c r="CD13" s="455">
        <v>1</v>
      </c>
      <c r="CE13" s="455">
        <v>0.74539999999999995</v>
      </c>
      <c r="CF13" s="454" t="s">
        <v>1327</v>
      </c>
      <c r="CG13" s="327">
        <v>2</v>
      </c>
      <c r="CH13" s="327">
        <v>3</v>
      </c>
      <c r="CI13" s="328">
        <v>0.66666666666666663</v>
      </c>
      <c r="CJ13" s="327" t="s">
        <v>1328</v>
      </c>
      <c r="CK13" s="455">
        <f>+CM13-CE13</f>
        <v>2.5900000000000034E-2</v>
      </c>
      <c r="CL13" s="455">
        <v>1</v>
      </c>
      <c r="CM13" s="455">
        <v>0.77129999999999999</v>
      </c>
      <c r="CN13" s="454" t="s">
        <v>1401</v>
      </c>
      <c r="CO13" s="327">
        <v>3</v>
      </c>
      <c r="CP13" s="327">
        <v>3</v>
      </c>
      <c r="CQ13" s="328">
        <v>1</v>
      </c>
      <c r="CR13" s="327" t="s">
        <v>1402</v>
      </c>
    </row>
    <row r="14" spans="1:96" s="210" customFormat="1" ht="96" customHeight="1" x14ac:dyDescent="0.25">
      <c r="A14" s="532"/>
      <c r="B14" s="548"/>
      <c r="C14" s="580"/>
      <c r="D14" s="398"/>
      <c r="E14" s="580"/>
      <c r="F14" s="398"/>
      <c r="G14" s="580"/>
      <c r="H14" s="398"/>
      <c r="I14" s="580"/>
      <c r="J14" s="398"/>
      <c r="K14" s="580"/>
      <c r="L14" s="454"/>
      <c r="M14" s="454"/>
      <c r="N14" s="454"/>
      <c r="O14" s="454"/>
      <c r="P14" s="454"/>
      <c r="Q14" s="49" t="s">
        <v>1329</v>
      </c>
      <c r="R14" s="49" t="s">
        <v>1330</v>
      </c>
      <c r="S14" s="322" t="s">
        <v>60</v>
      </c>
      <c r="T14" s="322"/>
      <c r="U14" s="322">
        <v>3</v>
      </c>
      <c r="V14" s="343">
        <v>1281019352</v>
      </c>
      <c r="W14" s="584"/>
      <c r="X14" s="532"/>
      <c r="Y14" s="455"/>
      <c r="Z14" s="455"/>
      <c r="AA14" s="455"/>
      <c r="AB14" s="454"/>
      <c r="AC14" s="322">
        <v>0</v>
      </c>
      <c r="AD14" s="322">
        <v>1</v>
      </c>
      <c r="AE14" s="323">
        <v>0</v>
      </c>
      <c r="AF14" s="322" t="s">
        <v>1331</v>
      </c>
      <c r="AG14" s="455"/>
      <c r="AH14" s="455"/>
      <c r="AI14" s="455"/>
      <c r="AJ14" s="454"/>
      <c r="AK14" s="322">
        <v>0</v>
      </c>
      <c r="AL14" s="322">
        <v>1</v>
      </c>
      <c r="AM14" s="323">
        <v>0</v>
      </c>
      <c r="AN14" s="322" t="s">
        <v>1331</v>
      </c>
      <c r="AO14" s="455"/>
      <c r="AP14" s="455"/>
      <c r="AQ14" s="455"/>
      <c r="AR14" s="454"/>
      <c r="AS14" s="322">
        <v>0</v>
      </c>
      <c r="AT14" s="322">
        <v>1</v>
      </c>
      <c r="AU14" s="323">
        <v>0</v>
      </c>
      <c r="AV14" s="322" t="s">
        <v>1331</v>
      </c>
      <c r="AW14" s="455"/>
      <c r="AX14" s="455"/>
      <c r="AY14" s="455"/>
      <c r="AZ14" s="454"/>
      <c r="BA14" s="322">
        <v>0</v>
      </c>
      <c r="BB14" s="322">
        <v>1</v>
      </c>
      <c r="BC14" s="323">
        <v>0</v>
      </c>
      <c r="BD14" s="322" t="s">
        <v>1331</v>
      </c>
      <c r="BE14" s="455"/>
      <c r="BF14" s="455"/>
      <c r="BG14" s="455"/>
      <c r="BH14" s="454"/>
      <c r="BI14" s="322">
        <v>0</v>
      </c>
      <c r="BJ14" s="322">
        <v>1</v>
      </c>
      <c r="BK14" s="323">
        <v>0</v>
      </c>
      <c r="BL14" s="322" t="s">
        <v>1331</v>
      </c>
      <c r="BM14" s="455"/>
      <c r="BN14" s="455"/>
      <c r="BO14" s="455"/>
      <c r="BP14" s="454"/>
      <c r="BQ14" s="322">
        <v>0</v>
      </c>
      <c r="BR14" s="322">
        <v>3</v>
      </c>
      <c r="BS14" s="323">
        <v>0</v>
      </c>
      <c r="BT14" s="322" t="s">
        <v>1332</v>
      </c>
      <c r="BU14" s="455"/>
      <c r="BV14" s="455"/>
      <c r="BW14" s="455"/>
      <c r="BX14" s="454"/>
      <c r="BY14" s="322">
        <v>3</v>
      </c>
      <c r="BZ14" s="322">
        <v>3</v>
      </c>
      <c r="CA14" s="323">
        <v>1</v>
      </c>
      <c r="CB14" s="322" t="s">
        <v>1403</v>
      </c>
      <c r="CC14" s="455"/>
      <c r="CD14" s="455"/>
      <c r="CE14" s="455"/>
      <c r="CF14" s="454"/>
      <c r="CG14" s="322">
        <v>3</v>
      </c>
      <c r="CH14" s="322">
        <v>3</v>
      </c>
      <c r="CI14" s="323">
        <v>1</v>
      </c>
      <c r="CJ14" s="322" t="s">
        <v>1403</v>
      </c>
      <c r="CK14" s="455"/>
      <c r="CL14" s="455"/>
      <c r="CM14" s="455"/>
      <c r="CN14" s="454"/>
      <c r="CO14" s="322">
        <v>3</v>
      </c>
      <c r="CP14" s="322">
        <v>3</v>
      </c>
      <c r="CQ14" s="323">
        <v>1</v>
      </c>
      <c r="CR14" s="322" t="s">
        <v>1403</v>
      </c>
    </row>
    <row r="15" spans="1:96" s="352" customFormat="1" ht="36" customHeight="1" x14ac:dyDescent="0.25">
      <c r="A15" s="339"/>
      <c r="B15" s="339"/>
      <c r="C15" s="339"/>
      <c r="D15" s="339"/>
      <c r="E15" s="339"/>
      <c r="F15" s="339"/>
      <c r="G15" s="339"/>
      <c r="H15" s="339"/>
      <c r="I15" s="339"/>
      <c r="J15" s="339"/>
      <c r="K15" s="339"/>
      <c r="L15" s="339"/>
      <c r="M15" s="339"/>
      <c r="N15" s="339"/>
      <c r="O15" s="339"/>
      <c r="P15" s="339"/>
      <c r="Q15" s="339"/>
      <c r="R15" s="339"/>
      <c r="S15" s="339"/>
      <c r="T15" s="339"/>
      <c r="U15" s="339"/>
      <c r="V15" s="351"/>
      <c r="W15" s="351"/>
      <c r="X15" s="339"/>
      <c r="Y15" s="382" t="s">
        <v>102</v>
      </c>
      <c r="Z15" s="382"/>
      <c r="AA15" s="42">
        <f>+AVERAGE(AA10:AA13)</f>
        <v>0.125</v>
      </c>
      <c r="AB15" s="73"/>
      <c r="AC15" s="382" t="s">
        <v>1052</v>
      </c>
      <c r="AD15" s="382"/>
      <c r="AE15" s="42">
        <f>+AVERAGE(AE11:AE13,AE9)</f>
        <v>0.15833333333333333</v>
      </c>
      <c r="AF15" s="339"/>
      <c r="AG15" s="382" t="s">
        <v>1053</v>
      </c>
      <c r="AH15" s="382"/>
      <c r="AI15" s="42">
        <f>+AVERAGE(AI9:AI13)</f>
        <v>0.27833333333333338</v>
      </c>
      <c r="AJ15" s="73"/>
      <c r="AK15" s="382" t="s">
        <v>1052</v>
      </c>
      <c r="AL15" s="382"/>
      <c r="AM15" s="42">
        <f>+AVERAGE(AM11:AM13,AM9)</f>
        <v>0.20833333333333334</v>
      </c>
      <c r="AN15" s="339"/>
      <c r="AO15" s="382" t="s">
        <v>1053</v>
      </c>
      <c r="AP15" s="382"/>
      <c r="AQ15" s="42">
        <f>+AVERAGE(AQ9:AQ13)</f>
        <v>0.34500000000000003</v>
      </c>
      <c r="AR15" s="73"/>
      <c r="AS15" s="382" t="s">
        <v>1052</v>
      </c>
      <c r="AT15" s="382"/>
      <c r="AU15" s="42">
        <f>+AVERAGE(AU11:AU13,AU9,AU7)</f>
        <v>0.31100000000000005</v>
      </c>
      <c r="AV15" s="339"/>
      <c r="AW15" s="382" t="s">
        <v>1053</v>
      </c>
      <c r="AX15" s="382"/>
      <c r="AY15" s="42">
        <f>+AVERAGE(AY9:AY13)</f>
        <v>0.34500000000000003</v>
      </c>
      <c r="AZ15" s="73"/>
      <c r="BA15" s="382" t="s">
        <v>1052</v>
      </c>
      <c r="BB15" s="382"/>
      <c r="BC15" s="42">
        <f>+AVERAGE(BC11:BC13,BC9,BC7)</f>
        <v>0.35100000000000003</v>
      </c>
      <c r="BD15" s="339"/>
      <c r="BE15" s="382" t="s">
        <v>1053</v>
      </c>
      <c r="BF15" s="382"/>
      <c r="BG15" s="42">
        <f>+AVERAGE(BG9:BG13)</f>
        <v>0.38666666666666671</v>
      </c>
      <c r="BH15" s="73"/>
      <c r="BI15" s="382" t="s">
        <v>1052</v>
      </c>
      <c r="BJ15" s="382"/>
      <c r="BK15" s="42">
        <f>+AVERAGE(BK11:BK13,BK9,BK7)</f>
        <v>0.45099999999999996</v>
      </c>
      <c r="BL15" s="339"/>
      <c r="BM15" s="382" t="s">
        <v>1053</v>
      </c>
      <c r="BN15" s="382"/>
      <c r="BO15" s="42">
        <f>+AVERAGE(BO9:BO13)</f>
        <v>0.53186666666666671</v>
      </c>
      <c r="BP15" s="73"/>
      <c r="BQ15" s="382" t="s">
        <v>1052</v>
      </c>
      <c r="BR15" s="382"/>
      <c r="BS15" s="42">
        <f>+AVERAGE(BS11:BS13,BS9:BS10,BS7)</f>
        <v>0.5363039682539682</v>
      </c>
      <c r="BT15" s="339"/>
      <c r="BU15" s="382" t="s">
        <v>1053</v>
      </c>
      <c r="BV15" s="382"/>
      <c r="BW15" s="42">
        <f>+AVERAGE(BW9:BW13)</f>
        <v>0.69853333333333334</v>
      </c>
      <c r="BX15" s="73"/>
      <c r="BY15" s="382" t="s">
        <v>1052</v>
      </c>
      <c r="BZ15" s="382"/>
      <c r="CA15" s="42">
        <f>+AVERAGE(CA11:CA14,CA9:CA10,CA7)</f>
        <v>0.61611768707482995</v>
      </c>
      <c r="CB15" s="339"/>
      <c r="CC15" s="382" t="s">
        <v>1053</v>
      </c>
      <c r="CD15" s="382"/>
      <c r="CE15" s="42">
        <f>+AVERAGE(CE9:CE13)</f>
        <v>0.71513333333333329</v>
      </c>
      <c r="CF15" s="73"/>
      <c r="CG15" s="382" t="s">
        <v>1052</v>
      </c>
      <c r="CH15" s="382"/>
      <c r="CI15" s="42">
        <f>+AVERAGE(CI11:CI14,CI9:CI10,CI7)</f>
        <v>0.6535034013605443</v>
      </c>
      <c r="CJ15" s="339"/>
      <c r="CK15" s="382" t="s">
        <v>1053</v>
      </c>
      <c r="CL15" s="382"/>
      <c r="CM15" s="42">
        <f>+AVERAGE(CM7:CM13)</f>
        <v>0.69282500000000002</v>
      </c>
      <c r="CN15" s="73"/>
      <c r="CO15" s="382" t="s">
        <v>1052</v>
      </c>
      <c r="CP15" s="382"/>
      <c r="CQ15" s="42">
        <f>+AVERAGE(CQ7:CQ14)</f>
        <v>0.67473214285714289</v>
      </c>
      <c r="CR15" s="339"/>
    </row>
    <row r="16" spans="1:96" s="348" customFormat="1" x14ac:dyDescent="0.25">
      <c r="V16" s="353"/>
      <c r="W16" s="353"/>
    </row>
    <row r="17" spans="22:23" s="348" customFormat="1" x14ac:dyDescent="0.25">
      <c r="V17" s="353"/>
      <c r="W17" s="353"/>
    </row>
    <row r="18" spans="22:23" s="348" customFormat="1" x14ac:dyDescent="0.25">
      <c r="V18" s="353"/>
      <c r="W18" s="353"/>
    </row>
    <row r="19" spans="22:23" s="348" customFormat="1" x14ac:dyDescent="0.25">
      <c r="V19" s="353"/>
      <c r="W19" s="353"/>
    </row>
    <row r="20" spans="22:23" s="348" customFormat="1" x14ac:dyDescent="0.25">
      <c r="V20" s="353"/>
      <c r="W20" s="353"/>
    </row>
    <row r="21" spans="22:23" s="348" customFormat="1" x14ac:dyDescent="0.25">
      <c r="V21" s="353"/>
      <c r="W21" s="353"/>
    </row>
    <row r="22" spans="22:23" s="348" customFormat="1" x14ac:dyDescent="0.25">
      <c r="V22" s="353"/>
      <c r="W22" s="353"/>
    </row>
    <row r="23" spans="22:23" s="348" customFormat="1" x14ac:dyDescent="0.25">
      <c r="V23" s="353"/>
      <c r="W23" s="353"/>
    </row>
    <row r="24" spans="22:23" s="348" customFormat="1" x14ac:dyDescent="0.25">
      <c r="V24" s="353"/>
      <c r="W24" s="353"/>
    </row>
    <row r="25" spans="22:23" s="348" customFormat="1" x14ac:dyDescent="0.25">
      <c r="V25" s="353"/>
      <c r="W25" s="353"/>
    </row>
    <row r="26" spans="22:23" s="348" customFormat="1" x14ac:dyDescent="0.25">
      <c r="V26" s="353"/>
      <c r="W26" s="353"/>
    </row>
    <row r="27" spans="22:23" s="348" customFormat="1" x14ac:dyDescent="0.25">
      <c r="V27" s="353"/>
      <c r="W27" s="353"/>
    </row>
    <row r="28" spans="22:23" s="348" customFormat="1" x14ac:dyDescent="0.25">
      <c r="V28" s="353"/>
      <c r="W28" s="353"/>
    </row>
    <row r="29" spans="22:23" s="348" customFormat="1" x14ac:dyDescent="0.25">
      <c r="V29" s="353"/>
      <c r="W29" s="353"/>
    </row>
    <row r="30" spans="22:23" s="348" customFormat="1" x14ac:dyDescent="0.25">
      <c r="V30" s="353"/>
      <c r="W30" s="353"/>
    </row>
    <row r="31" spans="22:23" s="348" customFormat="1" x14ac:dyDescent="0.25">
      <c r="V31" s="353"/>
      <c r="W31" s="353"/>
    </row>
    <row r="32" spans="22:23" s="348" customFormat="1" x14ac:dyDescent="0.25">
      <c r="V32" s="353"/>
      <c r="W32" s="353"/>
    </row>
    <row r="33" spans="22:23" s="348" customFormat="1" x14ac:dyDescent="0.25">
      <c r="V33" s="353"/>
      <c r="W33" s="353"/>
    </row>
    <row r="34" spans="22:23" s="348" customFormat="1" x14ac:dyDescent="0.25">
      <c r="V34" s="353"/>
      <c r="W34" s="353"/>
    </row>
    <row r="35" spans="22:23" s="348" customFormat="1" x14ac:dyDescent="0.25">
      <c r="V35" s="353"/>
      <c r="W35" s="353"/>
    </row>
    <row r="36" spans="22:23" s="348" customFormat="1" x14ac:dyDescent="0.25">
      <c r="V36" s="353"/>
      <c r="W36" s="353"/>
    </row>
    <row r="37" spans="22:23" s="348" customFormat="1" x14ac:dyDescent="0.25">
      <c r="V37" s="353"/>
      <c r="W37" s="353"/>
    </row>
    <row r="38" spans="22:23" s="348" customFormat="1" x14ac:dyDescent="0.25">
      <c r="V38" s="353"/>
      <c r="W38" s="353"/>
    </row>
    <row r="39" spans="22:23" s="348" customFormat="1" x14ac:dyDescent="0.25">
      <c r="V39" s="353"/>
      <c r="W39" s="353"/>
    </row>
    <row r="40" spans="22:23" s="348" customFormat="1" x14ac:dyDescent="0.25">
      <c r="V40" s="353"/>
      <c r="W40" s="353"/>
    </row>
    <row r="41" spans="22:23" s="348" customFormat="1" x14ac:dyDescent="0.25">
      <c r="V41" s="353"/>
      <c r="W41" s="353"/>
    </row>
    <row r="42" spans="22:23" s="348" customFormat="1" x14ac:dyDescent="0.25">
      <c r="V42" s="353"/>
      <c r="W42" s="353"/>
    </row>
    <row r="43" spans="22:23" s="348" customFormat="1" x14ac:dyDescent="0.25">
      <c r="V43" s="353"/>
      <c r="W43" s="353"/>
    </row>
    <row r="44" spans="22:23" s="348" customFormat="1" x14ac:dyDescent="0.25">
      <c r="V44" s="353"/>
      <c r="W44" s="353"/>
    </row>
    <row r="45" spans="22:23" s="348" customFormat="1" x14ac:dyDescent="0.25">
      <c r="V45" s="353"/>
      <c r="W45" s="353"/>
    </row>
    <row r="46" spans="22:23" s="348" customFormat="1" x14ac:dyDescent="0.25">
      <c r="V46" s="353"/>
      <c r="W46" s="353"/>
    </row>
    <row r="47" spans="22:23" s="348" customFormat="1" x14ac:dyDescent="0.25">
      <c r="V47" s="353"/>
      <c r="W47" s="353"/>
    </row>
    <row r="48" spans="22:23" s="348" customFormat="1" x14ac:dyDescent="0.25">
      <c r="V48" s="353"/>
      <c r="W48" s="353"/>
    </row>
    <row r="49" spans="22:23" s="348" customFormat="1" x14ac:dyDescent="0.25">
      <c r="V49" s="353"/>
      <c r="W49" s="353"/>
    </row>
    <row r="50" spans="22:23" s="348" customFormat="1" x14ac:dyDescent="0.25">
      <c r="V50" s="353"/>
      <c r="W50" s="353"/>
    </row>
    <row r="51" spans="22:23" s="348" customFormat="1" x14ac:dyDescent="0.25">
      <c r="V51" s="353"/>
      <c r="W51" s="353"/>
    </row>
    <row r="52" spans="22:23" s="348" customFormat="1" x14ac:dyDescent="0.25">
      <c r="V52" s="353"/>
      <c r="W52" s="353"/>
    </row>
    <row r="53" spans="22:23" s="348" customFormat="1" x14ac:dyDescent="0.25">
      <c r="V53" s="353"/>
      <c r="W53" s="353"/>
    </row>
    <row r="54" spans="22:23" s="348" customFormat="1" x14ac:dyDescent="0.25">
      <c r="V54" s="353"/>
      <c r="W54" s="353"/>
    </row>
    <row r="55" spans="22:23" s="348" customFormat="1" x14ac:dyDescent="0.25">
      <c r="V55" s="353"/>
      <c r="W55" s="353"/>
    </row>
    <row r="56" spans="22:23" s="348" customFormat="1" x14ac:dyDescent="0.25">
      <c r="V56" s="353"/>
      <c r="W56" s="353"/>
    </row>
    <row r="57" spans="22:23" s="348" customFormat="1" x14ac:dyDescent="0.25">
      <c r="V57" s="353"/>
      <c r="W57" s="353"/>
    </row>
    <row r="58" spans="22:23" s="348" customFormat="1" x14ac:dyDescent="0.25">
      <c r="V58" s="353"/>
      <c r="W58" s="353"/>
    </row>
    <row r="59" spans="22:23" s="348" customFormat="1" x14ac:dyDescent="0.25">
      <c r="V59" s="353"/>
      <c r="W59" s="353"/>
    </row>
    <row r="60" spans="22:23" s="348" customFormat="1" x14ac:dyDescent="0.25">
      <c r="V60" s="353"/>
      <c r="W60" s="353"/>
    </row>
    <row r="61" spans="22:23" s="348" customFormat="1" x14ac:dyDescent="0.25">
      <c r="V61" s="353"/>
      <c r="W61" s="353"/>
    </row>
    <row r="62" spans="22:23" s="348" customFormat="1" x14ac:dyDescent="0.25">
      <c r="V62" s="353"/>
      <c r="W62" s="353"/>
    </row>
    <row r="63" spans="22:23" s="348" customFormat="1" x14ac:dyDescent="0.25">
      <c r="V63" s="353"/>
      <c r="W63" s="353"/>
    </row>
    <row r="64" spans="22:23" s="348" customFormat="1" x14ac:dyDescent="0.25">
      <c r="V64" s="353"/>
      <c r="W64" s="353"/>
    </row>
    <row r="65" spans="22:23" s="348" customFormat="1" x14ac:dyDescent="0.25">
      <c r="V65" s="353"/>
      <c r="W65" s="353"/>
    </row>
    <row r="66" spans="22:23" s="348" customFormat="1" x14ac:dyDescent="0.25">
      <c r="V66" s="353"/>
      <c r="W66" s="353"/>
    </row>
    <row r="67" spans="22:23" s="348" customFormat="1" x14ac:dyDescent="0.25">
      <c r="V67" s="353"/>
      <c r="W67" s="353"/>
    </row>
    <row r="68" spans="22:23" s="348" customFormat="1" x14ac:dyDescent="0.25">
      <c r="V68" s="353"/>
      <c r="W68" s="353"/>
    </row>
    <row r="69" spans="22:23" s="348" customFormat="1" x14ac:dyDescent="0.25">
      <c r="V69" s="353"/>
      <c r="W69" s="353"/>
    </row>
    <row r="70" spans="22:23" s="348" customFormat="1" x14ac:dyDescent="0.25">
      <c r="V70" s="353"/>
      <c r="W70" s="353"/>
    </row>
    <row r="71" spans="22:23" s="348" customFormat="1" x14ac:dyDescent="0.25">
      <c r="V71" s="353"/>
      <c r="W71" s="353"/>
    </row>
    <row r="72" spans="22:23" s="348" customFormat="1" x14ac:dyDescent="0.25">
      <c r="V72" s="353"/>
      <c r="W72" s="353"/>
    </row>
    <row r="73" spans="22:23" s="348" customFormat="1" x14ac:dyDescent="0.25">
      <c r="V73" s="353"/>
      <c r="W73" s="353"/>
    </row>
    <row r="74" spans="22:23" s="348" customFormat="1" x14ac:dyDescent="0.25">
      <c r="V74" s="353"/>
      <c r="W74" s="353"/>
    </row>
    <row r="75" spans="22:23" s="348" customFormat="1" x14ac:dyDescent="0.25">
      <c r="V75" s="353"/>
      <c r="W75" s="353"/>
    </row>
    <row r="76" spans="22:23" s="348" customFormat="1" x14ac:dyDescent="0.25">
      <c r="V76" s="353"/>
      <c r="W76" s="353"/>
    </row>
    <row r="77" spans="22:23" s="348" customFormat="1" x14ac:dyDescent="0.25">
      <c r="V77" s="353"/>
      <c r="W77" s="353"/>
    </row>
    <row r="78" spans="22:23" s="348" customFormat="1" x14ac:dyDescent="0.25">
      <c r="V78" s="353"/>
      <c r="W78" s="353"/>
    </row>
    <row r="79" spans="22:23" s="348" customFormat="1" x14ac:dyDescent="0.25">
      <c r="V79" s="353"/>
      <c r="W79" s="353"/>
    </row>
    <row r="80" spans="22:23" s="348" customFormat="1" x14ac:dyDescent="0.25">
      <c r="V80" s="353"/>
      <c r="W80" s="353"/>
    </row>
    <row r="81" spans="22:23" s="348" customFormat="1" x14ac:dyDescent="0.25">
      <c r="V81" s="353"/>
      <c r="W81" s="353"/>
    </row>
    <row r="82" spans="22:23" s="348" customFormat="1" x14ac:dyDescent="0.25">
      <c r="V82" s="353"/>
      <c r="W82" s="353"/>
    </row>
    <row r="83" spans="22:23" s="348" customFormat="1" x14ac:dyDescent="0.25">
      <c r="V83" s="353"/>
      <c r="W83" s="353"/>
    </row>
    <row r="84" spans="22:23" s="348" customFormat="1" x14ac:dyDescent="0.25">
      <c r="V84" s="353"/>
      <c r="W84" s="353"/>
    </row>
    <row r="85" spans="22:23" s="348" customFormat="1" x14ac:dyDescent="0.25">
      <c r="V85" s="353"/>
      <c r="W85" s="353"/>
    </row>
    <row r="86" spans="22:23" s="348" customFormat="1" x14ac:dyDescent="0.25">
      <c r="V86" s="353"/>
      <c r="W86" s="353"/>
    </row>
    <row r="87" spans="22:23" s="348" customFormat="1" x14ac:dyDescent="0.25">
      <c r="V87" s="353"/>
      <c r="W87" s="353"/>
    </row>
    <row r="88" spans="22:23" s="348" customFormat="1" x14ac:dyDescent="0.25">
      <c r="V88" s="353"/>
      <c r="W88" s="353"/>
    </row>
    <row r="89" spans="22:23" s="348" customFormat="1" x14ac:dyDescent="0.25">
      <c r="V89" s="353"/>
      <c r="W89" s="353"/>
    </row>
    <row r="90" spans="22:23" s="348" customFormat="1" x14ac:dyDescent="0.25">
      <c r="V90" s="353"/>
      <c r="W90" s="353"/>
    </row>
    <row r="91" spans="22:23" s="348" customFormat="1" x14ac:dyDescent="0.25">
      <c r="V91" s="353"/>
      <c r="W91" s="353"/>
    </row>
    <row r="92" spans="22:23" s="348" customFormat="1" x14ac:dyDescent="0.25">
      <c r="V92" s="353"/>
      <c r="W92" s="353"/>
    </row>
    <row r="93" spans="22:23" s="348" customFormat="1" x14ac:dyDescent="0.25">
      <c r="V93" s="353"/>
      <c r="W93" s="353"/>
    </row>
    <row r="94" spans="22:23" s="348" customFormat="1" x14ac:dyDescent="0.25">
      <c r="V94" s="353"/>
      <c r="W94" s="353"/>
    </row>
    <row r="95" spans="22:23" s="348" customFormat="1" x14ac:dyDescent="0.25">
      <c r="V95" s="353"/>
      <c r="W95" s="353"/>
    </row>
    <row r="96" spans="22:23" s="348" customFormat="1" x14ac:dyDescent="0.25">
      <c r="V96" s="353"/>
      <c r="W96" s="353"/>
    </row>
    <row r="97" spans="22:23" s="348" customFormat="1" x14ac:dyDescent="0.25">
      <c r="V97" s="353"/>
      <c r="W97" s="353"/>
    </row>
    <row r="98" spans="22:23" s="348" customFormat="1" x14ac:dyDescent="0.25">
      <c r="V98" s="353"/>
      <c r="W98" s="353"/>
    </row>
    <row r="99" spans="22:23" s="348" customFormat="1" x14ac:dyDescent="0.25">
      <c r="V99" s="353"/>
      <c r="W99" s="353"/>
    </row>
    <row r="100" spans="22:23" s="348" customFormat="1" x14ac:dyDescent="0.25">
      <c r="V100" s="353"/>
      <c r="W100" s="353"/>
    </row>
    <row r="101" spans="22:23" s="348" customFormat="1" x14ac:dyDescent="0.25">
      <c r="V101" s="353"/>
      <c r="W101" s="353"/>
    </row>
    <row r="102" spans="22:23" s="348" customFormat="1" x14ac:dyDescent="0.25">
      <c r="V102" s="353"/>
      <c r="W102" s="353"/>
    </row>
    <row r="103" spans="22:23" s="348" customFormat="1" x14ac:dyDescent="0.25">
      <c r="V103" s="353"/>
      <c r="W103" s="353"/>
    </row>
    <row r="104" spans="22:23" s="348" customFormat="1" x14ac:dyDescent="0.25">
      <c r="V104" s="353"/>
      <c r="W104" s="353"/>
    </row>
    <row r="105" spans="22:23" s="348" customFormat="1" x14ac:dyDescent="0.25">
      <c r="V105" s="353"/>
      <c r="W105" s="353"/>
    </row>
    <row r="106" spans="22:23" s="348" customFormat="1" x14ac:dyDescent="0.25">
      <c r="V106" s="353"/>
      <c r="W106" s="353"/>
    </row>
    <row r="107" spans="22:23" s="348" customFormat="1" x14ac:dyDescent="0.25">
      <c r="V107" s="353"/>
      <c r="W107" s="353"/>
    </row>
    <row r="108" spans="22:23" s="348" customFormat="1" x14ac:dyDescent="0.25">
      <c r="V108" s="353"/>
      <c r="W108" s="353"/>
    </row>
    <row r="109" spans="22:23" s="348" customFormat="1" x14ac:dyDescent="0.25">
      <c r="V109" s="353"/>
      <c r="W109" s="353"/>
    </row>
    <row r="110" spans="22:23" s="348" customFormat="1" x14ac:dyDescent="0.25">
      <c r="V110" s="353"/>
      <c r="W110" s="353"/>
    </row>
    <row r="111" spans="22:23" s="348" customFormat="1" x14ac:dyDescent="0.25">
      <c r="V111" s="353"/>
      <c r="W111" s="353"/>
    </row>
    <row r="112" spans="22:23" s="348" customFormat="1" x14ac:dyDescent="0.25">
      <c r="V112" s="353"/>
      <c r="W112" s="353"/>
    </row>
    <row r="113" spans="22:23" s="348" customFormat="1" x14ac:dyDescent="0.25">
      <c r="V113" s="353"/>
      <c r="W113" s="353"/>
    </row>
    <row r="114" spans="22:23" s="348" customFormat="1" x14ac:dyDescent="0.25">
      <c r="V114" s="353"/>
      <c r="W114" s="353"/>
    </row>
    <row r="115" spans="22:23" s="348" customFormat="1" x14ac:dyDescent="0.25">
      <c r="V115" s="353"/>
      <c r="W115" s="353"/>
    </row>
    <row r="116" spans="22:23" s="348" customFormat="1" x14ac:dyDescent="0.25">
      <c r="V116" s="353"/>
      <c r="W116" s="353"/>
    </row>
    <row r="117" spans="22:23" s="348" customFormat="1" x14ac:dyDescent="0.25">
      <c r="V117" s="353"/>
      <c r="W117" s="353"/>
    </row>
    <row r="118" spans="22:23" s="348" customFormat="1" x14ac:dyDescent="0.25">
      <c r="V118" s="353"/>
      <c r="W118" s="353"/>
    </row>
    <row r="119" spans="22:23" s="348" customFormat="1" x14ac:dyDescent="0.25">
      <c r="V119" s="353"/>
      <c r="W119" s="353"/>
    </row>
    <row r="120" spans="22:23" s="348" customFormat="1" x14ac:dyDescent="0.25">
      <c r="V120" s="353"/>
      <c r="W120" s="353"/>
    </row>
    <row r="121" spans="22:23" s="348" customFormat="1" x14ac:dyDescent="0.25">
      <c r="V121" s="353"/>
      <c r="W121" s="353"/>
    </row>
    <row r="122" spans="22:23" s="348" customFormat="1" x14ac:dyDescent="0.25">
      <c r="V122" s="353"/>
      <c r="W122" s="353"/>
    </row>
    <row r="123" spans="22:23" s="348" customFormat="1" x14ac:dyDescent="0.25">
      <c r="V123" s="353"/>
      <c r="W123" s="353"/>
    </row>
    <row r="124" spans="22:23" s="348" customFormat="1" x14ac:dyDescent="0.25">
      <c r="V124" s="353"/>
      <c r="W124" s="353"/>
    </row>
    <row r="125" spans="22:23" s="348" customFormat="1" x14ac:dyDescent="0.25">
      <c r="V125" s="353"/>
      <c r="W125" s="353"/>
    </row>
    <row r="126" spans="22:23" s="348" customFormat="1" x14ac:dyDescent="0.25">
      <c r="V126" s="353"/>
      <c r="W126" s="353"/>
    </row>
    <row r="127" spans="22:23" s="348" customFormat="1" x14ac:dyDescent="0.25">
      <c r="V127" s="353"/>
      <c r="W127" s="353"/>
    </row>
    <row r="128" spans="22:23" s="348" customFormat="1" x14ac:dyDescent="0.25">
      <c r="V128" s="353"/>
      <c r="W128" s="353"/>
    </row>
    <row r="129" spans="22:23" s="348" customFormat="1" x14ac:dyDescent="0.25">
      <c r="V129" s="353"/>
      <c r="W129" s="353"/>
    </row>
    <row r="130" spans="22:23" s="348" customFormat="1" x14ac:dyDescent="0.25">
      <c r="V130" s="353"/>
      <c r="W130" s="353"/>
    </row>
    <row r="131" spans="22:23" s="348" customFormat="1" x14ac:dyDescent="0.25">
      <c r="V131" s="353"/>
      <c r="W131" s="353"/>
    </row>
    <row r="132" spans="22:23" s="348" customFormat="1" x14ac:dyDescent="0.25">
      <c r="V132" s="353"/>
      <c r="W132" s="353"/>
    </row>
    <row r="133" spans="22:23" s="348" customFormat="1" x14ac:dyDescent="0.25">
      <c r="V133" s="353"/>
      <c r="W133" s="353"/>
    </row>
    <row r="134" spans="22:23" s="348" customFormat="1" x14ac:dyDescent="0.25">
      <c r="V134" s="353"/>
      <c r="W134" s="353"/>
    </row>
    <row r="135" spans="22:23" s="348" customFormat="1" x14ac:dyDescent="0.25">
      <c r="V135" s="353"/>
      <c r="W135" s="353"/>
    </row>
    <row r="136" spans="22:23" s="348" customFormat="1" x14ac:dyDescent="0.25">
      <c r="V136" s="353"/>
      <c r="W136" s="353"/>
    </row>
    <row r="137" spans="22:23" s="348" customFormat="1" x14ac:dyDescent="0.25">
      <c r="V137" s="353"/>
      <c r="W137" s="353"/>
    </row>
    <row r="138" spans="22:23" s="348" customFormat="1" x14ac:dyDescent="0.25">
      <c r="V138" s="353"/>
      <c r="W138" s="353"/>
    </row>
    <row r="139" spans="22:23" s="348" customFormat="1" x14ac:dyDescent="0.25">
      <c r="V139" s="353"/>
      <c r="W139" s="353"/>
    </row>
    <row r="140" spans="22:23" s="348" customFormat="1" x14ac:dyDescent="0.25">
      <c r="V140" s="353"/>
      <c r="W140" s="353"/>
    </row>
    <row r="141" spans="22:23" s="348" customFormat="1" x14ac:dyDescent="0.25">
      <c r="V141" s="353"/>
      <c r="W141" s="353"/>
    </row>
    <row r="142" spans="22:23" s="348" customFormat="1" x14ac:dyDescent="0.25">
      <c r="V142" s="353"/>
      <c r="W142" s="353"/>
    </row>
    <row r="143" spans="22:23" s="348" customFormat="1" x14ac:dyDescent="0.25">
      <c r="V143" s="353"/>
      <c r="W143" s="353"/>
    </row>
    <row r="144" spans="22:23" s="348" customFormat="1" x14ac:dyDescent="0.25">
      <c r="V144" s="353"/>
      <c r="W144" s="353"/>
    </row>
    <row r="145" spans="22:23" s="348" customFormat="1" x14ac:dyDescent="0.25">
      <c r="V145" s="353"/>
      <c r="W145" s="353"/>
    </row>
    <row r="146" spans="22:23" s="348" customFormat="1" x14ac:dyDescent="0.25">
      <c r="V146" s="353"/>
      <c r="W146" s="353"/>
    </row>
    <row r="147" spans="22:23" s="348" customFormat="1" x14ac:dyDescent="0.25">
      <c r="V147" s="353"/>
      <c r="W147" s="353"/>
    </row>
    <row r="148" spans="22:23" s="348" customFormat="1" x14ac:dyDescent="0.25">
      <c r="V148" s="353"/>
      <c r="W148" s="353"/>
    </row>
    <row r="149" spans="22:23" s="348" customFormat="1" x14ac:dyDescent="0.25">
      <c r="V149" s="353"/>
      <c r="W149" s="353"/>
    </row>
    <row r="150" spans="22:23" s="348" customFormat="1" x14ac:dyDescent="0.25">
      <c r="V150" s="353"/>
      <c r="W150" s="353"/>
    </row>
    <row r="151" spans="22:23" s="348" customFormat="1" x14ac:dyDescent="0.25">
      <c r="V151" s="353"/>
      <c r="W151" s="353"/>
    </row>
    <row r="152" spans="22:23" s="348" customFormat="1" x14ac:dyDescent="0.25">
      <c r="V152" s="353"/>
      <c r="W152" s="353"/>
    </row>
    <row r="153" spans="22:23" s="348" customFormat="1" x14ac:dyDescent="0.25">
      <c r="V153" s="353"/>
      <c r="W153" s="353"/>
    </row>
    <row r="154" spans="22:23" s="348" customFormat="1" x14ac:dyDescent="0.25">
      <c r="V154" s="353"/>
      <c r="W154" s="353"/>
    </row>
    <row r="155" spans="22:23" s="348" customFormat="1" x14ac:dyDescent="0.25">
      <c r="V155" s="353"/>
      <c r="W155" s="353"/>
    </row>
    <row r="156" spans="22:23" s="348" customFormat="1" x14ac:dyDescent="0.25">
      <c r="V156" s="353"/>
      <c r="W156" s="353"/>
    </row>
    <row r="157" spans="22:23" s="348" customFormat="1" x14ac:dyDescent="0.25">
      <c r="V157" s="353"/>
      <c r="W157" s="353"/>
    </row>
    <row r="158" spans="22:23" s="348" customFormat="1" x14ac:dyDescent="0.25">
      <c r="V158" s="353"/>
      <c r="W158" s="353"/>
    </row>
    <row r="159" spans="22:23" s="348" customFormat="1" x14ac:dyDescent="0.25">
      <c r="V159" s="353"/>
      <c r="W159" s="353"/>
    </row>
    <row r="160" spans="22:23" s="348" customFormat="1" x14ac:dyDescent="0.25">
      <c r="V160" s="353"/>
      <c r="W160" s="353"/>
    </row>
    <row r="161" spans="22:23" s="348" customFormat="1" x14ac:dyDescent="0.25">
      <c r="V161" s="353"/>
      <c r="W161" s="353"/>
    </row>
    <row r="162" spans="22:23" s="348" customFormat="1" x14ac:dyDescent="0.25">
      <c r="V162" s="353"/>
      <c r="W162" s="353"/>
    </row>
    <row r="163" spans="22:23" s="348" customFormat="1" x14ac:dyDescent="0.25">
      <c r="V163" s="353"/>
      <c r="W163" s="353"/>
    </row>
    <row r="164" spans="22:23" s="348" customFormat="1" x14ac:dyDescent="0.25">
      <c r="V164" s="353"/>
      <c r="W164" s="353"/>
    </row>
    <row r="165" spans="22:23" s="348" customFormat="1" x14ac:dyDescent="0.25">
      <c r="V165" s="353"/>
      <c r="W165" s="353"/>
    </row>
    <row r="166" spans="22:23" s="348" customFormat="1" x14ac:dyDescent="0.25">
      <c r="V166" s="353"/>
      <c r="W166" s="353"/>
    </row>
    <row r="167" spans="22:23" s="348" customFormat="1" x14ac:dyDescent="0.25">
      <c r="V167" s="353"/>
      <c r="W167" s="353"/>
    </row>
    <row r="168" spans="22:23" s="348" customFormat="1" x14ac:dyDescent="0.25">
      <c r="V168" s="353"/>
      <c r="W168" s="353"/>
    </row>
    <row r="169" spans="22:23" s="348" customFormat="1" x14ac:dyDescent="0.25">
      <c r="V169" s="353"/>
      <c r="W169" s="353"/>
    </row>
    <row r="170" spans="22:23" s="348" customFormat="1" x14ac:dyDescent="0.25">
      <c r="V170" s="353"/>
      <c r="W170" s="353"/>
    </row>
    <row r="171" spans="22:23" s="348" customFormat="1" x14ac:dyDescent="0.25">
      <c r="V171" s="353"/>
      <c r="W171" s="353"/>
    </row>
    <row r="172" spans="22:23" s="348" customFormat="1" x14ac:dyDescent="0.25">
      <c r="V172" s="353"/>
      <c r="W172" s="353"/>
    </row>
    <row r="173" spans="22:23" s="348" customFormat="1" x14ac:dyDescent="0.25">
      <c r="V173" s="353"/>
      <c r="W173" s="353"/>
    </row>
    <row r="174" spans="22:23" s="348" customFormat="1" x14ac:dyDescent="0.25">
      <c r="V174" s="353"/>
      <c r="W174" s="353"/>
    </row>
    <row r="175" spans="22:23" s="348" customFormat="1" x14ac:dyDescent="0.25">
      <c r="V175" s="353"/>
      <c r="W175" s="353"/>
    </row>
    <row r="176" spans="22:23" s="348" customFormat="1" x14ac:dyDescent="0.25">
      <c r="V176" s="353"/>
      <c r="W176" s="353"/>
    </row>
    <row r="177" spans="22:23" s="348" customFormat="1" x14ac:dyDescent="0.25">
      <c r="V177" s="353"/>
      <c r="W177" s="353"/>
    </row>
    <row r="178" spans="22:23" s="348" customFormat="1" x14ac:dyDescent="0.25">
      <c r="V178" s="353"/>
      <c r="W178" s="353"/>
    </row>
    <row r="179" spans="22:23" s="348" customFormat="1" x14ac:dyDescent="0.25">
      <c r="V179" s="353"/>
      <c r="W179" s="353"/>
    </row>
    <row r="180" spans="22:23" s="348" customFormat="1" x14ac:dyDescent="0.25">
      <c r="V180" s="353"/>
      <c r="W180" s="353"/>
    </row>
    <row r="181" spans="22:23" s="348" customFormat="1" x14ac:dyDescent="0.25">
      <c r="V181" s="353"/>
      <c r="W181" s="353"/>
    </row>
    <row r="182" spans="22:23" s="348" customFormat="1" x14ac:dyDescent="0.25">
      <c r="V182" s="353"/>
      <c r="W182" s="353"/>
    </row>
    <row r="183" spans="22:23" s="348" customFormat="1" x14ac:dyDescent="0.25">
      <c r="V183" s="353"/>
      <c r="W183" s="353"/>
    </row>
    <row r="184" spans="22:23" s="348" customFormat="1" x14ac:dyDescent="0.25">
      <c r="V184" s="353"/>
      <c r="W184" s="353"/>
    </row>
    <row r="185" spans="22:23" s="348" customFormat="1" x14ac:dyDescent="0.25">
      <c r="V185" s="353"/>
      <c r="W185" s="353"/>
    </row>
    <row r="186" spans="22:23" s="348" customFormat="1" x14ac:dyDescent="0.25">
      <c r="V186" s="353"/>
      <c r="W186" s="353"/>
    </row>
    <row r="187" spans="22:23" s="348" customFormat="1" x14ac:dyDescent="0.25">
      <c r="V187" s="353"/>
      <c r="W187" s="353"/>
    </row>
    <row r="188" spans="22:23" s="348" customFormat="1" x14ac:dyDescent="0.25">
      <c r="V188" s="353"/>
      <c r="W188" s="353"/>
    </row>
    <row r="189" spans="22:23" s="348" customFormat="1" x14ac:dyDescent="0.25">
      <c r="V189" s="353"/>
      <c r="W189" s="353"/>
    </row>
    <row r="190" spans="22:23" s="348" customFormat="1" x14ac:dyDescent="0.25">
      <c r="V190" s="353"/>
      <c r="W190" s="353"/>
    </row>
    <row r="191" spans="22:23" s="348" customFormat="1" x14ac:dyDescent="0.25">
      <c r="V191" s="353"/>
      <c r="W191" s="353"/>
    </row>
    <row r="192" spans="22:23" s="348" customFormat="1" x14ac:dyDescent="0.25">
      <c r="V192" s="353"/>
      <c r="W192" s="353"/>
    </row>
    <row r="193" spans="22:23" s="348" customFormat="1" x14ac:dyDescent="0.25">
      <c r="V193" s="353"/>
      <c r="W193" s="353"/>
    </row>
    <row r="194" spans="22:23" s="348" customFormat="1" x14ac:dyDescent="0.25">
      <c r="V194" s="353"/>
      <c r="W194" s="353"/>
    </row>
    <row r="195" spans="22:23" s="348" customFormat="1" x14ac:dyDescent="0.25">
      <c r="V195" s="353"/>
      <c r="W195" s="353"/>
    </row>
    <row r="196" spans="22:23" s="348" customFormat="1" x14ac:dyDescent="0.25">
      <c r="V196" s="353"/>
      <c r="W196" s="353"/>
    </row>
    <row r="197" spans="22:23" s="348" customFormat="1" x14ac:dyDescent="0.25">
      <c r="V197" s="353"/>
      <c r="W197" s="353"/>
    </row>
    <row r="198" spans="22:23" s="348" customFormat="1" x14ac:dyDescent="0.25">
      <c r="V198" s="353"/>
      <c r="W198" s="353"/>
    </row>
    <row r="199" spans="22:23" s="348" customFormat="1" x14ac:dyDescent="0.25">
      <c r="V199" s="353"/>
      <c r="W199" s="353"/>
    </row>
    <row r="200" spans="22:23" s="348" customFormat="1" x14ac:dyDescent="0.25">
      <c r="V200" s="353"/>
      <c r="W200" s="353"/>
    </row>
    <row r="201" spans="22:23" s="348" customFormat="1" x14ac:dyDescent="0.25">
      <c r="V201" s="353"/>
      <c r="W201" s="353"/>
    </row>
    <row r="202" spans="22:23" s="348" customFormat="1" x14ac:dyDescent="0.25">
      <c r="V202" s="353"/>
      <c r="W202" s="353"/>
    </row>
    <row r="203" spans="22:23" s="348" customFormat="1" x14ac:dyDescent="0.25">
      <c r="V203" s="353"/>
      <c r="W203" s="353"/>
    </row>
    <row r="204" spans="22:23" s="348" customFormat="1" x14ac:dyDescent="0.25">
      <c r="V204" s="353"/>
      <c r="W204" s="353"/>
    </row>
    <row r="205" spans="22:23" s="348" customFormat="1" x14ac:dyDescent="0.25">
      <c r="V205" s="353"/>
      <c r="W205" s="353"/>
    </row>
    <row r="206" spans="22:23" s="348" customFormat="1" x14ac:dyDescent="0.25">
      <c r="V206" s="353"/>
      <c r="W206" s="353"/>
    </row>
    <row r="207" spans="22:23" s="348" customFormat="1" x14ac:dyDescent="0.25">
      <c r="V207" s="353"/>
      <c r="W207" s="353"/>
    </row>
    <row r="208" spans="22:23" s="348" customFormat="1" x14ac:dyDescent="0.25">
      <c r="V208" s="353"/>
      <c r="W208" s="353"/>
    </row>
    <row r="209" spans="22:23" s="348" customFormat="1" x14ac:dyDescent="0.25">
      <c r="V209" s="353"/>
      <c r="W209" s="353"/>
    </row>
    <row r="210" spans="22:23" s="348" customFormat="1" x14ac:dyDescent="0.25">
      <c r="V210" s="353"/>
      <c r="W210" s="353"/>
    </row>
    <row r="211" spans="22:23" s="348" customFormat="1" x14ac:dyDescent="0.25">
      <c r="V211" s="353"/>
      <c r="W211" s="353"/>
    </row>
    <row r="212" spans="22:23" s="348" customFormat="1" x14ac:dyDescent="0.25">
      <c r="V212" s="353"/>
      <c r="W212" s="353"/>
    </row>
    <row r="213" spans="22:23" s="348" customFormat="1" x14ac:dyDescent="0.25">
      <c r="V213" s="353"/>
      <c r="W213" s="353"/>
    </row>
    <row r="214" spans="22:23" s="348" customFormat="1" x14ac:dyDescent="0.25">
      <c r="V214" s="353"/>
      <c r="W214" s="353"/>
    </row>
    <row r="215" spans="22:23" s="348" customFormat="1" x14ac:dyDescent="0.25">
      <c r="V215" s="353"/>
      <c r="W215" s="353"/>
    </row>
    <row r="216" spans="22:23" s="348" customFormat="1" x14ac:dyDescent="0.25">
      <c r="V216" s="353"/>
      <c r="W216" s="353"/>
    </row>
    <row r="217" spans="22:23" s="348" customFormat="1" x14ac:dyDescent="0.25">
      <c r="V217" s="353"/>
      <c r="W217" s="353"/>
    </row>
    <row r="218" spans="22:23" s="348" customFormat="1" x14ac:dyDescent="0.25">
      <c r="V218" s="353"/>
      <c r="W218" s="353"/>
    </row>
    <row r="219" spans="22:23" s="348" customFormat="1" x14ac:dyDescent="0.25">
      <c r="V219" s="353"/>
      <c r="W219" s="353"/>
    </row>
    <row r="220" spans="22:23" s="348" customFormat="1" x14ac:dyDescent="0.25">
      <c r="V220" s="353"/>
      <c r="W220" s="353"/>
    </row>
    <row r="221" spans="22:23" s="348" customFormat="1" x14ac:dyDescent="0.25">
      <c r="V221" s="353"/>
      <c r="W221" s="353"/>
    </row>
    <row r="222" spans="22:23" s="348" customFormat="1" x14ac:dyDescent="0.25">
      <c r="V222" s="353"/>
      <c r="W222" s="353"/>
    </row>
    <row r="223" spans="22:23" s="348" customFormat="1" x14ac:dyDescent="0.25">
      <c r="V223" s="353"/>
      <c r="W223" s="353"/>
    </row>
    <row r="224" spans="22:23" s="348" customFormat="1" x14ac:dyDescent="0.25">
      <c r="V224" s="353"/>
      <c r="W224" s="353"/>
    </row>
    <row r="225" spans="22:23" s="348" customFormat="1" x14ac:dyDescent="0.25">
      <c r="V225" s="353"/>
      <c r="W225" s="353"/>
    </row>
    <row r="226" spans="22:23" s="348" customFormat="1" x14ac:dyDescent="0.25">
      <c r="V226" s="353"/>
      <c r="W226" s="353"/>
    </row>
    <row r="227" spans="22:23" s="348" customFormat="1" x14ac:dyDescent="0.25">
      <c r="V227" s="353"/>
      <c r="W227" s="353"/>
    </row>
    <row r="228" spans="22:23" s="348" customFormat="1" x14ac:dyDescent="0.25">
      <c r="V228" s="353"/>
      <c r="W228" s="353"/>
    </row>
    <row r="229" spans="22:23" s="348" customFormat="1" x14ac:dyDescent="0.25">
      <c r="V229" s="353"/>
      <c r="W229" s="353"/>
    </row>
    <row r="230" spans="22:23" s="348" customFormat="1" x14ac:dyDescent="0.25">
      <c r="V230" s="353"/>
      <c r="W230" s="353"/>
    </row>
    <row r="231" spans="22:23" s="348" customFormat="1" x14ac:dyDescent="0.25">
      <c r="V231" s="353"/>
      <c r="W231" s="353"/>
    </row>
    <row r="232" spans="22:23" s="348" customFormat="1" x14ac:dyDescent="0.25">
      <c r="V232" s="353"/>
      <c r="W232" s="353"/>
    </row>
    <row r="233" spans="22:23" s="348" customFormat="1" x14ac:dyDescent="0.25">
      <c r="V233" s="353"/>
      <c r="W233" s="353"/>
    </row>
    <row r="234" spans="22:23" s="348" customFormat="1" x14ac:dyDescent="0.25">
      <c r="V234" s="353"/>
      <c r="W234" s="353"/>
    </row>
    <row r="235" spans="22:23" s="348" customFormat="1" x14ac:dyDescent="0.25">
      <c r="V235" s="353"/>
      <c r="W235" s="353"/>
    </row>
    <row r="236" spans="22:23" s="348" customFormat="1" x14ac:dyDescent="0.25">
      <c r="V236" s="353"/>
      <c r="W236" s="353"/>
    </row>
    <row r="237" spans="22:23" s="348" customFormat="1" x14ac:dyDescent="0.25">
      <c r="V237" s="353"/>
      <c r="W237" s="353"/>
    </row>
    <row r="238" spans="22:23" s="348" customFormat="1" x14ac:dyDescent="0.25">
      <c r="V238" s="353"/>
      <c r="W238" s="353"/>
    </row>
    <row r="239" spans="22:23" s="348" customFormat="1" x14ac:dyDescent="0.25">
      <c r="V239" s="353"/>
      <c r="W239" s="353"/>
    </row>
    <row r="240" spans="22:23" s="348" customFormat="1" x14ac:dyDescent="0.25">
      <c r="V240" s="353"/>
      <c r="W240" s="353"/>
    </row>
    <row r="241" spans="22:23" s="348" customFormat="1" x14ac:dyDescent="0.25">
      <c r="V241" s="353"/>
      <c r="W241" s="353"/>
    </row>
    <row r="242" spans="22:23" s="348" customFormat="1" x14ac:dyDescent="0.25">
      <c r="V242" s="353"/>
      <c r="W242" s="353"/>
    </row>
    <row r="243" spans="22:23" s="348" customFormat="1" x14ac:dyDescent="0.25">
      <c r="V243" s="353"/>
      <c r="W243" s="353"/>
    </row>
    <row r="244" spans="22:23" s="348" customFormat="1" x14ac:dyDescent="0.25">
      <c r="V244" s="353"/>
      <c r="W244" s="353"/>
    </row>
    <row r="245" spans="22:23" s="348" customFormat="1" x14ac:dyDescent="0.25">
      <c r="V245" s="353"/>
      <c r="W245" s="353"/>
    </row>
    <row r="246" spans="22:23" s="348" customFormat="1" x14ac:dyDescent="0.25">
      <c r="V246" s="353"/>
      <c r="W246" s="353"/>
    </row>
    <row r="247" spans="22:23" s="348" customFormat="1" x14ac:dyDescent="0.25">
      <c r="V247" s="353"/>
      <c r="W247" s="353"/>
    </row>
    <row r="248" spans="22:23" s="348" customFormat="1" x14ac:dyDescent="0.25">
      <c r="V248" s="353"/>
      <c r="W248" s="353"/>
    </row>
    <row r="249" spans="22:23" s="348" customFormat="1" x14ac:dyDescent="0.25">
      <c r="V249" s="353"/>
      <c r="W249" s="353"/>
    </row>
    <row r="250" spans="22:23" s="348" customFormat="1" x14ac:dyDescent="0.25">
      <c r="V250" s="353"/>
      <c r="W250" s="353"/>
    </row>
    <row r="251" spans="22:23" s="348" customFormat="1" x14ac:dyDescent="0.25">
      <c r="V251" s="353"/>
      <c r="W251" s="353"/>
    </row>
    <row r="252" spans="22:23" s="348" customFormat="1" x14ac:dyDescent="0.25">
      <c r="V252" s="353"/>
      <c r="W252" s="353"/>
    </row>
    <row r="253" spans="22:23" s="348" customFormat="1" x14ac:dyDescent="0.25">
      <c r="V253" s="353"/>
      <c r="W253" s="353"/>
    </row>
    <row r="254" spans="22:23" s="348" customFormat="1" x14ac:dyDescent="0.25">
      <c r="V254" s="353"/>
      <c r="W254" s="353"/>
    </row>
    <row r="255" spans="22:23" s="348" customFormat="1" x14ac:dyDescent="0.25">
      <c r="V255" s="353"/>
      <c r="W255" s="353"/>
    </row>
    <row r="256" spans="22:23" s="348" customFormat="1" x14ac:dyDescent="0.25">
      <c r="V256" s="353"/>
      <c r="W256" s="353"/>
    </row>
    <row r="257" spans="22:23" s="348" customFormat="1" x14ac:dyDescent="0.25">
      <c r="V257" s="353"/>
      <c r="W257" s="353"/>
    </row>
    <row r="258" spans="22:23" s="348" customFormat="1" x14ac:dyDescent="0.25">
      <c r="V258" s="353"/>
      <c r="W258" s="353"/>
    </row>
    <row r="259" spans="22:23" s="348" customFormat="1" x14ac:dyDescent="0.25">
      <c r="V259" s="353"/>
      <c r="W259" s="353"/>
    </row>
    <row r="260" spans="22:23" s="348" customFormat="1" x14ac:dyDescent="0.25">
      <c r="V260" s="353"/>
      <c r="W260" s="353"/>
    </row>
    <row r="261" spans="22:23" s="348" customFormat="1" x14ac:dyDescent="0.25">
      <c r="V261" s="353"/>
      <c r="W261" s="353"/>
    </row>
    <row r="262" spans="22:23" s="348" customFormat="1" x14ac:dyDescent="0.25">
      <c r="V262" s="353"/>
      <c r="W262" s="353"/>
    </row>
    <row r="263" spans="22:23" s="348" customFormat="1" x14ac:dyDescent="0.25">
      <c r="V263" s="353"/>
      <c r="W263" s="353"/>
    </row>
    <row r="264" spans="22:23" s="348" customFormat="1" x14ac:dyDescent="0.25">
      <c r="V264" s="353"/>
      <c r="W264" s="353"/>
    </row>
    <row r="265" spans="22:23" s="348" customFormat="1" x14ac:dyDescent="0.25">
      <c r="V265" s="353"/>
      <c r="W265" s="353"/>
    </row>
    <row r="266" spans="22:23" s="348" customFormat="1" x14ac:dyDescent="0.25">
      <c r="V266" s="353"/>
      <c r="W266" s="353"/>
    </row>
    <row r="267" spans="22:23" s="348" customFormat="1" x14ac:dyDescent="0.25">
      <c r="V267" s="353"/>
      <c r="W267" s="353"/>
    </row>
    <row r="268" spans="22:23" s="348" customFormat="1" x14ac:dyDescent="0.25">
      <c r="V268" s="353"/>
      <c r="W268" s="353"/>
    </row>
    <row r="269" spans="22:23" s="348" customFormat="1" x14ac:dyDescent="0.25">
      <c r="V269" s="353"/>
      <c r="W269" s="353"/>
    </row>
    <row r="270" spans="22:23" s="348" customFormat="1" x14ac:dyDescent="0.25">
      <c r="V270" s="353"/>
      <c r="W270" s="353"/>
    </row>
    <row r="271" spans="22:23" s="348" customFormat="1" x14ac:dyDescent="0.25">
      <c r="V271" s="353"/>
      <c r="W271" s="353"/>
    </row>
    <row r="272" spans="22:23" s="348" customFormat="1" x14ac:dyDescent="0.25">
      <c r="V272" s="353"/>
      <c r="W272" s="353"/>
    </row>
    <row r="273" spans="22:23" s="348" customFormat="1" x14ac:dyDescent="0.25">
      <c r="V273" s="353"/>
      <c r="W273" s="353"/>
    </row>
    <row r="274" spans="22:23" s="348" customFormat="1" x14ac:dyDescent="0.25">
      <c r="V274" s="353"/>
      <c r="W274" s="353"/>
    </row>
    <row r="275" spans="22:23" s="348" customFormat="1" x14ac:dyDescent="0.25">
      <c r="V275" s="353"/>
      <c r="W275" s="353"/>
    </row>
    <row r="276" spans="22:23" s="348" customFormat="1" x14ac:dyDescent="0.25">
      <c r="V276" s="353"/>
      <c r="W276" s="353"/>
    </row>
    <row r="277" spans="22:23" s="348" customFormat="1" x14ac:dyDescent="0.25">
      <c r="V277" s="353"/>
      <c r="W277" s="353"/>
    </row>
    <row r="278" spans="22:23" s="348" customFormat="1" x14ac:dyDescent="0.25">
      <c r="V278" s="353"/>
      <c r="W278" s="353"/>
    </row>
    <row r="279" spans="22:23" s="348" customFormat="1" x14ac:dyDescent="0.25">
      <c r="V279" s="353"/>
      <c r="W279" s="353"/>
    </row>
    <row r="280" spans="22:23" s="348" customFormat="1" x14ac:dyDescent="0.25">
      <c r="V280" s="353"/>
      <c r="W280" s="353"/>
    </row>
    <row r="281" spans="22:23" s="348" customFormat="1" x14ac:dyDescent="0.25">
      <c r="V281" s="353"/>
      <c r="W281" s="353"/>
    </row>
    <row r="282" spans="22:23" s="348" customFormat="1" x14ac:dyDescent="0.25">
      <c r="V282" s="353"/>
      <c r="W282" s="353"/>
    </row>
    <row r="283" spans="22:23" s="348" customFormat="1" x14ac:dyDescent="0.25">
      <c r="V283" s="353"/>
      <c r="W283" s="353"/>
    </row>
    <row r="284" spans="22:23" s="348" customFormat="1" x14ac:dyDescent="0.25">
      <c r="V284" s="353"/>
      <c r="W284" s="353"/>
    </row>
    <row r="285" spans="22:23" s="348" customFormat="1" x14ac:dyDescent="0.25">
      <c r="V285" s="353"/>
      <c r="W285" s="353"/>
    </row>
    <row r="286" spans="22:23" s="348" customFormat="1" x14ac:dyDescent="0.25">
      <c r="V286" s="353"/>
      <c r="W286" s="353"/>
    </row>
    <row r="287" spans="22:23" s="348" customFormat="1" x14ac:dyDescent="0.25">
      <c r="V287" s="353"/>
      <c r="W287" s="353"/>
    </row>
    <row r="288" spans="22:23" s="348" customFormat="1" x14ac:dyDescent="0.25">
      <c r="V288" s="353"/>
      <c r="W288" s="353"/>
    </row>
    <row r="289" spans="22:23" s="348" customFormat="1" x14ac:dyDescent="0.25">
      <c r="V289" s="353"/>
      <c r="W289" s="353"/>
    </row>
    <row r="290" spans="22:23" s="348" customFormat="1" x14ac:dyDescent="0.25">
      <c r="V290" s="353"/>
      <c r="W290" s="353"/>
    </row>
    <row r="291" spans="22:23" s="348" customFormat="1" x14ac:dyDescent="0.25">
      <c r="V291" s="353"/>
      <c r="W291" s="353"/>
    </row>
    <row r="292" spans="22:23" s="348" customFormat="1" x14ac:dyDescent="0.25">
      <c r="V292" s="353"/>
      <c r="W292" s="353"/>
    </row>
    <row r="293" spans="22:23" s="348" customFormat="1" x14ac:dyDescent="0.25">
      <c r="V293" s="353"/>
      <c r="W293" s="353"/>
    </row>
    <row r="294" spans="22:23" s="348" customFormat="1" x14ac:dyDescent="0.25">
      <c r="V294" s="353"/>
      <c r="W294" s="353"/>
    </row>
    <row r="295" spans="22:23" s="348" customFormat="1" x14ac:dyDescent="0.25">
      <c r="V295" s="353"/>
      <c r="W295" s="353"/>
    </row>
    <row r="296" spans="22:23" s="348" customFormat="1" x14ac:dyDescent="0.25">
      <c r="V296" s="353"/>
      <c r="W296" s="353"/>
    </row>
    <row r="297" spans="22:23" s="348" customFormat="1" x14ac:dyDescent="0.25">
      <c r="V297" s="353"/>
      <c r="W297" s="353"/>
    </row>
    <row r="298" spans="22:23" s="348" customFormat="1" x14ac:dyDescent="0.25">
      <c r="V298" s="353"/>
      <c r="W298" s="353"/>
    </row>
    <row r="299" spans="22:23" s="348" customFormat="1" x14ac:dyDescent="0.25">
      <c r="V299" s="353"/>
      <c r="W299" s="353"/>
    </row>
    <row r="300" spans="22:23" s="348" customFormat="1" x14ac:dyDescent="0.25">
      <c r="V300" s="353"/>
      <c r="W300" s="353"/>
    </row>
    <row r="301" spans="22:23" s="348" customFormat="1" x14ac:dyDescent="0.25">
      <c r="V301" s="353"/>
      <c r="W301" s="353"/>
    </row>
    <row r="302" spans="22:23" s="348" customFormat="1" x14ac:dyDescent="0.25">
      <c r="V302" s="353"/>
      <c r="W302" s="353"/>
    </row>
    <row r="303" spans="22:23" s="348" customFormat="1" x14ac:dyDescent="0.25">
      <c r="V303" s="353"/>
      <c r="W303" s="353"/>
    </row>
    <row r="304" spans="22:23" s="348" customFormat="1" x14ac:dyDescent="0.25">
      <c r="V304" s="353"/>
      <c r="W304" s="353"/>
    </row>
    <row r="305" spans="22:23" s="348" customFormat="1" x14ac:dyDescent="0.25">
      <c r="V305" s="353"/>
      <c r="W305" s="353"/>
    </row>
    <row r="306" spans="22:23" s="348" customFormat="1" x14ac:dyDescent="0.25">
      <c r="V306" s="353"/>
      <c r="W306" s="353"/>
    </row>
    <row r="307" spans="22:23" s="348" customFormat="1" x14ac:dyDescent="0.25">
      <c r="V307" s="353"/>
      <c r="W307" s="353"/>
    </row>
    <row r="308" spans="22:23" s="348" customFormat="1" x14ac:dyDescent="0.25">
      <c r="V308" s="353"/>
      <c r="W308" s="353"/>
    </row>
    <row r="309" spans="22:23" s="348" customFormat="1" x14ac:dyDescent="0.25">
      <c r="V309" s="353"/>
      <c r="W309" s="353"/>
    </row>
    <row r="310" spans="22:23" s="348" customFormat="1" x14ac:dyDescent="0.25">
      <c r="V310" s="353"/>
      <c r="W310" s="353"/>
    </row>
    <row r="311" spans="22:23" s="348" customFormat="1" x14ac:dyDescent="0.25">
      <c r="V311" s="353"/>
      <c r="W311" s="353"/>
    </row>
    <row r="312" spans="22:23" s="348" customFormat="1" x14ac:dyDescent="0.25">
      <c r="V312" s="353"/>
      <c r="W312" s="353"/>
    </row>
    <row r="313" spans="22:23" s="348" customFormat="1" x14ac:dyDescent="0.25">
      <c r="V313" s="353"/>
      <c r="W313" s="353"/>
    </row>
    <row r="314" spans="22:23" s="348" customFormat="1" x14ac:dyDescent="0.25">
      <c r="V314" s="353"/>
      <c r="W314" s="353"/>
    </row>
    <row r="315" spans="22:23" s="348" customFormat="1" x14ac:dyDescent="0.25">
      <c r="V315" s="353"/>
      <c r="W315" s="353"/>
    </row>
    <row r="316" spans="22:23" s="348" customFormat="1" x14ac:dyDescent="0.25">
      <c r="V316" s="353"/>
      <c r="W316" s="353"/>
    </row>
    <row r="317" spans="22:23" s="348" customFormat="1" x14ac:dyDescent="0.25">
      <c r="V317" s="353"/>
      <c r="W317" s="353"/>
    </row>
    <row r="318" spans="22:23" s="348" customFormat="1" x14ac:dyDescent="0.25">
      <c r="V318" s="353"/>
      <c r="W318" s="353"/>
    </row>
    <row r="319" spans="22:23" s="348" customFormat="1" x14ac:dyDescent="0.25">
      <c r="V319" s="353"/>
      <c r="W319" s="353"/>
    </row>
    <row r="320" spans="22:23" s="348" customFormat="1" x14ac:dyDescent="0.25">
      <c r="V320" s="353"/>
      <c r="W320" s="353"/>
    </row>
    <row r="321" spans="22:23" s="348" customFormat="1" x14ac:dyDescent="0.25">
      <c r="V321" s="353"/>
      <c r="W321" s="353"/>
    </row>
    <row r="322" spans="22:23" s="348" customFormat="1" x14ac:dyDescent="0.25">
      <c r="V322" s="353"/>
      <c r="W322" s="353"/>
    </row>
    <row r="323" spans="22:23" s="348" customFormat="1" x14ac:dyDescent="0.25">
      <c r="V323" s="353"/>
      <c r="W323" s="353"/>
    </row>
    <row r="324" spans="22:23" s="348" customFormat="1" x14ac:dyDescent="0.25">
      <c r="V324" s="353"/>
      <c r="W324" s="353"/>
    </row>
    <row r="325" spans="22:23" s="348" customFormat="1" x14ac:dyDescent="0.25">
      <c r="V325" s="353"/>
      <c r="W325" s="353"/>
    </row>
    <row r="326" spans="22:23" s="348" customFormat="1" x14ac:dyDescent="0.25">
      <c r="V326" s="353"/>
      <c r="W326" s="353"/>
    </row>
    <row r="327" spans="22:23" s="348" customFormat="1" x14ac:dyDescent="0.25">
      <c r="V327" s="353"/>
      <c r="W327" s="353"/>
    </row>
    <row r="328" spans="22:23" s="348" customFormat="1" x14ac:dyDescent="0.25">
      <c r="V328" s="353"/>
      <c r="W328" s="353"/>
    </row>
    <row r="329" spans="22:23" s="348" customFormat="1" x14ac:dyDescent="0.25">
      <c r="V329" s="353"/>
      <c r="W329" s="353"/>
    </row>
    <row r="330" spans="22:23" s="348" customFormat="1" x14ac:dyDescent="0.25">
      <c r="V330" s="353"/>
      <c r="W330" s="353"/>
    </row>
    <row r="331" spans="22:23" s="348" customFormat="1" x14ac:dyDescent="0.25">
      <c r="V331" s="353"/>
      <c r="W331" s="353"/>
    </row>
    <row r="332" spans="22:23" s="348" customFormat="1" x14ac:dyDescent="0.25">
      <c r="V332" s="353"/>
      <c r="W332" s="353"/>
    </row>
    <row r="333" spans="22:23" s="348" customFormat="1" x14ac:dyDescent="0.25">
      <c r="V333" s="353"/>
      <c r="W333" s="353"/>
    </row>
    <row r="334" spans="22:23" s="348" customFormat="1" x14ac:dyDescent="0.25">
      <c r="V334" s="353"/>
      <c r="W334" s="353"/>
    </row>
    <row r="335" spans="22:23" s="348" customFormat="1" x14ac:dyDescent="0.25">
      <c r="V335" s="353"/>
      <c r="W335" s="353"/>
    </row>
    <row r="336" spans="22:23" s="348" customFormat="1" x14ac:dyDescent="0.25">
      <c r="V336" s="353"/>
      <c r="W336" s="353"/>
    </row>
    <row r="337" spans="22:23" s="348" customFormat="1" x14ac:dyDescent="0.25">
      <c r="V337" s="353"/>
      <c r="W337" s="353"/>
    </row>
    <row r="338" spans="22:23" s="348" customFormat="1" x14ac:dyDescent="0.25">
      <c r="V338" s="353"/>
      <c r="W338" s="353"/>
    </row>
    <row r="339" spans="22:23" s="348" customFormat="1" x14ac:dyDescent="0.25">
      <c r="V339" s="353"/>
      <c r="W339" s="353"/>
    </row>
    <row r="340" spans="22:23" s="348" customFormat="1" x14ac:dyDescent="0.25">
      <c r="V340" s="353"/>
      <c r="W340" s="353"/>
    </row>
    <row r="341" spans="22:23" s="348" customFormat="1" x14ac:dyDescent="0.25">
      <c r="V341" s="353"/>
      <c r="W341" s="353"/>
    </row>
    <row r="342" spans="22:23" s="348" customFormat="1" x14ac:dyDescent="0.25">
      <c r="V342" s="353"/>
      <c r="W342" s="353"/>
    </row>
    <row r="343" spans="22:23" s="348" customFormat="1" x14ac:dyDescent="0.25">
      <c r="V343" s="353"/>
      <c r="W343" s="353"/>
    </row>
    <row r="344" spans="22:23" s="348" customFormat="1" x14ac:dyDescent="0.25">
      <c r="V344" s="353"/>
      <c r="W344" s="353"/>
    </row>
    <row r="345" spans="22:23" s="348" customFormat="1" x14ac:dyDescent="0.25">
      <c r="V345" s="353"/>
      <c r="W345" s="353"/>
    </row>
    <row r="346" spans="22:23" s="348" customFormat="1" x14ac:dyDescent="0.25">
      <c r="V346" s="353"/>
      <c r="W346" s="353"/>
    </row>
    <row r="347" spans="22:23" s="348" customFormat="1" x14ac:dyDescent="0.25">
      <c r="V347" s="353"/>
      <c r="W347" s="353"/>
    </row>
    <row r="348" spans="22:23" s="348" customFormat="1" x14ac:dyDescent="0.25">
      <c r="V348" s="353"/>
      <c r="W348" s="353"/>
    </row>
    <row r="349" spans="22:23" s="348" customFormat="1" x14ac:dyDescent="0.25">
      <c r="V349" s="353"/>
      <c r="W349" s="353"/>
    </row>
    <row r="350" spans="22:23" s="348" customFormat="1" x14ac:dyDescent="0.25">
      <c r="V350" s="353"/>
      <c r="W350" s="353"/>
    </row>
    <row r="351" spans="22:23" s="348" customFormat="1" x14ac:dyDescent="0.25">
      <c r="V351" s="353"/>
      <c r="W351" s="353"/>
    </row>
    <row r="352" spans="22:23" s="348" customFormat="1" x14ac:dyDescent="0.25">
      <c r="V352" s="353"/>
      <c r="W352" s="353"/>
    </row>
    <row r="353" spans="22:23" s="348" customFormat="1" x14ac:dyDescent="0.25">
      <c r="V353" s="353"/>
      <c r="W353" s="353"/>
    </row>
    <row r="354" spans="22:23" s="348" customFormat="1" x14ac:dyDescent="0.25">
      <c r="V354" s="353"/>
      <c r="W354" s="353"/>
    </row>
    <row r="355" spans="22:23" s="348" customFormat="1" x14ac:dyDescent="0.25">
      <c r="V355" s="353"/>
      <c r="W355" s="353"/>
    </row>
    <row r="356" spans="22:23" s="348" customFormat="1" x14ac:dyDescent="0.25">
      <c r="V356" s="353"/>
      <c r="W356" s="353"/>
    </row>
    <row r="357" spans="22:23" s="348" customFormat="1" x14ac:dyDescent="0.25">
      <c r="V357" s="353"/>
      <c r="W357" s="353"/>
    </row>
    <row r="358" spans="22:23" s="348" customFormat="1" x14ac:dyDescent="0.25">
      <c r="V358" s="353"/>
      <c r="W358" s="353"/>
    </row>
    <row r="359" spans="22:23" s="348" customFormat="1" x14ac:dyDescent="0.25">
      <c r="V359" s="353"/>
      <c r="W359" s="353"/>
    </row>
    <row r="360" spans="22:23" s="348" customFormat="1" x14ac:dyDescent="0.25">
      <c r="V360" s="353"/>
      <c r="W360" s="353"/>
    </row>
    <row r="361" spans="22:23" s="348" customFormat="1" x14ac:dyDescent="0.25">
      <c r="V361" s="353"/>
      <c r="W361" s="353"/>
    </row>
    <row r="362" spans="22:23" s="348" customFormat="1" x14ac:dyDescent="0.25">
      <c r="V362" s="353"/>
      <c r="W362" s="353"/>
    </row>
    <row r="363" spans="22:23" s="348" customFormat="1" x14ac:dyDescent="0.25">
      <c r="V363" s="353"/>
      <c r="W363" s="353"/>
    </row>
    <row r="364" spans="22:23" s="348" customFormat="1" x14ac:dyDescent="0.25">
      <c r="V364" s="353"/>
      <c r="W364" s="353"/>
    </row>
    <row r="365" spans="22:23" s="348" customFormat="1" x14ac:dyDescent="0.25">
      <c r="V365" s="353"/>
      <c r="W365" s="353"/>
    </row>
    <row r="366" spans="22:23" s="348" customFormat="1" x14ac:dyDescent="0.25">
      <c r="V366" s="353"/>
      <c r="W366" s="353"/>
    </row>
    <row r="367" spans="22:23" s="348" customFormat="1" x14ac:dyDescent="0.25">
      <c r="V367" s="353"/>
      <c r="W367" s="353"/>
    </row>
    <row r="368" spans="22:23" s="348" customFormat="1" x14ac:dyDescent="0.25">
      <c r="V368" s="353"/>
      <c r="W368" s="353"/>
    </row>
    <row r="369" spans="22:23" s="348" customFormat="1" x14ac:dyDescent="0.25">
      <c r="V369" s="353"/>
      <c r="W369" s="353"/>
    </row>
    <row r="370" spans="22:23" s="348" customFormat="1" x14ac:dyDescent="0.25">
      <c r="V370" s="353"/>
      <c r="W370" s="353"/>
    </row>
    <row r="371" spans="22:23" s="348" customFormat="1" x14ac:dyDescent="0.25">
      <c r="V371" s="353"/>
      <c r="W371" s="353"/>
    </row>
    <row r="372" spans="22:23" s="348" customFormat="1" x14ac:dyDescent="0.25">
      <c r="V372" s="353"/>
      <c r="W372" s="353"/>
    </row>
    <row r="373" spans="22:23" s="348" customFormat="1" x14ac:dyDescent="0.25">
      <c r="V373" s="353"/>
      <c r="W373" s="353"/>
    </row>
    <row r="374" spans="22:23" s="348" customFormat="1" x14ac:dyDescent="0.25">
      <c r="V374" s="353"/>
      <c r="W374" s="353"/>
    </row>
    <row r="375" spans="22:23" s="348" customFormat="1" x14ac:dyDescent="0.25">
      <c r="V375" s="353"/>
      <c r="W375" s="353"/>
    </row>
    <row r="376" spans="22:23" s="348" customFormat="1" x14ac:dyDescent="0.25">
      <c r="V376" s="353"/>
      <c r="W376" s="353"/>
    </row>
    <row r="377" spans="22:23" s="348" customFormat="1" x14ac:dyDescent="0.25">
      <c r="V377" s="353"/>
      <c r="W377" s="353"/>
    </row>
    <row r="378" spans="22:23" s="348" customFormat="1" x14ac:dyDescent="0.25">
      <c r="V378" s="353"/>
      <c r="W378" s="353"/>
    </row>
    <row r="379" spans="22:23" s="348" customFormat="1" x14ac:dyDescent="0.25">
      <c r="V379" s="353"/>
      <c r="W379" s="353"/>
    </row>
    <row r="380" spans="22:23" s="348" customFormat="1" x14ac:dyDescent="0.25">
      <c r="V380" s="353"/>
      <c r="W380" s="353"/>
    </row>
    <row r="381" spans="22:23" s="348" customFormat="1" x14ac:dyDescent="0.25">
      <c r="V381" s="353"/>
      <c r="W381" s="353"/>
    </row>
    <row r="382" spans="22:23" s="348" customFormat="1" x14ac:dyDescent="0.25">
      <c r="V382" s="353"/>
      <c r="W382" s="353"/>
    </row>
    <row r="383" spans="22:23" s="348" customFormat="1" x14ac:dyDescent="0.25">
      <c r="V383" s="353"/>
      <c r="W383" s="353"/>
    </row>
    <row r="384" spans="22:23" s="348" customFormat="1" x14ac:dyDescent="0.25">
      <c r="V384" s="353"/>
      <c r="W384" s="353"/>
    </row>
    <row r="385" spans="22:23" s="348" customFormat="1" x14ac:dyDescent="0.25">
      <c r="V385" s="353"/>
      <c r="W385" s="353"/>
    </row>
    <row r="386" spans="22:23" s="348" customFormat="1" x14ac:dyDescent="0.25">
      <c r="V386" s="353"/>
      <c r="W386" s="353"/>
    </row>
    <row r="387" spans="22:23" s="348" customFormat="1" x14ac:dyDescent="0.25">
      <c r="V387" s="353"/>
      <c r="W387" s="353"/>
    </row>
    <row r="388" spans="22:23" s="348" customFormat="1" x14ac:dyDescent="0.25">
      <c r="V388" s="353"/>
      <c r="W388" s="353"/>
    </row>
    <row r="389" spans="22:23" s="348" customFormat="1" x14ac:dyDescent="0.25">
      <c r="V389" s="353"/>
      <c r="W389" s="353"/>
    </row>
    <row r="390" spans="22:23" s="348" customFormat="1" x14ac:dyDescent="0.25">
      <c r="V390" s="353"/>
      <c r="W390" s="353"/>
    </row>
    <row r="391" spans="22:23" s="348" customFormat="1" x14ac:dyDescent="0.25">
      <c r="V391" s="353"/>
      <c r="W391" s="353"/>
    </row>
    <row r="392" spans="22:23" s="348" customFormat="1" x14ac:dyDescent="0.25">
      <c r="V392" s="353"/>
      <c r="W392" s="353"/>
    </row>
    <row r="393" spans="22:23" s="348" customFormat="1" x14ac:dyDescent="0.25">
      <c r="V393" s="353"/>
      <c r="W393" s="353"/>
    </row>
    <row r="394" spans="22:23" s="348" customFormat="1" x14ac:dyDescent="0.25">
      <c r="V394" s="353"/>
      <c r="W394" s="353"/>
    </row>
    <row r="395" spans="22:23" s="348" customFormat="1" x14ac:dyDescent="0.25">
      <c r="V395" s="353"/>
      <c r="W395" s="353"/>
    </row>
    <row r="396" spans="22:23" s="348" customFormat="1" x14ac:dyDescent="0.25">
      <c r="V396" s="353"/>
      <c r="W396" s="353"/>
    </row>
    <row r="397" spans="22:23" s="348" customFormat="1" x14ac:dyDescent="0.25">
      <c r="V397" s="353"/>
      <c r="W397" s="353"/>
    </row>
    <row r="398" spans="22:23" s="348" customFormat="1" x14ac:dyDescent="0.25">
      <c r="V398" s="353"/>
      <c r="W398" s="353"/>
    </row>
    <row r="399" spans="22:23" s="348" customFormat="1" x14ac:dyDescent="0.25">
      <c r="V399" s="353"/>
      <c r="W399" s="353"/>
    </row>
    <row r="400" spans="22:23" s="348" customFormat="1" x14ac:dyDescent="0.25">
      <c r="V400" s="353"/>
      <c r="W400" s="353"/>
    </row>
    <row r="401" spans="22:23" s="348" customFormat="1" x14ac:dyDescent="0.25">
      <c r="V401" s="353"/>
      <c r="W401" s="353"/>
    </row>
    <row r="402" spans="22:23" s="348" customFormat="1" x14ac:dyDescent="0.25">
      <c r="V402" s="353"/>
      <c r="W402" s="353"/>
    </row>
    <row r="403" spans="22:23" s="348" customFormat="1" x14ac:dyDescent="0.25">
      <c r="V403" s="353"/>
      <c r="W403" s="353"/>
    </row>
    <row r="404" spans="22:23" s="348" customFormat="1" x14ac:dyDescent="0.25">
      <c r="V404" s="353"/>
      <c r="W404" s="353"/>
    </row>
    <row r="405" spans="22:23" s="348" customFormat="1" x14ac:dyDescent="0.25">
      <c r="V405" s="353"/>
      <c r="W405" s="353"/>
    </row>
    <row r="406" spans="22:23" s="348" customFormat="1" x14ac:dyDescent="0.25">
      <c r="V406" s="353"/>
      <c r="W406" s="353"/>
    </row>
    <row r="407" spans="22:23" s="348" customFormat="1" x14ac:dyDescent="0.25">
      <c r="V407" s="353"/>
      <c r="W407" s="353"/>
    </row>
    <row r="408" spans="22:23" s="348" customFormat="1" x14ac:dyDescent="0.25">
      <c r="V408" s="353"/>
      <c r="W408" s="353"/>
    </row>
    <row r="409" spans="22:23" s="348" customFormat="1" x14ac:dyDescent="0.25">
      <c r="V409" s="353"/>
      <c r="W409" s="353"/>
    </row>
    <row r="410" spans="22:23" s="348" customFormat="1" x14ac:dyDescent="0.25">
      <c r="V410" s="353"/>
      <c r="W410" s="353"/>
    </row>
  </sheetData>
  <sheetProtection algorithmName="SHA-512" hashValue="Vlfe0RiVqOtzHKiFs9Hxqan7JHOTzpRoSgeDAf+T59TwS5m6AhMiY7h+mzRz3G8ZsusJTHzdZfoxXbd1bRngGw==" saltValue="bbPfhWWYnfHplj3424eWtw==" spinCount="100000" sheet="1" objects="1" scenarios="1" selectLockedCells="1"/>
  <mergeCells count="194">
    <mergeCell ref="BM4:BT4"/>
    <mergeCell ref="A4:K4"/>
    <mergeCell ref="L4:P5"/>
    <mergeCell ref="Q4:U5"/>
    <mergeCell ref="V4:W5"/>
    <mergeCell ref="X4:X5"/>
    <mergeCell ref="A5:C5"/>
    <mergeCell ref="E5:F5"/>
    <mergeCell ref="G5:I5"/>
    <mergeCell ref="J5:J6"/>
    <mergeCell ref="AC5:AF5"/>
    <mergeCell ref="AG5:AJ5"/>
    <mergeCell ref="AK5:AN5"/>
    <mergeCell ref="AO5:AR5"/>
    <mergeCell ref="Y4:AF4"/>
    <mergeCell ref="AG4:AN4"/>
    <mergeCell ref="AO4:AV4"/>
    <mergeCell ref="AW4:BD4"/>
    <mergeCell ref="BE4:BL4"/>
    <mergeCell ref="C1:CP3"/>
    <mergeCell ref="BQ5:BT5"/>
    <mergeCell ref="A7:A14"/>
    <mergeCell ref="B7:B14"/>
    <mergeCell ref="C7:C14"/>
    <mergeCell ref="D7:D14"/>
    <mergeCell ref="E7:E14"/>
    <mergeCell ref="F7:F9"/>
    <mergeCell ref="G7:G14"/>
    <mergeCell ref="H7:H14"/>
    <mergeCell ref="I7:I14"/>
    <mergeCell ref="AS5:AV5"/>
    <mergeCell ref="AW5:AZ5"/>
    <mergeCell ref="BA5:BD5"/>
    <mergeCell ref="BE5:BH5"/>
    <mergeCell ref="BI5:BL5"/>
    <mergeCell ref="BM5:BP5"/>
    <mergeCell ref="K5:K6"/>
    <mergeCell ref="Y5:AB5"/>
    <mergeCell ref="AX7:AX8"/>
    <mergeCell ref="AY7:AY8"/>
    <mergeCell ref="AB7:AB8"/>
    <mergeCell ref="AG7:AG8"/>
    <mergeCell ref="AH7:AH8"/>
    <mergeCell ref="AI7:AI8"/>
    <mergeCell ref="AJ7:AJ8"/>
    <mergeCell ref="AO7:AO8"/>
    <mergeCell ref="P7:P8"/>
    <mergeCell ref="W7:W14"/>
    <mergeCell ref="X7:X14"/>
    <mergeCell ref="Y7:Y8"/>
    <mergeCell ref="Z7:Z8"/>
    <mergeCell ref="AA7:AA8"/>
    <mergeCell ref="Z10:Z12"/>
    <mergeCell ref="AA10:AA12"/>
    <mergeCell ref="Z13:Z14"/>
    <mergeCell ref="AA13:AA14"/>
    <mergeCell ref="AH10:AH12"/>
    <mergeCell ref="AI10:AI12"/>
    <mergeCell ref="AJ10:AJ12"/>
    <mergeCell ref="AO10:AO12"/>
    <mergeCell ref="BN7:BN8"/>
    <mergeCell ref="BO7:BO8"/>
    <mergeCell ref="BP7:BP8"/>
    <mergeCell ref="F10:F12"/>
    <mergeCell ref="L10:L12"/>
    <mergeCell ref="M10:M12"/>
    <mergeCell ref="N10:N12"/>
    <mergeCell ref="O10:O12"/>
    <mergeCell ref="P10:P12"/>
    <mergeCell ref="Y10:Y12"/>
    <mergeCell ref="AZ7:AZ8"/>
    <mergeCell ref="BE7:BE8"/>
    <mergeCell ref="BF7:BF8"/>
    <mergeCell ref="BG7:BG8"/>
    <mergeCell ref="BH7:BH8"/>
    <mergeCell ref="BM7:BM8"/>
    <mergeCell ref="AP7:AP8"/>
    <mergeCell ref="AQ7:AQ8"/>
    <mergeCell ref="AR7:AR8"/>
    <mergeCell ref="AW7:AW8"/>
    <mergeCell ref="BN10:BN12"/>
    <mergeCell ref="BO10:BO12"/>
    <mergeCell ref="BP10:BP12"/>
    <mergeCell ref="BF10:BF12"/>
    <mergeCell ref="F13:F14"/>
    <mergeCell ref="L13:L14"/>
    <mergeCell ref="M13:M14"/>
    <mergeCell ref="N13:N14"/>
    <mergeCell ref="O13:O14"/>
    <mergeCell ref="P13:P14"/>
    <mergeCell ref="Y13:Y14"/>
    <mergeCell ref="AZ10:AZ12"/>
    <mergeCell ref="BE10:BE12"/>
    <mergeCell ref="AB10:AB12"/>
    <mergeCell ref="AG10:AG12"/>
    <mergeCell ref="J7:J14"/>
    <mergeCell ref="K7:K14"/>
    <mergeCell ref="L7:L8"/>
    <mergeCell ref="M7:M8"/>
    <mergeCell ref="N7:N8"/>
    <mergeCell ref="O7:O8"/>
    <mergeCell ref="BG10:BG12"/>
    <mergeCell ref="BH10:BH12"/>
    <mergeCell ref="BM10:BM12"/>
    <mergeCell ref="AP10:AP12"/>
    <mergeCell ref="AQ10:AQ12"/>
    <mergeCell ref="AR10:AR12"/>
    <mergeCell ref="AW10:AW12"/>
    <mergeCell ref="AX10:AX12"/>
    <mergeCell ref="AY10:AY12"/>
    <mergeCell ref="BM13:BM14"/>
    <mergeCell ref="AP13:AP14"/>
    <mergeCell ref="AQ13:AQ14"/>
    <mergeCell ref="AR13:AR14"/>
    <mergeCell ref="AW13:AW14"/>
    <mergeCell ref="AX13:AX14"/>
    <mergeCell ref="AY13:AY14"/>
    <mergeCell ref="AB13:AB14"/>
    <mergeCell ref="AG13:AG14"/>
    <mergeCell ref="AH13:AH14"/>
    <mergeCell ref="AI13:AI14"/>
    <mergeCell ref="AJ13:AJ14"/>
    <mergeCell ref="AO13:AO14"/>
    <mergeCell ref="Y15:Z15"/>
    <mergeCell ref="AC15:AD15"/>
    <mergeCell ref="AG15:AH15"/>
    <mergeCell ref="AK15:AL15"/>
    <mergeCell ref="AO15:AP15"/>
    <mergeCell ref="AS15:AT15"/>
    <mergeCell ref="AW15:AX15"/>
    <mergeCell ref="AZ13:AZ14"/>
    <mergeCell ref="BE13:BE14"/>
    <mergeCell ref="CC4:CJ4"/>
    <mergeCell ref="CK4:CR4"/>
    <mergeCell ref="BU5:BX5"/>
    <mergeCell ref="BY5:CB5"/>
    <mergeCell ref="CC5:CF5"/>
    <mergeCell ref="CG5:CJ5"/>
    <mergeCell ref="CK5:CN5"/>
    <mergeCell ref="CO5:CR5"/>
    <mergeCell ref="BA15:BB15"/>
    <mergeCell ref="BE15:BF15"/>
    <mergeCell ref="BI15:BJ15"/>
    <mergeCell ref="BM15:BN15"/>
    <mergeCell ref="BQ15:BR15"/>
    <mergeCell ref="BU4:CB4"/>
    <mergeCell ref="BU7:BU8"/>
    <mergeCell ref="BV7:BV8"/>
    <mergeCell ref="BW7:BW8"/>
    <mergeCell ref="BX7:BX8"/>
    <mergeCell ref="BN13:BN14"/>
    <mergeCell ref="BO13:BO14"/>
    <mergeCell ref="BP13:BP14"/>
    <mergeCell ref="BF13:BF14"/>
    <mergeCell ref="BG13:BG14"/>
    <mergeCell ref="BH13:BH14"/>
    <mergeCell ref="CM7:CM8"/>
    <mergeCell ref="CN7:CN8"/>
    <mergeCell ref="BU10:BU12"/>
    <mergeCell ref="BV10:BV12"/>
    <mergeCell ref="BW10:BW12"/>
    <mergeCell ref="BX10:BX12"/>
    <mergeCell ref="CC10:CC12"/>
    <mergeCell ref="CD10:CD12"/>
    <mergeCell ref="CE10:CE12"/>
    <mergeCell ref="CF10:CF12"/>
    <mergeCell ref="CC7:CC8"/>
    <mergeCell ref="CD7:CD8"/>
    <mergeCell ref="CE7:CE8"/>
    <mergeCell ref="CF7:CF8"/>
    <mergeCell ref="CK7:CK8"/>
    <mergeCell ref="CL7:CL8"/>
    <mergeCell ref="CK10:CK12"/>
    <mergeCell ref="CL10:CL12"/>
    <mergeCell ref="CM10:CM12"/>
    <mergeCell ref="CN10:CN12"/>
    <mergeCell ref="BU13:BU14"/>
    <mergeCell ref="BV13:BV14"/>
    <mergeCell ref="BW13:BW14"/>
    <mergeCell ref="BX13:BX14"/>
    <mergeCell ref="CC13:CC14"/>
    <mergeCell ref="CD13:CD14"/>
    <mergeCell ref="BU15:BV15"/>
    <mergeCell ref="BY15:BZ15"/>
    <mergeCell ref="CC15:CD15"/>
    <mergeCell ref="CG15:CH15"/>
    <mergeCell ref="CK15:CL15"/>
    <mergeCell ref="CO15:CP15"/>
    <mergeCell ref="CE13:CE14"/>
    <mergeCell ref="CF13:CF14"/>
    <mergeCell ref="CK13:CK14"/>
    <mergeCell ref="CL13:CL14"/>
    <mergeCell ref="CM13:CM14"/>
    <mergeCell ref="CN13:CN14"/>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694D99-C3D0-4076-A762-2F6CBF4C848D}">
  <sheetPr>
    <tabColor rgb="FFFFC000"/>
  </sheetPr>
  <dimension ref="A1:LB10"/>
  <sheetViews>
    <sheetView topLeftCell="CK4" zoomScaleNormal="100" workbookViewId="0">
      <selection activeCell="CK4" sqref="CK4:CR4"/>
    </sheetView>
  </sheetViews>
  <sheetFormatPr baseColWidth="10" defaultColWidth="11.42578125" defaultRowHeight="15" x14ac:dyDescent="0.25"/>
  <cols>
    <col min="2" max="2" width="14" customWidth="1"/>
    <col min="3" max="3" width="20.7109375" customWidth="1"/>
    <col min="4" max="4" width="19" customWidth="1"/>
    <col min="7" max="7" width="14.42578125" customWidth="1"/>
    <col min="10" max="10" width="14.42578125" customWidth="1"/>
    <col min="12" max="12" width="15.42578125" customWidth="1"/>
    <col min="13" max="13" width="27" customWidth="1"/>
    <col min="17" max="18" width="20.42578125" customWidth="1"/>
    <col min="22" max="22" width="15.7109375" customWidth="1"/>
    <col min="23" max="23" width="15.42578125" customWidth="1"/>
    <col min="24" max="24" width="21.5703125" customWidth="1"/>
    <col min="25" max="25" width="14.140625" customWidth="1"/>
    <col min="26" max="26" width="12.85546875" customWidth="1"/>
    <col min="28" max="28" width="21.42578125" customWidth="1"/>
    <col min="29" max="29" width="14.5703125" customWidth="1"/>
    <col min="32" max="32" width="60.85546875" customWidth="1"/>
    <col min="33" max="33" width="14.140625" customWidth="1"/>
    <col min="34" max="34" width="12.85546875" customWidth="1"/>
    <col min="36" max="36" width="21.42578125" customWidth="1"/>
    <col min="37" max="37" width="14.5703125" customWidth="1"/>
    <col min="40" max="40" width="60.85546875" customWidth="1"/>
    <col min="41" max="41" width="14.140625" customWidth="1"/>
    <col min="42" max="42" width="12.85546875" customWidth="1"/>
    <col min="44" max="44" width="21.42578125" customWidth="1"/>
    <col min="45" max="45" width="14.5703125" customWidth="1"/>
    <col min="48" max="48" width="60.85546875" customWidth="1"/>
    <col min="49" max="49" width="14.140625" customWidth="1"/>
    <col min="50" max="50" width="12.85546875" customWidth="1"/>
    <col min="52" max="52" width="21.42578125" customWidth="1"/>
    <col min="53" max="53" width="14.5703125" customWidth="1"/>
    <col min="56" max="56" width="60.85546875" customWidth="1"/>
    <col min="57" max="57" width="14.140625" customWidth="1"/>
    <col min="58" max="58" width="12.85546875" customWidth="1"/>
    <col min="60" max="60" width="21.42578125" customWidth="1"/>
    <col min="61" max="61" width="14.5703125" customWidth="1"/>
    <col min="64" max="64" width="60.85546875" customWidth="1"/>
    <col min="65" max="65" width="14.140625" customWidth="1"/>
    <col min="66" max="66" width="12.85546875" customWidth="1"/>
    <col min="68" max="68" width="21.42578125" customWidth="1"/>
    <col min="69" max="69" width="14.5703125" customWidth="1"/>
    <col min="72" max="72" width="60.85546875" customWidth="1"/>
    <col min="73" max="73" width="14.140625" customWidth="1"/>
    <col min="74" max="74" width="12.85546875" customWidth="1"/>
    <col min="76" max="76" width="21.42578125" customWidth="1"/>
    <col min="77" max="77" width="14.5703125" customWidth="1"/>
    <col min="80" max="80" width="60.85546875" customWidth="1"/>
    <col min="81" max="81" width="14.140625" customWidth="1"/>
    <col min="82" max="82" width="12.85546875" customWidth="1"/>
    <col min="84" max="84" width="21.42578125" customWidth="1"/>
    <col min="85" max="85" width="14.5703125" customWidth="1"/>
    <col min="88" max="88" width="60.85546875" customWidth="1"/>
    <col min="89" max="89" width="14.140625" customWidth="1"/>
    <col min="90" max="90" width="12.85546875" customWidth="1"/>
    <col min="92" max="92" width="21.42578125" customWidth="1"/>
    <col min="93" max="93" width="14.5703125" customWidth="1"/>
    <col min="96" max="96" width="60.85546875" customWidth="1"/>
    <col min="97" max="314" width="11.42578125" style="707"/>
  </cols>
  <sheetData>
    <row r="1" spans="1:314" s="40" customFormat="1" ht="15.75" customHeight="1" x14ac:dyDescent="0.25">
      <c r="C1" s="556" t="s">
        <v>0</v>
      </c>
      <c r="D1" s="556"/>
      <c r="E1" s="556"/>
      <c r="F1" s="556"/>
      <c r="G1" s="556"/>
      <c r="H1" s="556"/>
      <c r="I1" s="556"/>
      <c r="J1" s="556"/>
      <c r="K1" s="556"/>
      <c r="L1" s="556"/>
      <c r="M1" s="556"/>
      <c r="N1" s="556"/>
      <c r="O1" s="556"/>
      <c r="P1" s="556"/>
      <c r="Q1" s="556"/>
      <c r="R1" s="556"/>
      <c r="S1" s="556"/>
      <c r="T1" s="556"/>
      <c r="U1" s="556"/>
      <c r="V1" s="556"/>
      <c r="W1" s="556"/>
      <c r="X1" s="556"/>
      <c r="Y1" s="556"/>
      <c r="Z1" s="556"/>
      <c r="AA1" s="556"/>
      <c r="AB1" s="556"/>
      <c r="AC1" s="556"/>
      <c r="AD1" s="556"/>
      <c r="AE1" s="556"/>
      <c r="AF1" s="556"/>
      <c r="AG1" s="556"/>
      <c r="AH1" s="556"/>
      <c r="AI1" s="556"/>
      <c r="AJ1" s="556"/>
      <c r="AK1" s="556"/>
      <c r="AL1" s="556"/>
      <c r="AM1" s="556"/>
      <c r="AN1" s="556"/>
      <c r="AO1" s="556"/>
      <c r="AP1" s="556"/>
      <c r="AQ1" s="556"/>
      <c r="AR1" s="556"/>
      <c r="AS1" s="556"/>
      <c r="AT1" s="556"/>
      <c r="AU1" s="556"/>
      <c r="AV1" s="556"/>
      <c r="AW1" s="556"/>
      <c r="AX1" s="556"/>
      <c r="AY1" s="556"/>
      <c r="AZ1" s="556"/>
      <c r="BA1" s="556"/>
      <c r="BB1" s="556"/>
      <c r="BC1" s="556"/>
      <c r="BD1" s="556"/>
      <c r="BE1" s="556"/>
      <c r="BF1" s="556"/>
      <c r="BG1" s="556"/>
      <c r="BH1" s="556"/>
      <c r="BI1" s="556"/>
      <c r="BJ1" s="556"/>
      <c r="BK1" s="556"/>
      <c r="BL1" s="556"/>
      <c r="BM1" s="556"/>
      <c r="BN1" s="556"/>
      <c r="BO1" s="556"/>
      <c r="BP1" s="556"/>
      <c r="BQ1" s="556"/>
      <c r="BR1" s="556"/>
      <c r="BS1" s="556"/>
      <c r="BT1" s="556"/>
      <c r="BU1" s="556"/>
      <c r="BV1" s="556"/>
      <c r="BW1" s="556"/>
      <c r="BX1" s="556"/>
      <c r="BY1" s="556"/>
      <c r="BZ1" s="556"/>
      <c r="CA1" s="556"/>
      <c r="CB1" s="556"/>
      <c r="CC1" s="556"/>
      <c r="CD1" s="556"/>
      <c r="CE1" s="556"/>
      <c r="CF1" s="556"/>
      <c r="CG1" s="556"/>
      <c r="CH1" s="556"/>
      <c r="CI1" s="556"/>
      <c r="CJ1" s="556"/>
      <c r="CK1" s="556"/>
      <c r="CL1" s="556"/>
      <c r="CM1" s="556"/>
      <c r="CN1" s="556"/>
      <c r="CO1" s="556"/>
      <c r="CP1" s="662"/>
      <c r="CQ1" s="144" t="s">
        <v>1</v>
      </c>
      <c r="CR1" s="145">
        <v>43458</v>
      </c>
    </row>
    <row r="2" spans="1:314" s="40" customFormat="1" ht="15.75" customHeight="1" x14ac:dyDescent="0.25">
      <c r="C2" s="556"/>
      <c r="D2" s="556"/>
      <c r="E2" s="556"/>
      <c r="F2" s="556"/>
      <c r="G2" s="556"/>
      <c r="H2" s="556"/>
      <c r="I2" s="556"/>
      <c r="J2" s="556"/>
      <c r="K2" s="556"/>
      <c r="L2" s="556"/>
      <c r="M2" s="556"/>
      <c r="N2" s="556"/>
      <c r="O2" s="556"/>
      <c r="P2" s="556"/>
      <c r="Q2" s="556"/>
      <c r="R2" s="556"/>
      <c r="S2" s="556"/>
      <c r="T2" s="556"/>
      <c r="U2" s="556"/>
      <c r="V2" s="556"/>
      <c r="W2" s="556"/>
      <c r="X2" s="556"/>
      <c r="Y2" s="556"/>
      <c r="Z2" s="556"/>
      <c r="AA2" s="556"/>
      <c r="AB2" s="556"/>
      <c r="AC2" s="556"/>
      <c r="AD2" s="556"/>
      <c r="AE2" s="556"/>
      <c r="AF2" s="556"/>
      <c r="AG2" s="556"/>
      <c r="AH2" s="556"/>
      <c r="AI2" s="556"/>
      <c r="AJ2" s="556"/>
      <c r="AK2" s="556"/>
      <c r="AL2" s="556"/>
      <c r="AM2" s="556"/>
      <c r="AN2" s="556"/>
      <c r="AO2" s="556"/>
      <c r="AP2" s="556"/>
      <c r="AQ2" s="556"/>
      <c r="AR2" s="556"/>
      <c r="AS2" s="556"/>
      <c r="AT2" s="556"/>
      <c r="AU2" s="556"/>
      <c r="AV2" s="556"/>
      <c r="AW2" s="556"/>
      <c r="AX2" s="556"/>
      <c r="AY2" s="556"/>
      <c r="AZ2" s="556"/>
      <c r="BA2" s="556"/>
      <c r="BB2" s="556"/>
      <c r="BC2" s="556"/>
      <c r="BD2" s="556"/>
      <c r="BE2" s="556"/>
      <c r="BF2" s="556"/>
      <c r="BG2" s="556"/>
      <c r="BH2" s="556"/>
      <c r="BI2" s="556"/>
      <c r="BJ2" s="556"/>
      <c r="BK2" s="556"/>
      <c r="BL2" s="556"/>
      <c r="BM2" s="556"/>
      <c r="BN2" s="556"/>
      <c r="BO2" s="556"/>
      <c r="BP2" s="556"/>
      <c r="BQ2" s="556"/>
      <c r="BR2" s="556"/>
      <c r="BS2" s="556"/>
      <c r="BT2" s="556"/>
      <c r="BU2" s="556"/>
      <c r="BV2" s="556"/>
      <c r="BW2" s="556"/>
      <c r="BX2" s="556"/>
      <c r="BY2" s="556"/>
      <c r="BZ2" s="556"/>
      <c r="CA2" s="556"/>
      <c r="CB2" s="556"/>
      <c r="CC2" s="556"/>
      <c r="CD2" s="556"/>
      <c r="CE2" s="556"/>
      <c r="CF2" s="556"/>
      <c r="CG2" s="556"/>
      <c r="CH2" s="556"/>
      <c r="CI2" s="556"/>
      <c r="CJ2" s="556"/>
      <c r="CK2" s="556"/>
      <c r="CL2" s="556"/>
      <c r="CM2" s="556"/>
      <c r="CN2" s="556"/>
      <c r="CO2" s="556"/>
      <c r="CP2" s="662"/>
      <c r="CQ2" s="144" t="s">
        <v>2</v>
      </c>
      <c r="CR2" s="144">
        <v>5</v>
      </c>
    </row>
    <row r="3" spans="1:314" s="40" customFormat="1" ht="15.75" customHeight="1" x14ac:dyDescent="0.25">
      <c r="C3" s="556"/>
      <c r="D3" s="556"/>
      <c r="E3" s="556"/>
      <c r="F3" s="556"/>
      <c r="G3" s="556"/>
      <c r="H3" s="556"/>
      <c r="I3" s="556"/>
      <c r="J3" s="556"/>
      <c r="K3" s="556"/>
      <c r="L3" s="556"/>
      <c r="M3" s="556"/>
      <c r="N3" s="556"/>
      <c r="O3" s="556"/>
      <c r="P3" s="556"/>
      <c r="Q3" s="556"/>
      <c r="R3" s="556"/>
      <c r="S3" s="556"/>
      <c r="T3" s="556"/>
      <c r="U3" s="556"/>
      <c r="V3" s="556"/>
      <c r="W3" s="556"/>
      <c r="X3" s="556"/>
      <c r="Y3" s="556"/>
      <c r="Z3" s="556"/>
      <c r="AA3" s="556"/>
      <c r="AB3" s="556"/>
      <c r="AC3" s="556"/>
      <c r="AD3" s="556"/>
      <c r="AE3" s="556"/>
      <c r="AF3" s="556"/>
      <c r="AG3" s="556"/>
      <c r="AH3" s="556"/>
      <c r="AI3" s="556"/>
      <c r="AJ3" s="556"/>
      <c r="AK3" s="556"/>
      <c r="AL3" s="556"/>
      <c r="AM3" s="556"/>
      <c r="AN3" s="556"/>
      <c r="AO3" s="556"/>
      <c r="AP3" s="556"/>
      <c r="AQ3" s="556"/>
      <c r="AR3" s="556"/>
      <c r="AS3" s="556"/>
      <c r="AT3" s="556"/>
      <c r="AU3" s="556"/>
      <c r="AV3" s="556"/>
      <c r="AW3" s="556"/>
      <c r="AX3" s="556"/>
      <c r="AY3" s="556"/>
      <c r="AZ3" s="556"/>
      <c r="BA3" s="556"/>
      <c r="BB3" s="556"/>
      <c r="BC3" s="556"/>
      <c r="BD3" s="556"/>
      <c r="BE3" s="556"/>
      <c r="BF3" s="556"/>
      <c r="BG3" s="556"/>
      <c r="BH3" s="556"/>
      <c r="BI3" s="556"/>
      <c r="BJ3" s="556"/>
      <c r="BK3" s="556"/>
      <c r="BL3" s="556"/>
      <c r="BM3" s="556"/>
      <c r="BN3" s="556"/>
      <c r="BO3" s="556"/>
      <c r="BP3" s="556"/>
      <c r="BQ3" s="556"/>
      <c r="BR3" s="556"/>
      <c r="BS3" s="556"/>
      <c r="BT3" s="556"/>
      <c r="BU3" s="556"/>
      <c r="BV3" s="556"/>
      <c r="BW3" s="556"/>
      <c r="BX3" s="556"/>
      <c r="BY3" s="556"/>
      <c r="BZ3" s="556"/>
      <c r="CA3" s="556"/>
      <c r="CB3" s="556"/>
      <c r="CC3" s="556"/>
      <c r="CD3" s="556"/>
      <c r="CE3" s="556"/>
      <c r="CF3" s="556"/>
      <c r="CG3" s="556"/>
      <c r="CH3" s="556"/>
      <c r="CI3" s="556"/>
      <c r="CJ3" s="556"/>
      <c r="CK3" s="556"/>
      <c r="CL3" s="556"/>
      <c r="CM3" s="556"/>
      <c r="CN3" s="556"/>
      <c r="CO3" s="556"/>
      <c r="CP3" s="662"/>
      <c r="CQ3" s="144" t="s">
        <v>3</v>
      </c>
      <c r="CR3" s="144" t="s">
        <v>4</v>
      </c>
    </row>
    <row r="4" spans="1:314" s="5" customFormat="1" x14ac:dyDescent="0.25">
      <c r="A4" s="419" t="s">
        <v>5</v>
      </c>
      <c r="B4" s="420"/>
      <c r="C4" s="420"/>
      <c r="D4" s="420"/>
      <c r="E4" s="420"/>
      <c r="F4" s="420"/>
      <c r="G4" s="420"/>
      <c r="H4" s="420"/>
      <c r="I4" s="420"/>
      <c r="J4" s="420"/>
      <c r="K4" s="421"/>
      <c r="L4" s="422" t="s">
        <v>6</v>
      </c>
      <c r="M4" s="423"/>
      <c r="N4" s="423"/>
      <c r="O4" s="423"/>
      <c r="P4" s="424"/>
      <c r="Q4" s="422" t="s">
        <v>7</v>
      </c>
      <c r="R4" s="423"/>
      <c r="S4" s="423"/>
      <c r="T4" s="423"/>
      <c r="U4" s="424"/>
      <c r="V4" s="597" t="s">
        <v>8</v>
      </c>
      <c r="W4" s="598"/>
      <c r="X4" s="422" t="s">
        <v>9</v>
      </c>
      <c r="Y4" s="591" t="s">
        <v>10</v>
      </c>
      <c r="Z4" s="591"/>
      <c r="AA4" s="591"/>
      <c r="AB4" s="591"/>
      <c r="AC4" s="591"/>
      <c r="AD4" s="591"/>
      <c r="AE4" s="591"/>
      <c r="AF4" s="591"/>
      <c r="AG4" s="591" t="s">
        <v>11</v>
      </c>
      <c r="AH4" s="591"/>
      <c r="AI4" s="591"/>
      <c r="AJ4" s="591"/>
      <c r="AK4" s="591"/>
      <c r="AL4" s="591"/>
      <c r="AM4" s="591"/>
      <c r="AN4" s="591"/>
      <c r="AO4" s="591" t="s">
        <v>12</v>
      </c>
      <c r="AP4" s="591"/>
      <c r="AQ4" s="591"/>
      <c r="AR4" s="591"/>
      <c r="AS4" s="591"/>
      <c r="AT4" s="591"/>
      <c r="AU4" s="591"/>
      <c r="AV4" s="591"/>
      <c r="AW4" s="591" t="s">
        <v>1356</v>
      </c>
      <c r="AX4" s="591"/>
      <c r="AY4" s="591"/>
      <c r="AZ4" s="591"/>
      <c r="BA4" s="591"/>
      <c r="BB4" s="591"/>
      <c r="BC4" s="591"/>
      <c r="BD4" s="591"/>
      <c r="BE4" s="591" t="s">
        <v>1357</v>
      </c>
      <c r="BF4" s="591"/>
      <c r="BG4" s="591"/>
      <c r="BH4" s="591"/>
      <c r="BI4" s="591"/>
      <c r="BJ4" s="591"/>
      <c r="BK4" s="591"/>
      <c r="BL4" s="591"/>
      <c r="BM4" s="591" t="s">
        <v>1358</v>
      </c>
      <c r="BN4" s="591"/>
      <c r="BO4" s="591"/>
      <c r="BP4" s="591"/>
      <c r="BQ4" s="591"/>
      <c r="BR4" s="591"/>
      <c r="BS4" s="591"/>
      <c r="BT4" s="591"/>
      <c r="BU4" s="591" t="s">
        <v>1404</v>
      </c>
      <c r="BV4" s="591"/>
      <c r="BW4" s="591"/>
      <c r="BX4" s="591"/>
      <c r="BY4" s="591"/>
      <c r="BZ4" s="591"/>
      <c r="CA4" s="591"/>
      <c r="CB4" s="591"/>
      <c r="CC4" s="591" t="s">
        <v>1405</v>
      </c>
      <c r="CD4" s="591"/>
      <c r="CE4" s="591"/>
      <c r="CF4" s="591"/>
      <c r="CG4" s="591"/>
      <c r="CH4" s="591"/>
      <c r="CI4" s="591"/>
      <c r="CJ4" s="591"/>
      <c r="CK4" s="591" t="s">
        <v>1406</v>
      </c>
      <c r="CL4" s="591"/>
      <c r="CM4" s="591"/>
      <c r="CN4" s="591"/>
      <c r="CO4" s="591"/>
      <c r="CP4" s="591"/>
      <c r="CQ4" s="591"/>
      <c r="CR4" s="591"/>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c r="IZ4" s="4"/>
      <c r="JA4" s="4"/>
      <c r="JB4" s="4"/>
      <c r="JC4" s="4"/>
      <c r="JD4" s="4"/>
      <c r="JE4" s="4"/>
      <c r="JF4" s="4"/>
      <c r="JG4" s="4"/>
      <c r="JH4" s="4"/>
      <c r="JI4" s="4"/>
      <c r="JJ4" s="4"/>
      <c r="JK4" s="4"/>
      <c r="JL4" s="4"/>
      <c r="JM4" s="4"/>
      <c r="JN4" s="4"/>
      <c r="JO4" s="4"/>
      <c r="JP4" s="4"/>
      <c r="JQ4" s="4"/>
      <c r="JR4" s="4"/>
      <c r="JS4" s="4"/>
      <c r="JT4" s="4"/>
      <c r="JU4" s="4"/>
      <c r="JV4" s="4"/>
      <c r="JW4" s="4"/>
      <c r="JX4" s="4"/>
      <c r="JY4" s="4"/>
      <c r="JZ4" s="4"/>
      <c r="KA4" s="4"/>
      <c r="KB4" s="4"/>
      <c r="KC4" s="4"/>
      <c r="KD4" s="4"/>
      <c r="KE4" s="4"/>
      <c r="KF4" s="4"/>
      <c r="KG4" s="4"/>
      <c r="KH4" s="4"/>
      <c r="KI4" s="4"/>
      <c r="KJ4" s="4"/>
      <c r="KK4" s="4"/>
      <c r="KL4" s="4"/>
      <c r="KM4" s="4"/>
      <c r="KN4" s="4"/>
      <c r="KO4" s="4"/>
      <c r="KP4" s="4"/>
      <c r="KQ4" s="4"/>
      <c r="KR4" s="4"/>
      <c r="KS4" s="4"/>
      <c r="KT4" s="4"/>
      <c r="KU4" s="4"/>
      <c r="KV4" s="4"/>
      <c r="KW4" s="4"/>
      <c r="KX4" s="4"/>
      <c r="KY4" s="4"/>
      <c r="KZ4" s="4"/>
      <c r="LA4" s="4"/>
      <c r="LB4" s="4"/>
    </row>
    <row r="5" spans="1:314" s="326" customFormat="1" x14ac:dyDescent="0.25">
      <c r="A5" s="402" t="s">
        <v>17</v>
      </c>
      <c r="B5" s="403"/>
      <c r="C5" s="406"/>
      <c r="D5" s="325" t="s">
        <v>18</v>
      </c>
      <c r="E5" s="402" t="s">
        <v>19</v>
      </c>
      <c r="F5" s="406"/>
      <c r="G5" s="402" t="s">
        <v>20</v>
      </c>
      <c r="H5" s="403"/>
      <c r="I5" s="406"/>
      <c r="J5" s="417" t="s">
        <v>21</v>
      </c>
      <c r="K5" s="417" t="s">
        <v>22</v>
      </c>
      <c r="L5" s="399"/>
      <c r="M5" s="400"/>
      <c r="N5" s="400"/>
      <c r="O5" s="400"/>
      <c r="P5" s="401"/>
      <c r="Q5" s="399"/>
      <c r="R5" s="400"/>
      <c r="S5" s="400"/>
      <c r="T5" s="400"/>
      <c r="U5" s="401"/>
      <c r="V5" s="599"/>
      <c r="W5" s="600"/>
      <c r="X5" s="399"/>
      <c r="Y5" s="592" t="s">
        <v>23</v>
      </c>
      <c r="Z5" s="592"/>
      <c r="AA5" s="592"/>
      <c r="AB5" s="592"/>
      <c r="AC5" s="592" t="s">
        <v>24</v>
      </c>
      <c r="AD5" s="592"/>
      <c r="AE5" s="592"/>
      <c r="AF5" s="592"/>
      <c r="AG5" s="592" t="s">
        <v>23</v>
      </c>
      <c r="AH5" s="592"/>
      <c r="AI5" s="592"/>
      <c r="AJ5" s="592"/>
      <c r="AK5" s="592" t="s">
        <v>24</v>
      </c>
      <c r="AL5" s="592"/>
      <c r="AM5" s="592"/>
      <c r="AN5" s="592"/>
      <c r="AO5" s="592" t="s">
        <v>23</v>
      </c>
      <c r="AP5" s="592"/>
      <c r="AQ5" s="592"/>
      <c r="AR5" s="592"/>
      <c r="AS5" s="592" t="s">
        <v>24</v>
      </c>
      <c r="AT5" s="592"/>
      <c r="AU5" s="592"/>
      <c r="AV5" s="592"/>
      <c r="AW5" s="592" t="s">
        <v>23</v>
      </c>
      <c r="AX5" s="592"/>
      <c r="AY5" s="592"/>
      <c r="AZ5" s="592"/>
      <c r="BA5" s="592" t="s">
        <v>24</v>
      </c>
      <c r="BB5" s="592"/>
      <c r="BC5" s="592"/>
      <c r="BD5" s="592"/>
      <c r="BE5" s="592" t="s">
        <v>23</v>
      </c>
      <c r="BF5" s="592"/>
      <c r="BG5" s="592"/>
      <c r="BH5" s="592"/>
      <c r="BI5" s="592" t="s">
        <v>24</v>
      </c>
      <c r="BJ5" s="592"/>
      <c r="BK5" s="592"/>
      <c r="BL5" s="592"/>
      <c r="BM5" s="592" t="s">
        <v>23</v>
      </c>
      <c r="BN5" s="592"/>
      <c r="BO5" s="592"/>
      <c r="BP5" s="592"/>
      <c r="BQ5" s="592" t="s">
        <v>24</v>
      </c>
      <c r="BR5" s="592"/>
      <c r="BS5" s="592"/>
      <c r="BT5" s="592"/>
      <c r="BU5" s="592" t="s">
        <v>23</v>
      </c>
      <c r="BV5" s="592"/>
      <c r="BW5" s="592"/>
      <c r="BX5" s="592"/>
      <c r="BY5" s="592" t="s">
        <v>24</v>
      </c>
      <c r="BZ5" s="592"/>
      <c r="CA5" s="592"/>
      <c r="CB5" s="592"/>
      <c r="CC5" s="592" t="s">
        <v>23</v>
      </c>
      <c r="CD5" s="592"/>
      <c r="CE5" s="592"/>
      <c r="CF5" s="592"/>
      <c r="CG5" s="592" t="s">
        <v>24</v>
      </c>
      <c r="CH5" s="592"/>
      <c r="CI5" s="592"/>
      <c r="CJ5" s="592"/>
      <c r="CK5" s="592" t="s">
        <v>23</v>
      </c>
      <c r="CL5" s="592"/>
      <c r="CM5" s="592"/>
      <c r="CN5" s="592"/>
      <c r="CO5" s="592" t="s">
        <v>24</v>
      </c>
      <c r="CP5" s="592"/>
      <c r="CQ5" s="592"/>
      <c r="CR5" s="592"/>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c r="IX5" s="4"/>
      <c r="IY5" s="4"/>
      <c r="IZ5" s="4"/>
      <c r="JA5" s="4"/>
      <c r="JB5" s="4"/>
      <c r="JC5" s="4"/>
      <c r="JD5" s="4"/>
      <c r="JE5" s="4"/>
      <c r="JF5" s="4"/>
      <c r="JG5" s="4"/>
      <c r="JH5" s="4"/>
      <c r="JI5" s="4"/>
      <c r="JJ5" s="4"/>
      <c r="JK5" s="4"/>
      <c r="JL5" s="4"/>
      <c r="JM5" s="4"/>
      <c r="JN5" s="4"/>
      <c r="JO5" s="4"/>
      <c r="JP5" s="4"/>
      <c r="JQ5" s="4"/>
      <c r="JR5" s="4"/>
      <c r="JS5" s="4"/>
      <c r="JT5" s="4"/>
      <c r="JU5" s="4"/>
      <c r="JV5" s="4"/>
      <c r="JW5" s="4"/>
      <c r="JX5" s="4"/>
      <c r="JY5" s="4"/>
      <c r="JZ5" s="4"/>
      <c r="KA5" s="4"/>
      <c r="KB5" s="4"/>
      <c r="KC5" s="4"/>
      <c r="KD5" s="4"/>
      <c r="KE5" s="4"/>
      <c r="KF5" s="4"/>
      <c r="KG5" s="4"/>
      <c r="KH5" s="4"/>
      <c r="KI5" s="4"/>
      <c r="KJ5" s="4"/>
      <c r="KK5" s="4"/>
      <c r="KL5" s="4"/>
      <c r="KM5" s="4"/>
      <c r="KN5" s="4"/>
      <c r="KO5" s="4"/>
      <c r="KP5" s="4"/>
      <c r="KQ5" s="4"/>
      <c r="KR5" s="4"/>
      <c r="KS5" s="4"/>
      <c r="KT5" s="4"/>
      <c r="KU5" s="4"/>
      <c r="KV5" s="4"/>
      <c r="KW5" s="4"/>
      <c r="KX5" s="4"/>
      <c r="KY5" s="4"/>
      <c r="KZ5" s="4"/>
      <c r="LA5" s="4"/>
      <c r="LB5" s="4"/>
    </row>
    <row r="6" spans="1:314" s="5" customFormat="1" ht="30" x14ac:dyDescent="0.25">
      <c r="A6" s="8" t="s">
        <v>25</v>
      </c>
      <c r="B6" s="8" t="s">
        <v>26</v>
      </c>
      <c r="C6" s="8" t="s">
        <v>27</v>
      </c>
      <c r="D6" s="8" t="s">
        <v>28</v>
      </c>
      <c r="E6" s="8" t="s">
        <v>29</v>
      </c>
      <c r="F6" s="8" t="s">
        <v>30</v>
      </c>
      <c r="G6" s="8" t="s">
        <v>31</v>
      </c>
      <c r="H6" s="8" t="s">
        <v>32</v>
      </c>
      <c r="I6" s="8" t="s">
        <v>33</v>
      </c>
      <c r="J6" s="601"/>
      <c r="K6" s="601"/>
      <c r="L6" s="8" t="s">
        <v>6</v>
      </c>
      <c r="M6" s="8" t="s">
        <v>34</v>
      </c>
      <c r="N6" s="8" t="s">
        <v>35</v>
      </c>
      <c r="O6" s="8" t="s">
        <v>36</v>
      </c>
      <c r="P6" s="8" t="s">
        <v>37</v>
      </c>
      <c r="Q6" s="8" t="s">
        <v>7</v>
      </c>
      <c r="R6" s="8" t="s">
        <v>38</v>
      </c>
      <c r="S6" s="8" t="s">
        <v>35</v>
      </c>
      <c r="T6" s="8" t="s">
        <v>36</v>
      </c>
      <c r="U6" s="8" t="s">
        <v>39</v>
      </c>
      <c r="V6" s="358" t="s">
        <v>40</v>
      </c>
      <c r="W6" s="358" t="s">
        <v>41</v>
      </c>
      <c r="X6" s="359" t="s">
        <v>42</v>
      </c>
      <c r="Y6" s="284" t="s">
        <v>43</v>
      </c>
      <c r="Z6" s="284" t="s">
        <v>44</v>
      </c>
      <c r="AA6" s="284" t="s">
        <v>45</v>
      </c>
      <c r="AB6" s="284" t="s">
        <v>46</v>
      </c>
      <c r="AC6" s="284" t="s">
        <v>43</v>
      </c>
      <c r="AD6" s="284" t="s">
        <v>44</v>
      </c>
      <c r="AE6" s="284" t="s">
        <v>45</v>
      </c>
      <c r="AF6" s="284" t="s">
        <v>46</v>
      </c>
      <c r="AG6" s="284" t="s">
        <v>43</v>
      </c>
      <c r="AH6" s="284" t="s">
        <v>44</v>
      </c>
      <c r="AI6" s="284" t="s">
        <v>45</v>
      </c>
      <c r="AJ6" s="284" t="s">
        <v>46</v>
      </c>
      <c r="AK6" s="284" t="s">
        <v>43</v>
      </c>
      <c r="AL6" s="284" t="s">
        <v>44</v>
      </c>
      <c r="AM6" s="284" t="s">
        <v>45</v>
      </c>
      <c r="AN6" s="284" t="s">
        <v>46</v>
      </c>
      <c r="AO6" s="284" t="s">
        <v>43</v>
      </c>
      <c r="AP6" s="284" t="s">
        <v>44</v>
      </c>
      <c r="AQ6" s="284" t="s">
        <v>45</v>
      </c>
      <c r="AR6" s="284" t="s">
        <v>46</v>
      </c>
      <c r="AS6" s="284" t="s">
        <v>43</v>
      </c>
      <c r="AT6" s="284" t="s">
        <v>44</v>
      </c>
      <c r="AU6" s="284" t="s">
        <v>45</v>
      </c>
      <c r="AV6" s="284" t="s">
        <v>46</v>
      </c>
      <c r="AW6" s="284" t="s">
        <v>43</v>
      </c>
      <c r="AX6" s="284" t="s">
        <v>44</v>
      </c>
      <c r="AY6" s="284" t="s">
        <v>45</v>
      </c>
      <c r="AZ6" s="284" t="s">
        <v>46</v>
      </c>
      <c r="BA6" s="284" t="s">
        <v>43</v>
      </c>
      <c r="BB6" s="284" t="s">
        <v>44</v>
      </c>
      <c r="BC6" s="284" t="s">
        <v>45</v>
      </c>
      <c r="BD6" s="284" t="s">
        <v>46</v>
      </c>
      <c r="BE6" s="284" t="s">
        <v>43</v>
      </c>
      <c r="BF6" s="284" t="s">
        <v>44</v>
      </c>
      <c r="BG6" s="284" t="s">
        <v>45</v>
      </c>
      <c r="BH6" s="284" t="s">
        <v>46</v>
      </c>
      <c r="BI6" s="284" t="s">
        <v>43</v>
      </c>
      <c r="BJ6" s="284" t="s">
        <v>44</v>
      </c>
      <c r="BK6" s="284" t="s">
        <v>45</v>
      </c>
      <c r="BL6" s="284" t="s">
        <v>46</v>
      </c>
      <c r="BM6" s="284" t="s">
        <v>43</v>
      </c>
      <c r="BN6" s="284" t="s">
        <v>44</v>
      </c>
      <c r="BO6" s="284" t="s">
        <v>45</v>
      </c>
      <c r="BP6" s="284" t="s">
        <v>46</v>
      </c>
      <c r="BQ6" s="284" t="s">
        <v>43</v>
      </c>
      <c r="BR6" s="284" t="s">
        <v>44</v>
      </c>
      <c r="BS6" s="284" t="s">
        <v>45</v>
      </c>
      <c r="BT6" s="284" t="s">
        <v>46</v>
      </c>
      <c r="BU6" s="284" t="s">
        <v>43</v>
      </c>
      <c r="BV6" s="284" t="s">
        <v>44</v>
      </c>
      <c r="BW6" s="284" t="s">
        <v>45</v>
      </c>
      <c r="BX6" s="284" t="s">
        <v>46</v>
      </c>
      <c r="BY6" s="284" t="s">
        <v>43</v>
      </c>
      <c r="BZ6" s="284" t="s">
        <v>44</v>
      </c>
      <c r="CA6" s="284" t="s">
        <v>45</v>
      </c>
      <c r="CB6" s="284" t="s">
        <v>46</v>
      </c>
      <c r="CC6" s="284" t="s">
        <v>43</v>
      </c>
      <c r="CD6" s="284" t="s">
        <v>44</v>
      </c>
      <c r="CE6" s="284" t="s">
        <v>45</v>
      </c>
      <c r="CF6" s="284" t="s">
        <v>46</v>
      </c>
      <c r="CG6" s="284" t="s">
        <v>43</v>
      </c>
      <c r="CH6" s="284" t="s">
        <v>44</v>
      </c>
      <c r="CI6" s="284" t="s">
        <v>45</v>
      </c>
      <c r="CJ6" s="284" t="s">
        <v>46</v>
      </c>
      <c r="CK6" s="284" t="s">
        <v>43</v>
      </c>
      <c r="CL6" s="284" t="s">
        <v>44</v>
      </c>
      <c r="CM6" s="284" t="s">
        <v>45</v>
      </c>
      <c r="CN6" s="284" t="s">
        <v>46</v>
      </c>
      <c r="CO6" s="284" t="s">
        <v>43</v>
      </c>
      <c r="CP6" s="284" t="s">
        <v>44</v>
      </c>
      <c r="CQ6" s="284" t="s">
        <v>45</v>
      </c>
      <c r="CR6" s="284" t="s">
        <v>46</v>
      </c>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c r="IX6" s="4"/>
      <c r="IY6" s="4"/>
      <c r="IZ6" s="4"/>
      <c r="JA6" s="4"/>
      <c r="JB6" s="4"/>
      <c r="JC6" s="4"/>
      <c r="JD6" s="4"/>
      <c r="JE6" s="4"/>
      <c r="JF6" s="4"/>
      <c r="JG6" s="4"/>
      <c r="JH6" s="4"/>
      <c r="JI6" s="4"/>
      <c r="JJ6" s="4"/>
      <c r="JK6" s="4"/>
      <c r="JL6" s="4"/>
      <c r="JM6" s="4"/>
      <c r="JN6" s="4"/>
      <c r="JO6" s="4"/>
      <c r="JP6" s="4"/>
      <c r="JQ6" s="4"/>
      <c r="JR6" s="4"/>
      <c r="JS6" s="4"/>
      <c r="JT6" s="4"/>
      <c r="JU6" s="4"/>
      <c r="JV6" s="4"/>
      <c r="JW6" s="4"/>
      <c r="JX6" s="4"/>
      <c r="JY6" s="4"/>
      <c r="JZ6" s="4"/>
      <c r="KA6" s="4"/>
      <c r="KB6" s="4"/>
      <c r="KC6" s="4"/>
      <c r="KD6" s="4"/>
      <c r="KE6" s="4"/>
      <c r="KF6" s="4"/>
      <c r="KG6" s="4"/>
      <c r="KH6" s="4"/>
      <c r="KI6" s="4"/>
      <c r="KJ6" s="4"/>
      <c r="KK6" s="4"/>
      <c r="KL6" s="4"/>
      <c r="KM6" s="4"/>
      <c r="KN6" s="4"/>
      <c r="KO6" s="4"/>
      <c r="KP6" s="4"/>
      <c r="KQ6" s="4"/>
      <c r="KR6" s="4"/>
      <c r="KS6" s="4"/>
      <c r="KT6" s="4"/>
      <c r="KU6" s="4"/>
      <c r="KV6" s="4"/>
      <c r="KW6" s="4"/>
      <c r="KX6" s="4"/>
      <c r="KY6" s="4"/>
      <c r="KZ6" s="4"/>
      <c r="LA6" s="4"/>
      <c r="LB6" s="4"/>
    </row>
    <row r="7" spans="1:314" ht="409.5" x14ac:dyDescent="0.25">
      <c r="A7" s="461" t="s">
        <v>47</v>
      </c>
      <c r="B7" s="578" t="s">
        <v>48</v>
      </c>
      <c r="C7" s="461" t="s">
        <v>49</v>
      </c>
      <c r="D7" s="578" t="s">
        <v>50</v>
      </c>
      <c r="E7" s="461" t="s">
        <v>1359</v>
      </c>
      <c r="F7" s="578" t="s">
        <v>1359</v>
      </c>
      <c r="G7" s="461" t="s">
        <v>55</v>
      </c>
      <c r="H7" s="578" t="s">
        <v>1360</v>
      </c>
      <c r="I7" s="461" t="s">
        <v>669</v>
      </c>
      <c r="J7" s="461" t="s">
        <v>1359</v>
      </c>
      <c r="K7" s="578" t="s">
        <v>1359</v>
      </c>
      <c r="L7" s="461" t="s">
        <v>1361</v>
      </c>
      <c r="M7" s="578" t="s">
        <v>1362</v>
      </c>
      <c r="N7" s="461" t="s">
        <v>93</v>
      </c>
      <c r="O7" s="575">
        <v>0</v>
      </c>
      <c r="P7" s="585">
        <v>0.8</v>
      </c>
      <c r="Q7" s="336" t="s">
        <v>1363</v>
      </c>
      <c r="R7" s="336" t="s">
        <v>1364</v>
      </c>
      <c r="S7" s="336" t="s">
        <v>93</v>
      </c>
      <c r="T7" s="336"/>
      <c r="U7" s="328">
        <v>0.8</v>
      </c>
      <c r="V7" s="595">
        <v>663482003</v>
      </c>
      <c r="W7" s="595">
        <v>663482003</v>
      </c>
      <c r="X7" s="461" t="s">
        <v>1365</v>
      </c>
      <c r="Y7" s="593">
        <v>89.2</v>
      </c>
      <c r="Z7" s="461">
        <v>80</v>
      </c>
      <c r="AA7" s="575">
        <v>1.1200000000000001</v>
      </c>
      <c r="AB7" s="461" t="s">
        <v>1366</v>
      </c>
      <c r="AC7" s="336">
        <v>0</v>
      </c>
      <c r="AD7" s="336">
        <v>80</v>
      </c>
      <c r="AE7" s="328">
        <v>0</v>
      </c>
      <c r="AF7" s="336" t="s">
        <v>1367</v>
      </c>
      <c r="AG7" s="593">
        <v>89.2</v>
      </c>
      <c r="AH7" s="461">
        <v>80</v>
      </c>
      <c r="AI7" s="575">
        <f>AG7/AH7</f>
        <v>1.115</v>
      </c>
      <c r="AJ7" s="461" t="s">
        <v>1366</v>
      </c>
      <c r="AK7" s="336">
        <v>81.2</v>
      </c>
      <c r="AL7" s="336">
        <v>80</v>
      </c>
      <c r="AM7" s="328">
        <f>AK7/AL7</f>
        <v>1.0150000000000001</v>
      </c>
      <c r="AN7" s="336" t="s">
        <v>1368</v>
      </c>
      <c r="AO7" s="593">
        <v>90.4</v>
      </c>
      <c r="AP7" s="461">
        <v>80</v>
      </c>
      <c r="AQ7" s="575">
        <f>AO7/AP7</f>
        <v>1.1300000000000001</v>
      </c>
      <c r="AR7" s="461" t="s">
        <v>1369</v>
      </c>
      <c r="AS7" s="336">
        <v>88.33</v>
      </c>
      <c r="AT7" s="336">
        <v>80</v>
      </c>
      <c r="AU7" s="328">
        <f>AS7/AT7</f>
        <v>1.104125</v>
      </c>
      <c r="AV7" s="336" t="s">
        <v>1370</v>
      </c>
      <c r="AW7" s="593">
        <v>100</v>
      </c>
      <c r="AX7" s="461">
        <v>80</v>
      </c>
      <c r="AY7" s="575">
        <f>+AW7/AX7</f>
        <v>1.25</v>
      </c>
      <c r="AZ7" s="461" t="s">
        <v>1371</v>
      </c>
      <c r="BA7" s="328">
        <v>1</v>
      </c>
      <c r="BB7" s="328">
        <v>0.8</v>
      </c>
      <c r="BC7" s="328">
        <f>+BA7/BB7</f>
        <v>1.25</v>
      </c>
      <c r="BD7" s="336" t="s">
        <v>1372</v>
      </c>
      <c r="BE7" s="575">
        <v>0.89300000000000002</v>
      </c>
      <c r="BF7" s="585">
        <v>0.8</v>
      </c>
      <c r="BG7" s="575">
        <f>(177/198)/0.8</f>
        <v>1.1174242424242424</v>
      </c>
      <c r="BH7" s="461" t="s">
        <v>1373</v>
      </c>
      <c r="BI7" s="328">
        <v>0.86250000000000004</v>
      </c>
      <c r="BJ7" s="328">
        <v>0.8</v>
      </c>
      <c r="BK7" s="328">
        <f>86.2/BJ7</f>
        <v>107.75</v>
      </c>
      <c r="BL7" s="336" t="s">
        <v>1374</v>
      </c>
      <c r="BM7" s="593">
        <v>89.3</v>
      </c>
      <c r="BN7" s="461">
        <v>80</v>
      </c>
      <c r="BO7" s="575">
        <f>+BM7/BN7</f>
        <v>1.11625</v>
      </c>
      <c r="BP7" s="461" t="s">
        <v>1375</v>
      </c>
      <c r="BQ7" s="328">
        <v>0.86199999999999999</v>
      </c>
      <c r="BR7" s="328">
        <v>0.8</v>
      </c>
      <c r="BS7" s="328">
        <f>+BQ7/BR7</f>
        <v>1.0774999999999999</v>
      </c>
      <c r="BT7" s="362" t="s">
        <v>1376</v>
      </c>
      <c r="BU7" s="575">
        <v>0.89710000000000001</v>
      </c>
      <c r="BV7" s="585">
        <v>0.85</v>
      </c>
      <c r="BW7" s="575">
        <f>+BU7/BV7</f>
        <v>1.0554117647058825</v>
      </c>
      <c r="BX7" s="585" t="s">
        <v>1407</v>
      </c>
      <c r="BY7" s="328">
        <f>80/92</f>
        <v>0.86956521739130432</v>
      </c>
      <c r="BZ7" s="328">
        <v>0.85</v>
      </c>
      <c r="CA7" s="328">
        <f>+BY7/BZ7</f>
        <v>1.0230179028132993</v>
      </c>
      <c r="CB7" s="362" t="s">
        <v>1408</v>
      </c>
      <c r="CC7" s="587">
        <f>+(203/226)</f>
        <v>0.89823008849557517</v>
      </c>
      <c r="CD7" s="589">
        <v>0.85</v>
      </c>
      <c r="CE7" s="575">
        <f>+CC7/CD7</f>
        <v>1.0567412805830296</v>
      </c>
      <c r="CF7" s="461" t="s">
        <v>1409</v>
      </c>
      <c r="CG7" s="328">
        <f>89/102</f>
        <v>0.87254901960784315</v>
      </c>
      <c r="CH7" s="328">
        <v>0.85</v>
      </c>
      <c r="CI7" s="328">
        <f>+CG7/CH7</f>
        <v>1.0265282583621684</v>
      </c>
      <c r="CJ7" s="362" t="s">
        <v>1410</v>
      </c>
      <c r="CK7" s="575">
        <v>0.8984375</v>
      </c>
      <c r="CL7" s="585">
        <v>0.85</v>
      </c>
      <c r="CM7" s="575">
        <f>+CK7/CL7</f>
        <v>1.0569852941176472</v>
      </c>
      <c r="CN7" s="461" t="s">
        <v>1411</v>
      </c>
      <c r="CO7" s="363">
        <f>95/110</f>
        <v>0.86363636363636365</v>
      </c>
      <c r="CP7" s="363">
        <v>0.85</v>
      </c>
      <c r="CQ7" s="328">
        <f>+CO7/CP7</f>
        <v>1.0160427807486632</v>
      </c>
      <c r="CR7" s="362" t="s">
        <v>1412</v>
      </c>
    </row>
    <row r="8" spans="1:314" ht="409.5" x14ac:dyDescent="0.25">
      <c r="A8" s="462"/>
      <c r="B8" s="579"/>
      <c r="C8" s="462"/>
      <c r="D8" s="579"/>
      <c r="E8" s="462"/>
      <c r="F8" s="579"/>
      <c r="G8" s="462"/>
      <c r="H8" s="579"/>
      <c r="I8" s="462"/>
      <c r="J8" s="462"/>
      <c r="K8" s="579"/>
      <c r="L8" s="462"/>
      <c r="M8" s="579"/>
      <c r="N8" s="462"/>
      <c r="O8" s="576"/>
      <c r="P8" s="586"/>
      <c r="Q8" s="323" t="s">
        <v>1377</v>
      </c>
      <c r="R8" s="323" t="s">
        <v>1378</v>
      </c>
      <c r="S8" s="323" t="s">
        <v>93</v>
      </c>
      <c r="T8" s="323"/>
      <c r="U8" s="323">
        <v>0.8</v>
      </c>
      <c r="V8" s="596"/>
      <c r="W8" s="596"/>
      <c r="X8" s="462"/>
      <c r="Y8" s="594"/>
      <c r="Z8" s="462"/>
      <c r="AA8" s="576"/>
      <c r="AB8" s="462"/>
      <c r="AC8" s="360">
        <v>89.2</v>
      </c>
      <c r="AD8" s="361">
        <v>80</v>
      </c>
      <c r="AE8" s="323">
        <f>AC8/AD8</f>
        <v>1.115</v>
      </c>
      <c r="AF8" s="323" t="s">
        <v>1379</v>
      </c>
      <c r="AG8" s="594"/>
      <c r="AH8" s="462"/>
      <c r="AI8" s="576"/>
      <c r="AJ8" s="462"/>
      <c r="AK8" s="360">
        <v>84.6</v>
      </c>
      <c r="AL8" s="361">
        <v>80</v>
      </c>
      <c r="AM8" s="323">
        <f>AK8/AL8</f>
        <v>1.0574999999999999</v>
      </c>
      <c r="AN8" s="323" t="s">
        <v>1380</v>
      </c>
      <c r="AO8" s="594"/>
      <c r="AP8" s="462"/>
      <c r="AQ8" s="576"/>
      <c r="AR8" s="462"/>
      <c r="AS8" s="360">
        <v>91.5</v>
      </c>
      <c r="AT8" s="361">
        <v>80</v>
      </c>
      <c r="AU8" s="323">
        <f>AS8/AT8</f>
        <v>1.14375</v>
      </c>
      <c r="AV8" s="323" t="s">
        <v>1381</v>
      </c>
      <c r="AW8" s="594"/>
      <c r="AX8" s="462"/>
      <c r="AY8" s="576"/>
      <c r="AZ8" s="462"/>
      <c r="BA8" s="323">
        <v>0.91500000000000004</v>
      </c>
      <c r="BB8" s="323">
        <v>0.8</v>
      </c>
      <c r="BC8" s="323">
        <f>+BA8/BB8</f>
        <v>1.14375</v>
      </c>
      <c r="BD8" s="323" t="s">
        <v>1382</v>
      </c>
      <c r="BE8" s="576"/>
      <c r="BF8" s="586"/>
      <c r="BG8" s="576"/>
      <c r="BH8" s="462"/>
      <c r="BI8" s="323">
        <v>1</v>
      </c>
      <c r="BJ8" s="323">
        <v>0.8</v>
      </c>
      <c r="BK8" s="323">
        <f>91.5/BJ8</f>
        <v>114.375</v>
      </c>
      <c r="BL8" s="323" t="s">
        <v>1383</v>
      </c>
      <c r="BM8" s="594"/>
      <c r="BN8" s="462"/>
      <c r="BO8" s="576"/>
      <c r="BP8" s="462"/>
      <c r="BQ8" s="323">
        <v>0.91700000000000004</v>
      </c>
      <c r="BR8" s="323">
        <v>0.8</v>
      </c>
      <c r="BS8" s="323">
        <f>+BQ8/BR8</f>
        <v>1.14625</v>
      </c>
      <c r="BT8" s="323" t="s">
        <v>1384</v>
      </c>
      <c r="BU8" s="576"/>
      <c r="BV8" s="586"/>
      <c r="BW8" s="576"/>
      <c r="BX8" s="586"/>
      <c r="BY8" s="323">
        <v>0.91800000000000004</v>
      </c>
      <c r="BZ8" s="323">
        <v>0.85</v>
      </c>
      <c r="CA8" s="323">
        <f>+BY8/BZ8</f>
        <v>1.08</v>
      </c>
      <c r="CB8" s="323" t="s">
        <v>1413</v>
      </c>
      <c r="CC8" s="588"/>
      <c r="CD8" s="590"/>
      <c r="CE8" s="576"/>
      <c r="CF8" s="462"/>
      <c r="CG8" s="364">
        <f>114/124</f>
        <v>0.91935483870967738</v>
      </c>
      <c r="CH8" s="364">
        <v>0.85</v>
      </c>
      <c r="CI8" s="364">
        <f>+CG8/CH8</f>
        <v>1.0815939278937381</v>
      </c>
      <c r="CJ8" s="323" t="s">
        <v>1414</v>
      </c>
      <c r="CK8" s="576"/>
      <c r="CL8" s="586"/>
      <c r="CM8" s="576"/>
      <c r="CN8" s="462"/>
      <c r="CO8" s="323">
        <f>135/146</f>
        <v>0.92465753424657537</v>
      </c>
      <c r="CP8" s="323">
        <v>0.85</v>
      </c>
      <c r="CQ8" s="323">
        <f>+CO8/CP8</f>
        <v>1.0878323932312652</v>
      </c>
      <c r="CR8" s="323" t="s">
        <v>1415</v>
      </c>
    </row>
    <row r="10" spans="1:314" ht="52.5" customHeight="1" x14ac:dyDescent="0.25">
      <c r="Y10" s="382" t="s">
        <v>1385</v>
      </c>
      <c r="Z10" s="382"/>
      <c r="AA10" s="42">
        <f>+AVERAGE(AA7)</f>
        <v>1.1200000000000001</v>
      </c>
      <c r="AC10" s="382" t="s">
        <v>1386</v>
      </c>
      <c r="AD10" s="382"/>
      <c r="AE10" s="42">
        <f>+AVERAGE(AE7:AE8)</f>
        <v>0.5575</v>
      </c>
      <c r="AG10" s="382" t="s">
        <v>1385</v>
      </c>
      <c r="AH10" s="382"/>
      <c r="AI10" s="42">
        <f>+AVERAGE(AI7)</f>
        <v>1.115</v>
      </c>
      <c r="AK10" s="382" t="s">
        <v>1386</v>
      </c>
      <c r="AL10" s="382"/>
      <c r="AM10" s="42">
        <f>+AVERAGE(AM7:AM8)</f>
        <v>1.0362499999999999</v>
      </c>
      <c r="AO10" s="382" t="s">
        <v>1385</v>
      </c>
      <c r="AP10" s="382"/>
      <c r="AQ10" s="42">
        <f>+AVERAGE(AQ7)</f>
        <v>1.1300000000000001</v>
      </c>
      <c r="AS10" s="382" t="s">
        <v>1386</v>
      </c>
      <c r="AT10" s="382"/>
      <c r="AU10" s="42">
        <f>+AVERAGE(AU7:AU8)</f>
        <v>1.1239375</v>
      </c>
      <c r="AW10" s="382" t="s">
        <v>1385</v>
      </c>
      <c r="AX10" s="382"/>
      <c r="AY10" s="42">
        <f>+AVERAGE(AY7)</f>
        <v>1.25</v>
      </c>
      <c r="BA10" s="382" t="s">
        <v>1386</v>
      </c>
      <c r="BB10" s="382"/>
      <c r="BC10" s="42">
        <f>+AVERAGE(BC7:BC8)</f>
        <v>1.1968749999999999</v>
      </c>
      <c r="BE10" s="382" t="s">
        <v>1385</v>
      </c>
      <c r="BF10" s="382"/>
      <c r="BG10" s="42">
        <f>+AVERAGE(BG7)</f>
        <v>1.1174242424242424</v>
      </c>
      <c r="BI10" s="382" t="s">
        <v>1386</v>
      </c>
      <c r="BJ10" s="382"/>
      <c r="BK10" s="42">
        <f>+AVERAGE(BK7:BK8)</f>
        <v>111.0625</v>
      </c>
      <c r="BM10" s="382" t="s">
        <v>1385</v>
      </c>
      <c r="BN10" s="382"/>
      <c r="BO10" s="42">
        <f>+AVERAGE(BO7)</f>
        <v>1.11625</v>
      </c>
      <c r="BQ10" s="382" t="s">
        <v>1386</v>
      </c>
      <c r="BR10" s="382"/>
      <c r="BS10" s="42">
        <f>+AVERAGE(BS7:BS8)</f>
        <v>1.1118749999999999</v>
      </c>
      <c r="BU10" s="382" t="s">
        <v>1385</v>
      </c>
      <c r="BV10" s="382"/>
      <c r="BW10" s="42">
        <f>+AVERAGE(BW7)</f>
        <v>1.0554117647058825</v>
      </c>
      <c r="BY10" s="382" t="s">
        <v>1386</v>
      </c>
      <c r="BZ10" s="382"/>
      <c r="CA10" s="42">
        <f>+AVERAGE(CA7:CA8)</f>
        <v>1.0515089514066496</v>
      </c>
      <c r="CC10" s="382" t="s">
        <v>1385</v>
      </c>
      <c r="CD10" s="382"/>
      <c r="CE10" s="42">
        <f>+AVERAGE(CE7)</f>
        <v>1.0567412805830296</v>
      </c>
      <c r="CG10" s="382" t="s">
        <v>1386</v>
      </c>
      <c r="CH10" s="382"/>
      <c r="CI10" s="42">
        <f>+AVERAGE(CI7:CI8)</f>
        <v>1.0540610931279533</v>
      </c>
      <c r="CK10" s="382" t="s">
        <v>1385</v>
      </c>
      <c r="CL10" s="382"/>
      <c r="CM10" s="42">
        <f>+AVERAGE(CM7)</f>
        <v>1.0569852941176472</v>
      </c>
      <c r="CO10" s="382" t="s">
        <v>1386</v>
      </c>
      <c r="CP10" s="382"/>
      <c r="CQ10" s="42">
        <f>+AVERAGE(CQ7:CQ8)</f>
        <v>1.0519375869899643</v>
      </c>
    </row>
  </sheetData>
  <sheetProtection algorithmName="SHA-512" hashValue="cdLxZV9l7Wdf0k8QZdtcdDKGhJ+s2RgGa2sLADIygKYTVEqhpWcMqKo6LHXQW+LLK7G88kT4YF+RBSfQXDHF8A==" saltValue="hPrdHTJ5xkw2VSSPCfVSNg==" spinCount="100000" sheet="1" objects="1" scenarios="1" selectLockedCells="1"/>
  <mergeCells count="111">
    <mergeCell ref="C1:CP3"/>
    <mergeCell ref="Y4:AF4"/>
    <mergeCell ref="AG4:AN4"/>
    <mergeCell ref="AO4:AV4"/>
    <mergeCell ref="AW4:BD4"/>
    <mergeCell ref="BE4:BL4"/>
    <mergeCell ref="BM4:BT4"/>
    <mergeCell ref="A4:K4"/>
    <mergeCell ref="L4:P5"/>
    <mergeCell ref="Q4:U5"/>
    <mergeCell ref="V4:W5"/>
    <mergeCell ref="X4:X5"/>
    <mergeCell ref="A5:C5"/>
    <mergeCell ref="E5:F5"/>
    <mergeCell ref="G5:I5"/>
    <mergeCell ref="J5:J6"/>
    <mergeCell ref="BQ5:BT5"/>
    <mergeCell ref="AS5:AV5"/>
    <mergeCell ref="AW5:AZ5"/>
    <mergeCell ref="BA5:BD5"/>
    <mergeCell ref="BE5:BH5"/>
    <mergeCell ref="BI5:BL5"/>
    <mergeCell ref="BM5:BP5"/>
    <mergeCell ref="K5:K6"/>
    <mergeCell ref="A7:A8"/>
    <mergeCell ref="B7:B8"/>
    <mergeCell ref="C7:C8"/>
    <mergeCell ref="D7:D8"/>
    <mergeCell ref="E7:E8"/>
    <mergeCell ref="F7:F8"/>
    <mergeCell ref="G7:G8"/>
    <mergeCell ref="H7:H8"/>
    <mergeCell ref="I7:I8"/>
    <mergeCell ref="Y5:AB5"/>
    <mergeCell ref="AC5:AF5"/>
    <mergeCell ref="AG5:AJ5"/>
    <mergeCell ref="AK5:AN5"/>
    <mergeCell ref="AO5:AR5"/>
    <mergeCell ref="P7:P8"/>
    <mergeCell ref="V7:V8"/>
    <mergeCell ref="W7:W8"/>
    <mergeCell ref="X7:X8"/>
    <mergeCell ref="Y7:Y8"/>
    <mergeCell ref="Z7:Z8"/>
    <mergeCell ref="AI7:AI8"/>
    <mergeCell ref="AJ7:AJ8"/>
    <mergeCell ref="J7:J8"/>
    <mergeCell ref="K7:K8"/>
    <mergeCell ref="L7:L8"/>
    <mergeCell ref="M7:M8"/>
    <mergeCell ref="N7:N8"/>
    <mergeCell ref="O7:O8"/>
    <mergeCell ref="Y10:Z10"/>
    <mergeCell ref="AC10:AD10"/>
    <mergeCell ref="AG10:AH10"/>
    <mergeCell ref="AA7:AA8"/>
    <mergeCell ref="AB7:AB8"/>
    <mergeCell ref="AG7:AG8"/>
    <mergeCell ref="AH7:AH8"/>
    <mergeCell ref="AK10:AL10"/>
    <mergeCell ref="AO10:AP10"/>
    <mergeCell ref="AS10:AT10"/>
    <mergeCell ref="AY7:AY8"/>
    <mergeCell ref="AZ7:AZ8"/>
    <mergeCell ref="BE7:BE8"/>
    <mergeCell ref="AO7:AO8"/>
    <mergeCell ref="AP7:AP8"/>
    <mergeCell ref="AQ7:AQ8"/>
    <mergeCell ref="AR7:AR8"/>
    <mergeCell ref="AW7:AW8"/>
    <mergeCell ref="AX7:AX8"/>
    <mergeCell ref="AW10:AX10"/>
    <mergeCell ref="BA10:BB10"/>
    <mergeCell ref="BE10:BF10"/>
    <mergeCell ref="BI10:BJ10"/>
    <mergeCell ref="BM10:BN10"/>
    <mergeCell ref="BQ10:BR10"/>
    <mergeCell ref="BM7:BM8"/>
    <mergeCell ref="BN7:BN8"/>
    <mergeCell ref="BO7:BO8"/>
    <mergeCell ref="BP7:BP8"/>
    <mergeCell ref="BF7:BF8"/>
    <mergeCell ref="BG7:BG8"/>
    <mergeCell ref="BH7:BH8"/>
    <mergeCell ref="BU4:CB4"/>
    <mergeCell ref="CC4:CJ4"/>
    <mergeCell ref="CK4:CR4"/>
    <mergeCell ref="BU5:BX5"/>
    <mergeCell ref="BY5:CB5"/>
    <mergeCell ref="CC5:CF5"/>
    <mergeCell ref="CG5:CJ5"/>
    <mergeCell ref="CK5:CN5"/>
    <mergeCell ref="CO5:CR5"/>
    <mergeCell ref="BU10:BV10"/>
    <mergeCell ref="BY10:BZ10"/>
    <mergeCell ref="CC10:CD10"/>
    <mergeCell ref="CG10:CH10"/>
    <mergeCell ref="CK10:CL10"/>
    <mergeCell ref="CO10:CP10"/>
    <mergeCell ref="CE7:CE8"/>
    <mergeCell ref="CF7:CF8"/>
    <mergeCell ref="CK7:CK8"/>
    <mergeCell ref="CL7:CL8"/>
    <mergeCell ref="CM7:CM8"/>
    <mergeCell ref="CN7:CN8"/>
    <mergeCell ref="BU7:BU8"/>
    <mergeCell ref="BV7:BV8"/>
    <mergeCell ref="BW7:BW8"/>
    <mergeCell ref="BX7:BX8"/>
    <mergeCell ref="CC7:CC8"/>
    <mergeCell ref="CD7:CD8"/>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6135C7C19915A4C8848D5DE80B872C3" ma:contentTypeVersion="12" ma:contentTypeDescription="Create a new document." ma:contentTypeScope="" ma:versionID="266f3b188412e931dcbbfac218715a75">
  <xsd:schema xmlns:xsd="http://www.w3.org/2001/XMLSchema" xmlns:xs="http://www.w3.org/2001/XMLSchema" xmlns:p="http://schemas.microsoft.com/office/2006/metadata/properties" xmlns:ns3="be53e371-c8ab-4a62-a8b6-3f4f26af218a" xmlns:ns4="efa47176-4b12-451e-8a3d-c654776a53ab" targetNamespace="http://schemas.microsoft.com/office/2006/metadata/properties" ma:root="true" ma:fieldsID="8864cfd5a18ebeca13fbdae2e395e901" ns3:_="" ns4:_="">
    <xsd:import namespace="be53e371-c8ab-4a62-a8b6-3f4f26af218a"/>
    <xsd:import namespace="efa47176-4b12-451e-8a3d-c654776a53ab"/>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4:SharedWithUsers" minOccurs="0"/>
                <xsd:element ref="ns4:SharedWithDetails" minOccurs="0"/>
                <xsd:element ref="ns4:SharingHintHash"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53e371-c8ab-4a62-a8b6-3f4f26af218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fa47176-4b12-451e-8a3d-c654776a53ab"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SharingHintHash" ma:index="17"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44E7942-445C-4CBF-81D5-A7D66B207D37}">
  <ds:schemaRefs>
    <ds:schemaRef ds:uri="http://schemas.microsoft.com/sharepoint/v3/contenttype/forms"/>
  </ds:schemaRefs>
</ds:datastoreItem>
</file>

<file path=customXml/itemProps2.xml><?xml version="1.0" encoding="utf-8"?>
<ds:datastoreItem xmlns:ds="http://schemas.openxmlformats.org/officeDocument/2006/customXml" ds:itemID="{7CA68BB7-8366-457B-89B0-84D96A0F1D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53e371-c8ab-4a62-a8b6-3f4f26af218a"/>
    <ds:schemaRef ds:uri="efa47176-4b12-451e-8a3d-c654776a53a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54D17A1-5917-40D9-B44D-2A0DE29F8546}">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CONSOLIDADO ENE-MAR 2020</vt:lpstr>
      <vt:lpstr>CONSOLIDADO REESTRUCTURACIÓN</vt:lpstr>
      <vt:lpstr>Sub.Evaluación LA</vt:lpstr>
      <vt:lpstr>Sub.Seguimiento LA</vt:lpstr>
      <vt:lpstr>SIPTA</vt:lpstr>
      <vt:lpstr>SMPCA</vt:lpstr>
      <vt:lpstr>Oficina Asesora de Planeación</vt:lpstr>
      <vt:lpstr>Of. Tecnologías</vt:lpstr>
      <vt:lpstr>Control Interno</vt:lpstr>
      <vt:lpstr>Control Disciplinario</vt:lpstr>
      <vt:lpstr>SAF</vt:lpstr>
      <vt:lpstr>Oficina Asesora Jurídica</vt:lpstr>
      <vt:lpstr>Comunicaciones</vt:lpstr>
      <vt:lpstr>PAI REGALÍAS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EDITH JAZMIN TORRES RODRIGUEZ</dc:creator>
  <cp:lastModifiedBy>EDITH JAZMIN TORRES RODRIGUEZ</cp:lastModifiedBy>
  <dcterms:created xsi:type="dcterms:W3CDTF">2020-09-24T15:06:58Z</dcterms:created>
  <dcterms:modified xsi:type="dcterms:W3CDTF">2020-10-18T19:22:52Z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0x01010096135C7C19915A4C8848D5DE80B872C3</vt:lpwstr>
  </property>
</Properties>
</file>